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ome" sheetId="1" r:id="rId3"/>
    <sheet state="visible" name="Setup" sheetId="2" r:id="rId4"/>
    <sheet state="visible" name="Population" sheetId="3" r:id="rId5"/>
    <sheet state="visible" name="Interventions" sheetId="4" r:id="rId6"/>
    <sheet state="visible" name="Events" sheetId="5" r:id="rId7"/>
    <sheet state="visible" name="Adverse events" sheetId="6" r:id="rId8"/>
    <sheet state="visible" name="Risk factors" sheetId="7" r:id="rId9"/>
    <sheet state="visible" name="Costs" sheetId="8" r:id="rId10"/>
    <sheet state="visible" name="Costs AE" sheetId="9" r:id="rId11"/>
    <sheet state="visible" name="Results" sheetId="10" r:id="rId12"/>
    <sheet state="visible" name="Sensitivity" sheetId="11" r:id="rId13"/>
    <sheet state="visible" name="Background" sheetId="12" r:id="rId14"/>
    <sheet state="visible" name="Cell options" sheetId="13" r:id="rId15"/>
    <sheet state="visible" name="Parameters" sheetId="14" r:id="rId16"/>
    <sheet state="visible" name="Defaults" sheetId="15" r:id="rId17"/>
    <sheet state="visible" name="Calculations" sheetId="16" r:id="rId18"/>
    <sheet state="visible" name="Markov" sheetId="17" r:id="rId19"/>
    <sheet state="visible" name="MarkovKendall" sheetId="18" r:id="rId20"/>
    <sheet state="visible" name="Results summary" sheetId="19" r:id="rId21"/>
    <sheet state="visible" name="LifeTable" sheetId="20" r:id="rId22"/>
    <sheet state="visible" name="Sensitivity results" sheetId="21" r:id="rId23"/>
    <sheet state="visible" name="Inflation" sheetId="22" r:id="rId24"/>
  </sheets>
  <definedNames>
    <definedName name="i_Eve_Hosp">Parameters!$V$32</definedName>
    <definedName name="i_Pop_Age">Parameters!$V$12</definedName>
    <definedName name="i_Cos_Mech">Parameters!$V$56</definedName>
    <definedName name="i_Cos_Mort">Parameters!$V$79</definedName>
    <definedName name="i_Int_Purc_lead">Parameters!$V$17</definedName>
    <definedName name="i_Bac_SSI_30d">Parameters!$V$72</definedName>
    <definedName name="ModelSubtitle">Home!$C$2</definedName>
    <definedName name="i_Adv_Lead">Parameters!$V$45</definedName>
    <definedName name="i_Cos_Inpa_SSI">Parameters!$V$63</definedName>
    <definedName name="i_Ris_Age">Parameters!$V$47</definedName>
    <definedName name="i_Adv_DSWI">Parameters!$V$43</definedName>
    <definedName name="i_Int_Numb_cable">Parameters!$V$20</definedName>
    <definedName name="i_Cos_Days">Parameters!$V$62</definedName>
    <definedName name="i_Ris_Gend">Parameters!$V$48</definedName>
    <definedName name="i_BAC_DSWI_90d">Parameters!$V$75</definedName>
    <definedName name="i_Bac_SSI_9d">Parameters!$V$71</definedName>
    <definedName name="i_Eve_Prol">Parameters!$V$33</definedName>
    <definedName name="i_Int_Kend_cost">Parameters!$V$24</definedName>
    <definedName name="i_Cos_DSWI">Parameters!$V$70</definedName>
    <definedName name="i_Int_Kend_ssi">Parameters!$V$27</definedName>
    <definedName name="i_Set_Time">Parameters!$V$7</definedName>
    <definedName name="i_Cos_CABG">Parameters!$V$55</definedName>
    <definedName name="i_Cos_Inpa_DSWI">Parameters!$V$65</definedName>
    <definedName name="i_Set_Curr">Parameters!$V$8</definedName>
    <definedName name="i_Ris_Hosp">Parameters!$V$52</definedName>
    <definedName name="i_Int_Cost">Parameters!$V$21</definedName>
    <definedName name="TimeHorizon">Setup!$F$10</definedName>
    <definedName name="i_Bac_MV_days">Parameters!$V$78</definedName>
    <definedName name="i_Int_Kend_leadsoff">Parameters!$V$29</definedName>
    <definedName name="i_Int_Kend_MS_inc">Parameters!$V$26</definedName>
    <definedName name="i_Int_Purc_cable">Parameters!$V$19</definedName>
    <definedName name="Currency">Setup!$F$11</definedName>
    <definedName name="i_Eve_Time">Parameters!$V$30</definedName>
    <definedName name="i_Adv_Mort">Parameters!$V$40</definedName>
    <definedName name="i_Adv_Fals">Parameters!$V$44</definedName>
    <definedName name="i_Cos_Fals">Parameters!$V$67</definedName>
    <definedName name="i_BAC_DSWI_1y">Parameters!$V$76</definedName>
    <definedName name="i_Pop_Diab">Parameters!$V$16</definedName>
    <definedName name="i_Ris_Prol">Parameters!$V$51</definedName>
    <definedName name="i_Adv_Alar">Parameters!$V$46</definedName>
    <definedName name="i_Eve_Faci">Parameters!$V$37</definedName>
    <definedName name="i_Cos_Lead">Parameters!$V$68</definedName>
    <definedName name="i_Cos_Gene">Parameters!$V$58</definedName>
    <definedName name="i_Cos_Care">Parameters!$V$60</definedName>
    <definedName name="i_Cos_Outp">Parameters!$V$64</definedName>
    <definedName name="i_Eve_Reop">Parameters!$V$38</definedName>
    <definedName name="i_Eve_ECG">Parameters!$V$34</definedName>
    <definedName name="i_Eve_Care">Parameters!$V$36</definedName>
    <definedName name="i_Ris_Leng">Parameters!$V$49</definedName>
    <definedName name="i_Cos_ICU">Parameters!$V$57</definedName>
    <definedName name="i_Pop_Obes">Parameters!$V$14</definedName>
    <definedName name="i_Eve_ICU">Parameters!$V$31</definedName>
    <definedName name="i_Ris_Diab">Parameters!$V$54</definedName>
    <definedName name="i_Set_Year">Parameters!$V$9</definedName>
    <definedName name="ModelTitle">Home!$C$1</definedName>
    <definedName name="i_Cos_Nurs">Parameters!$V$59</definedName>
    <definedName name="i_Ris_DSWI">Parameters!$V$50</definedName>
    <definedName name="i_Bac_SSI_90d">Parameters!$V$73</definedName>
    <definedName name="i_Cos_Read">Parameters!$V$66</definedName>
    <definedName name="i_Ris_Risk">Parameters!$V$53</definedName>
    <definedName name="Mean_mortality">LifeTable!$P$19</definedName>
    <definedName name="Inflation">Inflation!$C$21:$E$38</definedName>
    <definedName name="i_Int_Numb">Parameters!$V$18</definedName>
    <definedName name="i_Pop_Morb">Parameters!$V$15</definedName>
    <definedName name="i_BAC_DSWI_30d">Parameters!$V$74</definedName>
    <definedName name="Death_per_year">LifeTable!$P$6</definedName>
    <definedName name="i_Int_Effi">Parameters!$V$23</definedName>
    <definedName name="i_Set_CABG">Parameters!$V$10</definedName>
    <definedName name="i_Int_Kend_MS">Parameters!$V$25</definedName>
    <definedName name="i_Int_Kend_false">Parameters!$V$28</definedName>
    <definedName name="i_Adv_In_h">Parameters!$V$39</definedName>
    <definedName name="i_Pop_Gend">Parameters!$V$13</definedName>
    <definedName name="i_Cos_Pati">Parameters!$V$61</definedName>
    <definedName name="i_Set_Cost">Parameters!$V$11</definedName>
    <definedName name="i_Adv_SSI">Parameters!$V$42</definedName>
    <definedName name="i_Bac_ICU">Parameters!$V$80</definedName>
    <definedName name="CostDiscount">Setup!$F$12</definedName>
    <definedName name="i_Cos_SSI">Parameters!$V$69</definedName>
    <definedName name="i_Int_Mark">Parameters!$V$22</definedName>
    <definedName name="i_Adv_Surg">Parameters!$V$41</definedName>
    <definedName name="i_Bac_CABG_death">Parameters!$V$77</definedName>
    <definedName name="i_Bac_Obes">Parameters!$V$81</definedName>
    <definedName name="i_Eve_Home">Parameters!$V$35</definedName>
  </definedNames>
  <calcPr/>
</workbook>
</file>

<file path=xl/sharedStrings.xml><?xml version="1.0" encoding="utf-8"?>
<sst xmlns="http://schemas.openxmlformats.org/spreadsheetml/2006/main" count="1590" uniqueCount="470">
  <si>
    <t>Kendall DL use in cardiac monitoring associated with Coronary Artery Bypass Grafting (CABG)</t>
  </si>
  <si>
    <t>Budget impact analysis in the United States of America</t>
  </si>
  <si>
    <t>Menu</t>
  </si>
  <si>
    <t>Population</t>
  </si>
  <si>
    <t>Model set up</t>
  </si>
  <si>
    <t>Patient population</t>
  </si>
  <si>
    <t>Please set the required time horizon and discount rate</t>
  </si>
  <si>
    <t>Home</t>
  </si>
  <si>
    <t>Introduction to working with the model</t>
  </si>
  <si>
    <t>Parameter</t>
  </si>
  <si>
    <t>Model type</t>
  </si>
  <si>
    <t>Cohort</t>
  </si>
  <si>
    <t>Value</t>
  </si>
  <si>
    <t>Unit</t>
  </si>
  <si>
    <t>SD/SE</t>
  </si>
  <si>
    <t>95% low</t>
  </si>
  <si>
    <t>95% high</t>
  </si>
  <si>
    <t>Reference</t>
  </si>
  <si>
    <t>Information</t>
  </si>
  <si>
    <t>Methodology</t>
  </si>
  <si>
    <t>Markov</t>
  </si>
  <si>
    <t>Time horizon</t>
  </si>
  <si>
    <t>Interventions</t>
  </si>
  <si>
    <t>General information</t>
  </si>
  <si>
    <t>1. This computer model uses a Markov model to simulate progression of a cohort of patients who undergo CABG and received ECG monitoring with either disposable or reusable leads</t>
  </si>
  <si>
    <t xml:space="preserve">2. Default values in the model are derived from peer-reviewed published literature and details can be found by clicking the information button on each page  </t>
  </si>
  <si>
    <t>Age</t>
  </si>
  <si>
    <t>Adverse events</t>
  </si>
  <si>
    <t>3. Values that can be updted by the user are indicated by a light green background</t>
  </si>
  <si>
    <t>years</t>
  </si>
  <si>
    <t>Currency, currency year</t>
  </si>
  <si>
    <t>USD</t>
  </si>
  <si>
    <t>Gender, female</t>
  </si>
  <si>
    <t>4. Cells containing automatically calculated values cannot be altered and have a grey background</t>
  </si>
  <si>
    <t>%</t>
  </si>
  <si>
    <t>Costs</t>
  </si>
  <si>
    <t>5. The model can be reset to default values using the reset button each page</t>
  </si>
  <si>
    <t>6. Please navigate the model using the menu on the left-hand side</t>
  </si>
  <si>
    <t>Results</t>
  </si>
  <si>
    <t>Body mass index, obese</t>
  </si>
  <si>
    <t xml:space="preserve">7. If there are any questions, please contact Coreva Scientific and provide the model title and version </t>
  </si>
  <si>
    <t>Body mass index, morbid obesity</t>
  </si>
  <si>
    <t>Sensitivity analysis</t>
  </si>
  <si>
    <t>Event rates</t>
  </si>
  <si>
    <t>Version 1.0, not for distribution or citing</t>
  </si>
  <si>
    <t>Diabetes</t>
  </si>
  <si>
    <t>Annual cost discount rate</t>
  </si>
  <si>
    <t>CABG patients per year</t>
  </si>
  <si>
    <t>Options for electrocardiogram (ECG) monitoring</t>
  </si>
  <si>
    <t>Reusable ECG</t>
  </si>
  <si>
    <t>Purchase cost of lead</t>
  </si>
  <si>
    <t>Number of patient uses</t>
  </si>
  <si>
    <t>Purchase cost of cable</t>
  </si>
  <si>
    <t>Cost per patient use</t>
  </si>
  <si>
    <t>Market share</t>
  </si>
  <si>
    <t>% of patients</t>
  </si>
  <si>
    <t>Efficacy and safety</t>
  </si>
  <si>
    <t>Kendall DL</t>
  </si>
  <si>
    <t>Purchase cost</t>
  </si>
  <si>
    <t>Market share…</t>
  </si>
  <si>
    <t>Hospital events under standard operating parameters</t>
  </si>
  <si>
    <t xml:space="preserve">…increasing </t>
  </si>
  <si>
    <t>%-points per year</t>
  </si>
  <si>
    <t>Surgical site infection</t>
  </si>
  <si>
    <t>Hospital events</t>
  </si>
  <si>
    <t>OR</t>
  </si>
  <si>
    <t>False alarms</t>
  </si>
  <si>
    <t>RR</t>
  </si>
  <si>
    <t>Leads-off alarms</t>
  </si>
  <si>
    <t>Risk factors</t>
  </si>
  <si>
    <t>Time on MV</t>
  </si>
  <si>
    <t>days</t>
  </si>
  <si>
    <t>Time in ICU</t>
  </si>
  <si>
    <t>Time in hospital</t>
  </si>
  <si>
    <t>Patients with prolonged MV</t>
  </si>
  <si>
    <t>Electrocardiogram monitoring</t>
  </si>
  <si>
    <t>Discharge home</t>
  </si>
  <si>
    <t>Adverse events with reusable ECG leads</t>
  </si>
  <si>
    <t>Discharge to care facility</t>
  </si>
  <si>
    <t>Care facility stay</t>
  </si>
  <si>
    <t>Reoperation rate</t>
  </si>
  <si>
    <t>% per year</t>
  </si>
  <si>
    <t>In-hospital mortality…</t>
  </si>
  <si>
    <t>… after</t>
  </si>
  <si>
    <t>Surgical site infections…</t>
  </si>
  <si>
    <t>… that are DSWI*</t>
  </si>
  <si>
    <t xml:space="preserve">
</t>
  </si>
  <si>
    <t>ECG alarm events...</t>
  </si>
  <si>
    <t>...False alarms</t>
  </si>
  <si>
    <t>events</t>
  </si>
  <si>
    <t>...Leads-off alarms</t>
  </si>
  <si>
    <t>...Per</t>
  </si>
  <si>
    <t xml:space="preserve">  monitoring days</t>
  </si>
  <si>
    <t>*Deep sternal wound infection</t>
  </si>
  <si>
    <t>Event rate</t>
  </si>
  <si>
    <t>Risk factors for event onset</t>
  </si>
  <si>
    <t>Care costs in hospital or outpatient setting</t>
  </si>
  <si>
    <t>Age…</t>
  </si>
  <si>
    <t>…life expectancy</t>
  </si>
  <si>
    <t>Life tables</t>
  </si>
  <si>
    <t>Care costs</t>
  </si>
  <si>
    <t>Mortality risk increases with age</t>
  </si>
  <si>
    <t>Event costs</t>
  </si>
  <si>
    <t>Gender…</t>
  </si>
  <si>
    <t>Mortality risk is (generally) higher in males</t>
  </si>
  <si>
    <t>Body mass index (BMI)…</t>
  </si>
  <si>
    <t>…ICU length of stay</t>
  </si>
  <si>
    <t>CABG</t>
  </si>
  <si>
    <t>day(s) extra</t>
  </si>
  <si>
    <t>ghanta 2016</t>
  </si>
  <si>
    <t>…DSWI</t>
  </si>
  <si>
    <t>…prolonged MV</t>
  </si>
  <si>
    <t>…hospital mortality</t>
  </si>
  <si>
    <t>Mechanical ventilation</t>
  </si>
  <si>
    <t xml:space="preserve">…when </t>
  </si>
  <si>
    <t>Morbidly obese</t>
  </si>
  <si>
    <t>Diabetes…</t>
  </si>
  <si>
    <t>ICU per day</t>
  </si>
  <si>
    <t>Raza 2015</t>
  </si>
  <si>
    <t>OR in propensity matched group  =</t>
  </si>
  <si>
    <t>1.71 (1.36 to 2.16)</t>
  </si>
  <si>
    <t>General ward per day</t>
  </si>
  <si>
    <t>Nurse time</t>
  </si>
  <si>
    <t>Care facility</t>
  </si>
  <si>
    <t>Patient at home…</t>
  </si>
  <si>
    <t xml:space="preserve">… for </t>
  </si>
  <si>
    <t>Event costs associated with CABG care</t>
  </si>
  <si>
    <t>Inpatient SSI</t>
  </si>
  <si>
    <t>Outpatient care for SSI</t>
  </si>
  <si>
    <t>Inpatient DSWI</t>
  </si>
  <si>
    <t>Readmission for DSWI</t>
  </si>
  <si>
    <t>False alarm</t>
  </si>
  <si>
    <t>minutes per event</t>
  </si>
  <si>
    <t>Leads-off alarm</t>
  </si>
  <si>
    <t>Length of stay…</t>
  </si>
  <si>
    <t>...with SSI</t>
  </si>
  <si>
    <t>...with DSWI</t>
  </si>
  <si>
    <t>Mortality</t>
  </si>
  <si>
    <t>Scenario 1</t>
  </si>
  <si>
    <t>Scenario 2</t>
  </si>
  <si>
    <t>Difference</t>
  </si>
  <si>
    <t>Total cost</t>
  </si>
  <si>
    <t>Initial inpatient stay</t>
  </si>
  <si>
    <t>ICU days</t>
  </si>
  <si>
    <t>Hospital days</t>
  </si>
  <si>
    <t>After patient discharge</t>
  </si>
  <si>
    <t>Readmissions</t>
  </si>
  <si>
    <t>Estimation of confidence about base case results</t>
  </si>
  <si>
    <t>Simulations</t>
  </si>
  <si>
    <t>Model runs</t>
  </si>
  <si>
    <t>Seed value</t>
  </si>
  <si>
    <t>Positive integer</t>
  </si>
  <si>
    <t>Differential with increased Kendall DL use, Kendall DL minus Standard</t>
  </si>
  <si>
    <t>Result</t>
  </si>
  <si>
    <t>Median</t>
  </si>
  <si>
    <t>95% lower CrI</t>
  </si>
  <si>
    <t>95% higher CrI</t>
  </si>
  <si>
    <t>Cost</t>
  </si>
  <si>
    <t>How change in costs impacts on model outcomes</t>
  </si>
  <si>
    <t>%-change in costs</t>
  </si>
  <si>
    <t>Background settings</t>
  </si>
  <si>
    <t>Other model variables</t>
  </si>
  <si>
    <t>SSI rates…</t>
  </si>
  <si>
    <t>…at index admission (9 days)</t>
  </si>
  <si>
    <t>… 30 days</t>
  </si>
  <si>
    <t>… 90 days</t>
  </si>
  <si>
    <t>Mortality with DSWI…</t>
  </si>
  <si>
    <t>Odds ratio</t>
  </si>
  <si>
    <t>… 1 year</t>
  </si>
  <si>
    <t>Mortality during CABG</t>
  </si>
  <si>
    <t>Prolonged MV duration</t>
  </si>
  <si>
    <t>ICU days as proportion of SSI LOS</t>
  </si>
  <si>
    <t>Morbidly obese pats with diabetes</t>
  </si>
  <si>
    <t>Ghanta</t>
  </si>
  <si>
    <t>Cell options</t>
  </si>
  <si>
    <t>Valid values for parameter inputs</t>
  </si>
  <si>
    <t>Yes/No</t>
  </si>
  <si>
    <t>Time Horizon</t>
  </si>
  <si>
    <t>Risk</t>
  </si>
  <si>
    <t>Year</t>
  </si>
  <si>
    <t>Yes</t>
  </si>
  <si>
    <t>No</t>
  </si>
  <si>
    <t>Obese</t>
  </si>
  <si>
    <t>Sensitvity analysis</t>
  </si>
  <si>
    <t>Parameters</t>
  </si>
  <si>
    <t>Model parameters and their input values</t>
  </si>
  <si>
    <t>Item</t>
  </si>
  <si>
    <t>Page</t>
  </si>
  <si>
    <t>Column</t>
  </si>
  <si>
    <t>Row</t>
  </si>
  <si>
    <t>var col</t>
  </si>
  <si>
    <t>min col</t>
  </si>
  <si>
    <t>max col</t>
  </si>
  <si>
    <t>Parameter name</t>
  </si>
  <si>
    <t>Base case</t>
  </si>
  <si>
    <t>Variance</t>
  </si>
  <si>
    <t>95 min</t>
  </si>
  <si>
    <t>95 max</t>
  </si>
  <si>
    <t>Sample variance</t>
  </si>
  <si>
    <t>Distribution</t>
  </si>
  <si>
    <t>Min</t>
  </si>
  <si>
    <t>Max</t>
  </si>
  <si>
    <t>Sampled value</t>
  </si>
  <si>
    <t>Name</t>
  </si>
  <si>
    <t>Model input</t>
  </si>
  <si>
    <t>Random</t>
  </si>
  <si>
    <t>Sampling</t>
  </si>
  <si>
    <t>Setup</t>
  </si>
  <si>
    <t>F</t>
  </si>
  <si>
    <t>None</t>
  </si>
  <si>
    <t>Currency</t>
  </si>
  <si>
    <t>Year for currency</t>
  </si>
  <si>
    <t>G</t>
  </si>
  <si>
    <t>CABG patients</t>
  </si>
  <si>
    <t>Cost discount rate</t>
  </si>
  <si>
    <t>I</t>
  </si>
  <si>
    <t>J</t>
  </si>
  <si>
    <t>Normal</t>
  </si>
  <si>
    <t>H</t>
  </si>
  <si>
    <t>Obese, body mass index</t>
  </si>
  <si>
    <t>Morbid obesity, body mass index</t>
  </si>
  <si>
    <t>Int_Purc_lead</t>
  </si>
  <si>
    <t>Int_Purc_cable</t>
  </si>
  <si>
    <t>Int_Numb_cable</t>
  </si>
  <si>
    <t>Default parameters</t>
  </si>
  <si>
    <t>Model parameters and their default values</t>
  </si>
  <si>
    <t>Model year</t>
  </si>
  <si>
    <t>Sheet Name</t>
  </si>
  <si>
    <t>Cell</t>
  </si>
  <si>
    <t>Variance cell</t>
  </si>
  <si>
    <t>Min cell</t>
  </si>
  <si>
    <t>Max cell</t>
  </si>
  <si>
    <t>Basecase</t>
  </si>
  <si>
    <t>min range</t>
  </si>
  <si>
    <t>max range</t>
  </si>
  <si>
    <t>Summary</t>
  </si>
  <si>
    <t>Citation</t>
  </si>
  <si>
    <t>VarianceOrig</t>
  </si>
  <si>
    <t>Min Orig</t>
  </si>
  <si>
    <t>Max Orig</t>
  </si>
  <si>
    <t/>
  </si>
  <si>
    <t>The length of time over which the simulation runs, can vary from 0.5 (6 months) to 5 years</t>
  </si>
  <si>
    <t>Currency is in United States Dollars</t>
  </si>
  <si>
    <t>Kendall DL purchase cost</t>
  </si>
  <si>
    <t>Int_Kend_cost</t>
  </si>
  <si>
    <t>The currency is in 2016 USD, with older pricing inflated to this date</t>
  </si>
  <si>
    <t>Kendall DL market share…</t>
  </si>
  <si>
    <t>Int_Kend_MS</t>
  </si>
  <si>
    <t>The number of Medicare CABG procedures annually in the facility</t>
  </si>
  <si>
    <t>Cost discounting at 3.5% per annum is recommended</t>
  </si>
  <si>
    <t>Moore MA, Boardman AE, Vining AR. The choice of the social discount rate and the opportunity cost of public funds. J Benefit-Cost Anal 2013;4:401–9. doi:10.1515/jbca-2013-0023.</t>
  </si>
  <si>
    <t xml:space="preserve">Kendall DL market share…increasing </t>
  </si>
  <si>
    <t>Int_Kend_MS_inc</t>
  </si>
  <si>
    <t>Data taken from analysis of 66,473 Medicare patients undergoing CABG in 2012. The median age was 73 years, with an IQR of 69 to 78</t>
  </si>
  <si>
    <t>McNeely C, Markwell S, Vassileva C. Trends in Patient Characteristics and Outcomes of Coronary Artery Bypass Grafting in the 2000 to 2012 Medicare Population. Ann Thorac Surg 2016;102:132–8. doi:10.1016/j.athoracsur.2016.01.016.</t>
  </si>
  <si>
    <t>Kendall DL surgical site infection RR</t>
  </si>
  <si>
    <t>Int_Kend_ssi</t>
  </si>
  <si>
    <t>Data taken from analysis of 66,473 Medicare patients undergoing CABG in 2012. The population was 29.8% female, the variance was calculated using binomial error.</t>
  </si>
  <si>
    <t>LogNormal</t>
  </si>
  <si>
    <t>Analysis of 13,637 consecutive patients who underwent coronary surgery, of whom 9,702 underwent CABG. Of these, 3,548 were obese and 550 morbidly obese</t>
  </si>
  <si>
    <t>Ghanta RK, LaPar DJ, Zhang Q, et al. Obesity increases risk-adjusted morbidity, mortality, and cost following cardiac surgery. J Am Heart Assoc. 2017;6(3). doi:10.1161/JAHA.116.003831</t>
  </si>
  <si>
    <t>Kendall DL false alarms RR</t>
  </si>
  <si>
    <t>Int_Kend_false</t>
  </si>
  <si>
    <t>Data taken from analysis of 66,473 Medicare patients undergoing CABG in 2012. Of the population 45.2% had diabetes, the variance was calculated using binomial error.</t>
  </si>
  <si>
    <t>Kendall DL leads-off alarms, RR</t>
  </si>
  <si>
    <t>Int_Kend_leadsoff</t>
  </si>
  <si>
    <t>To be updated by the facility</t>
  </si>
  <si>
    <t>https://www.medscape.com/viewarticle/819134, accessed 08 January 2018</t>
  </si>
  <si>
    <t>Assumption</t>
  </si>
  <si>
    <t>Events</t>
  </si>
  <si>
    <t>https://www.cablesandsensors.com/products/medtronic-physio-control-compatible-direct-connect-ekg-cable?variant=33805653768, accessed 08 January 2018</t>
  </si>
  <si>
    <t>ICU time</t>
  </si>
  <si>
    <t>Calculated value</t>
  </si>
  <si>
    <t>Hospital time</t>
  </si>
  <si>
    <t>Data for standard of care are entered in the Events tabs</t>
  </si>
  <si>
    <t>Prolonged MV patients</t>
  </si>
  <si>
    <t>Cost of Kendall DL purchase when volume discounting and reprocessing are considered</t>
  </si>
  <si>
    <t>Data on file with Cardinal health</t>
  </si>
  <si>
    <t>Assumes no current use of Kendall DL</t>
  </si>
  <si>
    <t>ECG monitoring</t>
  </si>
  <si>
    <t>Assumes that the facility will convert to full use of Kendall DL</t>
  </si>
  <si>
    <t>Analysis of Medicare data comparing centers using Kendall DL with centers not using Kendall DL. The odds ratio was calcualted for outcomes at 90 days</t>
  </si>
  <si>
    <t>Data on file with Cardinal health and currently in publication</t>
  </si>
  <si>
    <t>Home discharge</t>
  </si>
  <si>
    <t>Two cardiac telemetry units were randomized to reusable ECG-LWs, and 2 units alternated between disposable (Kendall DL) and reusable ECG-LWs for 4 months. The study reported the relative risk (95% CI) of different events with Kendall DL compared with reusable leads.</t>
  </si>
  <si>
    <t>Albert NM, Murray T, Bena JF, et al. Differences in Alarm Events Between Disposable and Reusable Electrocardiography Lead Wires. Am J Crit Care. 2015;24(1):67-74. doi:10.4037/ajcc2015663</t>
  </si>
  <si>
    <t>Care facility discharge</t>
  </si>
  <si>
    <t>Calculations</t>
  </si>
  <si>
    <t>Health economic analysis details</t>
  </si>
  <si>
    <t>Linked</t>
  </si>
  <si>
    <t>Cumulative SSI incidence</t>
  </si>
  <si>
    <t>Analysis of 45,139 nondiabetics who underwent first-time CABG, their average time in ICU was 24 hours (Table 2). As prolonged mechanical ventilation (MV) was over 24 hrs, it was taken that MV was 12 hours on average.</t>
  </si>
  <si>
    <t>Raza S, Sabik JF, Ainkaran P, Blackstone EH. Coronary artery bypass grafting in diabetics: A growing health care cost crisis. J Thorac Cardiovasc Surg. 2015;150(2):304-312.e2. doi:10.1016/j.jtcvs.2015.03.041.</t>
  </si>
  <si>
    <t>alpha</t>
  </si>
  <si>
    <t>theta</t>
  </si>
  <si>
    <t>eta</t>
  </si>
  <si>
    <t>Facility stay, days</t>
  </si>
  <si>
    <t>kappa</t>
  </si>
  <si>
    <t>x</t>
  </si>
  <si>
    <t>y</t>
  </si>
  <si>
    <t>Analysis of 45,139 nondiabetics who underwent first-time CABG, their average time in ICU was 24 hours (Table 2)</t>
  </si>
  <si>
    <t>P</t>
  </si>
  <si>
    <t>SSI</t>
  </si>
  <si>
    <t>Days</t>
  </si>
  <si>
    <t>Calc rate from graph</t>
  </si>
  <si>
    <t>Input</t>
  </si>
  <si>
    <t>Data taken from analysis of 66,473 Medicare patients undergoing CABG in 2012. The median length of stay post-CABG was 8 days, IQR 6 to 13</t>
  </si>
  <si>
    <t>Kendall L</t>
  </si>
  <si>
    <t>Cumulative Incidence</t>
  </si>
  <si>
    <t>DSWI</t>
  </si>
  <si>
    <t>Reoperation rates</t>
  </si>
  <si>
    <t>Analysis of 13,637 consecutive patients who underwent coronary surgery, of whom 9,702 underwent CABG. Of these, 10.6% required prolonged mechanical ventilation (&gt; 24 hours)</t>
  </si>
  <si>
    <t>p</t>
  </si>
  <si>
    <t>In-hospital mortality, %</t>
  </si>
  <si>
    <t>Data taken from analysis of 66,473 Medicare patients undergoing CABG in 2012. The median length of stay post-CABG was 8 days, IQR 6 to 13. Patients are assumed to be on ECG monitoring for their entire hopsital stay.</t>
  </si>
  <si>
    <t>Time outside</t>
  </si>
  <si>
    <t>Data taken from analysis of 66,473 Medicare patients undergoing CABG in 2012. 74.5% of patients were discharged home, the variance was calculated using binomial error</t>
  </si>
  <si>
    <t>Mortality after N days</t>
  </si>
  <si>
    <t>Data taken from analysis of 66,473 Medicare patients undergoing CABG in 2012. 74.5% of patients were discharged home, the remainder are assumed to be discharged to a nursing facility.</t>
  </si>
  <si>
    <t>After</t>
  </si>
  <si>
    <t>Report for the US Department of Health and Human Services that analysed Medicare use of nursing and care facilities. The mean length of stay in a skilled nursing facility was 27 days, the range was taken to be 13.3 days for a stay at an inpatient rehabilitation facility to 60 days for home help</t>
  </si>
  <si>
    <t>Grabowski DC. POST-ACUTE AND LONG-TERM CARE: A PRIMER ON SERVICES, EXPENDITURES AND PAYMENT METHODS 2010.</t>
  </si>
  <si>
    <t>Surgical site infections, %</t>
  </si>
  <si>
    <t>Analysis of 123 consecutive, selected patients treated with coronary artery bypass graft (CABG) surgery for unprotected left main coronary artery (ULMCA) disease. After 1 year, 5% were free from target vessel revascularization. The variance was calculated using binomial error</t>
  </si>
  <si>
    <t>Lee MS, Kapoor N, Jamal F, Czer L, Aragon J, Forrester J, et al. Comparison of coronary artery bypass surgery with percutaneous coronary intervention with drug-eluting stents for unprotected left main coronary artery disease. J Am Coll Cardiol 2006;47:864–70. doi:10.1016/j.jacc.2005.09.072.</t>
  </si>
  <si>
    <t>Data taken from analysis of 66,473 Medicare patients undergoing CABG in 2012. 2.7% of patients died in hospital, the variance was calculated using binomial error</t>
  </si>
  <si>
    <t>SSI after N days</t>
  </si>
  <si>
    <t>Data taken from analysis of 66,473 Medicare patients undergoing CABG in 2012. The length of stay in hospital post-CABG had an upper valze of 13 days, and this value is taken as the follow-up for in-hospital mortality</t>
  </si>
  <si>
    <t>DSWI, % of SSIs</t>
  </si>
  <si>
    <t>Data on file with Cardinal Health and currently in publication</t>
  </si>
  <si>
    <t>False alarms, N</t>
  </si>
  <si>
    <t>Overall, 7% of patients had an SSI. In Table 5, 3% (absolute) of these were organ space infections, this is 40.75%</t>
  </si>
  <si>
    <t>Selby, L. V et al. Comparing surgical infections in National Surgical Quality Improvement Project and an Institutional Database. J. Surg. Res. 196, 416–20 (2015). (PMID: 25840487)</t>
  </si>
  <si>
    <t>Two cardiac telemetry units were randomized to reusable ECG-LWs, and 2 units alternated between disposable (Kendall DL) and reusable ECG-LWs for 4 months. Results were the number of events per 100 monitoring days</t>
  </si>
  <si>
    <t>Leads-off alarms, N</t>
  </si>
  <si>
    <t>Alarms per N days</t>
  </si>
  <si>
    <t>Two cardiac telemetry units were randomized to reusable ECG-LWs, and 2 units alternated between disposable (Kendall DL) and reusable ECG-LWs for 4 months. Rates were reported per 100 monitoring days</t>
  </si>
  <si>
    <t>Life tables are indexed by age</t>
  </si>
  <si>
    <t>https://www.cdc.gov/nchs/data/nvsr/nvsr65/nvsr65_08.pdf  accessed: January 08, 2018</t>
  </si>
  <si>
    <t>Age, life expectancy</t>
  </si>
  <si>
    <t>Separate US life tables are used for males and females</t>
  </si>
  <si>
    <t>Gender, life expectancy</t>
  </si>
  <si>
    <t>Length of stay in ICU, BMI</t>
  </si>
  <si>
    <t>DSWI, BMI</t>
  </si>
  <si>
    <t>Analysis of 45,139 nondiabetics who underwent first-time CABG, their average time in ICU was 24 hours (Table 2). Outcomes were compared to 10,362 patients with diabetes</t>
  </si>
  <si>
    <t>Prolonged MV, BMI</t>
  </si>
  <si>
    <t>Final result and econmic analysis from the Synergy Between Percutaneous Coronary Intervention With TAXUS and Cardiac Surgery (SYNTAX) trial, which enrolled 870 CABG patients between 2005 and 2007. Post procedural costs were taken from 43,866 SYNTAX eligible patients in the 2010 Medicare Povider Review database. The cost year was 2010.</t>
  </si>
  <si>
    <t>Cohen DJ, Osnabrugge RL, Magnuson EA, Wang K, Li H, Chinnakondepalli K, et al. Cost-effectiveness of percutaneous coronary intervention with drug-eluting stents versus bypass surgery for patients with 3-vessel or left main coronary artery disease final results from the synergy between percutaneous coronary intervention with TAXUS an. Circulation 2014;130:1146–57. doi:10.1161/CIRCULATIONAHA.114.009985.</t>
  </si>
  <si>
    <t>Hospital mortality, BMI</t>
  </si>
  <si>
    <t>Retrospective review of admissions to 5 types of ICU unit over the course of 2013. Costs are assumed to be 2013 costs and costs used are those for the cardiac surgery ICU. The additional cost of mechanical ventilation is provided in the supplement, and ranges from $193 per day in the medical ICU to $831 per day in the surgical ICU. The basecase value is $693 for the cariac ICU.</t>
  </si>
  <si>
    <t>Gershengorn HB, Garland A, Gong MN. Patterns of daily costs differ for medical and surgical intensive care unit patients. Ann Am Thorac Soc 2015;12:1831–6. doi:10.1513/AnnalsATS.201506-366BC.</t>
  </si>
  <si>
    <r>
      <t>Risk when BMI over N kg/m</t>
    </r>
    <r>
      <rPr>
        <rFont val="Trebuchet MS"/>
        <b/>
        <color rgb="FF000000"/>
        <sz val="10.0"/>
        <vertAlign val="superscript"/>
      </rPr>
      <t>2</t>
    </r>
  </si>
  <si>
    <t>Retrospective review of admissions to 5 types of ICU unit over the course of 2013. Costs are assumed to be 2013 costs and costs used are those for the cardiac surgery ICU. Costs were provided for Day 1 ($5,166), Day 2 ($2,060), and Day 3-30 ($2,325). The latter is used as the median value and confidence intervals are the provided IQR.</t>
  </si>
  <si>
    <t>Diabetes, DSWI</t>
  </si>
  <si>
    <t>Includes all operating and non-operating expenses for registered US community hospitals, defined as nonfederal short-term general and other special hospitals whose facilities and services are available to the public. Costs are in 2015 USD. Variance is assumed to be 1/10 of the base case value</t>
  </si>
  <si>
    <t>The Kaiser Family Foundation State Health Facts. Data Source: Hospital Adjusted Expenses per Inpatient Day. Data located at http://kff.org/health-costs/state-indicator/expenses-per-inpatient-day/?currentTimeframe=0&amp;sortModel=%7B%22colId%22:%22Location%22,%22sort%22:%22asc%22%7D and last accessed January 08, 20187</t>
  </si>
  <si>
    <t xml:space="preserve"> Based on an annual salary of $65,000 and a 33% overhead. The upper and lower bound are assuming that the base salary ($65,000) varies by $10,000 in either direction and then the 33% overhead is applied. The number of nursing hours per year is taken to be 2,058 as per Lord 2006</t>
  </si>
  <si>
    <t>Lord LM. Maintaining Hydration and Tube Patency in Enteral Tube Feedings. Safe Pract Patient Care 2006;5.</t>
  </si>
  <si>
    <t>Report for the US Department of Health and Human Services that analysed Medicare use of nursing and care facilities. The mean length of stay in a skilled nursing facility was 27 days, with a mean of $330 per day, with pricing in 2008 USD. The range is taken to be from the lowest mean cost ($46.6 per day for home help) to the highest mean cost (1,318 per day for long-term care hospitals).</t>
  </si>
  <si>
    <t>Financial analysis of SSIs at Johns Hopkins Health System acute care hospitals in Maryland, including admissions from January 1, 2007 to December 31, 2010. SSIs increased healthcare costs but reduced the daily cost of care by $132 per day. Currency year not provided and so assumed to be 2010, the last year of analysis</t>
  </si>
  <si>
    <t>Shepard J, Ward W, Milstone A, Carlson T, Frederick J, Hadhazy E, et al. Financial Impact of Surgical Site Infections on Hospitals. JAMA Surg 2013;148:907. doi:10.1001/jamasurg.2013.2246.</t>
  </si>
  <si>
    <t>This retrospective cohort study analysed SSIs reported between December 31, 2004 to December 31, 2010 in commercial insurer claims data. SSIs within 90 days post-procedure were identified and non-serious infectoins were those not during hospitalization or requiring surgery. Non-serious breast reconstruction surgeries were sued as the proxy for CABG, as these surgeries are also in the thorax. Non-serious SSIs cost $2,425 (591, 3,677) in 2014 USD</t>
  </si>
  <si>
    <t>Olsen MA, Tian F, Wallace AE, Nickel KB, Warren DK, Fraser VJ, et al. Use of Quantile Regression to Determine the Impact on Total Health Care Costs of Surgical Site Infections Following Common Ambulatory Procedures. Ann Surg 2017;265:331–9. doi:10.1097/SLA.0000000000001590.</t>
  </si>
  <si>
    <t>Retrospective analysis of propensity-score matched adult patients who underwent cardiac surgery between September 2008 and August 2012 at Staten Island University Hospital. Patient readmission was found to have a median cost of $21,100 and an IQR of $13,500 to $37,400. The currency year was not provided and was assumed to be 2012 USD as 2012 was the last year of data collection.</t>
  </si>
  <si>
    <t>Nabagiez JP, Shariff MA, Molloy WJ, Demissie S, McGinn JT. Cost Analysis of Physician Assistant Home Visit Program to Reduce Readmissions After Cardiac Surgery. Ann Thorac Surg 2016;102:696–702. doi:10.1016/j.athoracsur.2016.03.077.</t>
  </si>
  <si>
    <t>Patient at home, cost</t>
  </si>
  <si>
    <t>Days of home care</t>
  </si>
  <si>
    <t>Alasmari, F. A. et al. Temporal trends in the incidence of surgical site infections in patients undergoing coronary artery bypass graft surgery: A population-based cohort study, 1993 to 2008. Mayo Clin. Proc. 87, 1054–1061 (2012). (PMID: 23127732)</t>
  </si>
  <si>
    <t>Sears ED, Wu L, Waljee JF, Momoh AO, Zhong L, Chung KC. The Impact of Deep Sternal Wound Infection on Mortality and Resource Utilization: A Population-based Study. World J Surg. 2016;40(11):2673-2680. doi:10.1007/s00268-016-3598-7</t>
  </si>
  <si>
    <t>Costs AE</t>
  </si>
  <si>
    <t>Cos_Inpa_SSI</t>
  </si>
  <si>
    <t>Analysis of Medicare data. Data and analysis on file with Cardinal Health</t>
  </si>
  <si>
    <t>Cos_Inpa_DSWI</t>
  </si>
  <si>
    <t>Mazzeffi M, Zivot J, Buchman T, Halkos M. In-hospital mortality after cardiac surgery: patient characteristics, timing, and association with postoperative length of intensive care unit and hospital stay. Ann Thorac Surg 2014;97:1220–5. doi:10.1016/j.athoracsur.2013.10.040.</t>
  </si>
  <si>
    <t>[1] Widyastuti Y, Stenseth R, Pleym H, Wahba A, Videm V. Pre-operative and intraoperative determinants for prolonged ventilation following adult cardiac surgery. Acta Anaesthesiol Scand 2012;56:190–9. doi:10.1111/j.1399-6576.2011.02538.x.</t>
  </si>
  <si>
    <t>Mortality is assumed to have no direct cost to the facility</t>
  </si>
  <si>
    <t>SSI days</t>
  </si>
  <si>
    <t>Variable used to distribute costs and location of care between ICU and general ward for patients with SSI and DSWI</t>
  </si>
  <si>
    <t>Jenney AW, Harrington GA, Russo PL, Spelman DW. Cost of surgical site infections following coronary artery bypass surgery. ANZ J Surg. 2001;71(11):662-664. http://www.ncbi.nlm.nih.gov/pubmed/11736828.</t>
  </si>
  <si>
    <t>Analysis of 13,637 consecutive patients who underwent coronary surgery, of whom 9,702 underwent CABG. Of these, 3,548 were obese and 550 morbidly obese. 65% of patients with morbid obesity had diabetes melitus</t>
  </si>
  <si>
    <t>DSWI days</t>
  </si>
  <si>
    <t>9-day SSI</t>
  </si>
  <si>
    <t>Background</t>
  </si>
  <si>
    <t>Bac_SSI_9d</t>
  </si>
  <si>
    <t>30-day SSI</t>
  </si>
  <si>
    <t>Bac_SSI_30d</t>
  </si>
  <si>
    <t>90-day SSI</t>
  </si>
  <si>
    <t>Bac_SSI_90d</t>
  </si>
  <si>
    <t>30 day mortality, DSWI risk</t>
  </si>
  <si>
    <t>BAC_DSWI_30d</t>
  </si>
  <si>
    <t>90 day mortality, DSWI risk</t>
  </si>
  <si>
    <t>BAC_DSWI_90d</t>
  </si>
  <si>
    <t>1 year mortality, DSWI risk</t>
  </si>
  <si>
    <t>BAC_DSWI_1y</t>
  </si>
  <si>
    <t>Bac_CABG_death</t>
  </si>
  <si>
    <t>Prolonged MV, days</t>
  </si>
  <si>
    <t>Bac_MV_days</t>
  </si>
  <si>
    <t>Mortality cost</t>
  </si>
  <si>
    <t>ICU days as proportion of SSI days</t>
  </si>
  <si>
    <t>Obese with diabetes</t>
  </si>
  <si>
    <t>Model design document</t>
  </si>
  <si>
    <t>Input table from MDD</t>
  </si>
  <si>
    <t>Cycle</t>
  </si>
  <si>
    <t>1-day</t>
  </si>
  <si>
    <t>91.3-day</t>
  </si>
  <si>
    <t>Start</t>
  </si>
  <si>
    <t>ICU+MV</t>
  </si>
  <si>
    <t>Prolonged MV</t>
  </si>
  <si>
    <t>ICU</t>
  </si>
  <si>
    <t>GW</t>
  </si>
  <si>
    <t>Care home</t>
  </si>
  <si>
    <t>Outpatient DSWI</t>
  </si>
  <si>
    <t>Outpatient SSI</t>
  </si>
  <si>
    <t>Deceased</t>
  </si>
  <si>
    <t>End</t>
  </si>
  <si>
    <t>Morbid obesity</t>
  </si>
  <si>
    <t>Obesity risk</t>
  </si>
  <si>
    <t>Obes and diabetes</t>
  </si>
  <si>
    <t>r</t>
  </si>
  <si>
    <t>OR/((1/p)-1+OR)</t>
  </si>
  <si>
    <t>p = 1-exp(-rt)</t>
  </si>
  <si>
    <t>r = -ln(1-p)/t</t>
  </si>
  <si>
    <t>multiplied by patients</t>
  </si>
  <si>
    <t>Day</t>
  </si>
  <si>
    <t>Not monitored</t>
  </si>
  <si>
    <t>Potential monitoring</t>
  </si>
  <si>
    <t>Monitored</t>
  </si>
  <si>
    <t>Monitoring</t>
  </si>
  <si>
    <t>Leads-off</t>
  </si>
  <si>
    <t>cycle</t>
  </si>
  <si>
    <t>Check</t>
  </si>
  <si>
    <t>S1</t>
  </si>
  <si>
    <t>S2</t>
  </si>
  <si>
    <t>Y0.5</t>
  </si>
  <si>
    <t>Y1</t>
  </si>
  <si>
    <t>Y2</t>
  </si>
  <si>
    <t>Y3</t>
  </si>
  <si>
    <t>Y4</t>
  </si>
  <si>
    <t>Y5</t>
  </si>
  <si>
    <t>Table 2. Life table for males: United States, 2012</t>
  </si>
  <si>
    <t>Table 3. Life table for females: United States, 2012</t>
  </si>
  <si>
    <t>Males</t>
  </si>
  <si>
    <t>Females</t>
  </si>
  <si>
    <t xml:space="preserve"> x</t>
  </si>
  <si>
    <t>mx</t>
  </si>
  <si>
    <t>Death per year</t>
  </si>
  <si>
    <t>Alive</t>
  </si>
  <si>
    <t>Max age</t>
  </si>
  <si>
    <t>SumProduct</t>
  </si>
  <si>
    <t>Mean_mortality</t>
  </si>
  <si>
    <t>Cost decrease</t>
  </si>
  <si>
    <t>Cost increase</t>
  </si>
  <si>
    <t>95% CI low</t>
  </si>
  <si>
    <t>95% CI high</t>
  </si>
  <si>
    <t>Care facility per day</t>
  </si>
  <si>
    <t>Count saving</t>
  </si>
  <si>
    <t>91-day</t>
  </si>
  <si>
    <t>91-day%</t>
  </si>
  <si>
    <t>Inflation</t>
  </si>
  <si>
    <t>Data extracted on: January 8, 2018 (5:36:42 AM)</t>
  </si>
  <si>
    <t xml:space="preserve"> CPI-All Urban Consumers (Current Series)</t>
  </si>
  <si>
    <t>12-Month Percent Change</t>
  </si>
  <si>
    <t>Series Id:     CUUR0000SAM</t>
  </si>
  <si>
    <t>Not Seasonally Adjusted</t>
  </si>
  <si>
    <t>Series Title:  Medical care in U.S. city average, all urban consumers, not seasonally adjusted</t>
  </si>
  <si>
    <t>Area:          U.S. city average</t>
  </si>
  <si>
    <t>Item:          Medical care</t>
  </si>
  <si>
    <t>Base Period:   1982-84=100</t>
  </si>
  <si>
    <t xml:space="preserve">Year    </t>
  </si>
  <si>
    <t>Annual inflation</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</si>
</sst>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_-* #,##0.00_-;\-* #,##0.00_-;_-* &quot;-&quot;??_-;_-@"/>
    <numFmt numFmtId="165" formatCode="#,##0.0"/>
    <numFmt numFmtId="166" formatCode="_-* #,##0_-;\-* #,##0_-;_-* &quot;-&quot;??_-;_-@"/>
    <numFmt numFmtId="167" formatCode="0.00000000"/>
    <numFmt numFmtId="168" formatCode="0.0000000000E+00"/>
    <numFmt numFmtId="169" formatCode="0.000"/>
    <numFmt numFmtId="170" formatCode="0.0"/>
    <numFmt numFmtId="171" formatCode="#,##0.000"/>
    <numFmt numFmtId="172" formatCode="General_)"/>
    <numFmt numFmtId="173" formatCode="0.000000"/>
    <numFmt numFmtId="174" formatCode="0.000000_)"/>
    <numFmt numFmtId="175" formatCode="0.0_)"/>
    <numFmt numFmtId="176" formatCode="0.00_)"/>
  </numFmts>
  <fonts count="29">
    <font>
      <sz val="11.0"/>
      <color rgb="FF000000"/>
      <name val="Trebuchet MS"/>
    </font>
    <font>
      <sz val="10.0"/>
      <color rgb="FF000000"/>
      <name val="Trebuchet MS"/>
    </font>
    <font>
      <b/>
      <sz val="18.0"/>
      <color rgb="FFB30027"/>
      <name val="Trebuchet MS"/>
    </font>
    <font/>
    <font>
      <b/>
      <sz val="14.0"/>
      <color rgb="FF2C89A0"/>
      <name val="Trebuchet MS"/>
    </font>
    <font>
      <b/>
      <sz val="14.0"/>
      <color rgb="FFFFFFFF"/>
      <name val="Trebuchet MS"/>
    </font>
    <font>
      <u/>
      <sz val="10.0"/>
      <color rgb="FFFFFFFF"/>
      <name val="Trebuchet MS"/>
    </font>
    <font>
      <b/>
      <sz val="10.0"/>
      <color rgb="FF000000"/>
      <name val="Trebuchet MS"/>
    </font>
    <font>
      <b/>
      <sz val="11.0"/>
      <color rgb="FF000000"/>
      <name val="Trebuchet MS"/>
    </font>
    <font>
      <b/>
      <sz val="11.0"/>
      <color rgb="FF3F3F3F"/>
      <name val="Trebuchet MS"/>
    </font>
    <font>
      <sz val="10.0"/>
      <color rgb="FFFFFFFF"/>
      <name val="Trebuchet MS"/>
    </font>
    <font>
      <b/>
      <sz val="10.0"/>
      <color rgb="FF3F3F3F"/>
      <name val="Trebuchet MS"/>
    </font>
    <font>
      <b/>
      <sz val="10.0"/>
      <color rgb="FFB30027"/>
      <name val="Trebuchet MS"/>
    </font>
    <font>
      <color rgb="FF000000"/>
      <name val="Trebuchet MS"/>
    </font>
    <font>
      <sz val="11.0"/>
      <name val="Trebuchet MS"/>
    </font>
    <font>
      <i/>
      <sz val="10.0"/>
      <color rgb="FF000000"/>
      <name val="Trebuchet MS"/>
    </font>
    <font>
      <b/>
      <sz val="10.0"/>
      <color rgb="FF000000"/>
      <name val="Courier New"/>
    </font>
    <font>
      <b/>
      <sz val="10.0"/>
      <name val="Arial"/>
    </font>
    <font>
      <b/>
      <i/>
      <sz val="10.0"/>
      <name val="Times New Roman"/>
    </font>
    <font>
      <b/>
      <i/>
      <u/>
      <sz val="10.0"/>
      <color rgb="FF000080"/>
      <name val="Times New Roman"/>
    </font>
    <font>
      <b/>
      <i/>
      <sz val="10.0"/>
      <color rgb="FF000080"/>
      <name val="Times New Roman"/>
    </font>
    <font>
      <b/>
      <sz val="10.0"/>
      <color rgb="FF000080"/>
      <name val="Times New Roman"/>
    </font>
    <font>
      <sz val="10.0"/>
      <name val="Arial"/>
    </font>
    <font>
      <sz val="10.0"/>
      <color rgb="FF000000"/>
      <name val="Courier New"/>
    </font>
    <font>
      <sz val="10.0"/>
      <color rgb="FF86001D"/>
      <name val="Trebuchet MS"/>
    </font>
    <font>
      <b/>
      <sz val="10.0"/>
      <color rgb="FF86001D"/>
      <name val="Trebuchet MS"/>
    </font>
    <font>
      <sz val="11.0"/>
      <color rgb="FF86001D"/>
      <name val="Trebuchet MS"/>
    </font>
    <font>
      <b/>
      <sz val="12.0"/>
      <color rgb="FF000000"/>
      <name val="Arimo"/>
    </font>
    <font>
      <sz val="10.0"/>
      <color rgb="FF000000"/>
      <name val="Arimo"/>
    </font>
  </fonts>
  <fills count="8">
    <fill>
      <patternFill patternType="none"/>
    </fill>
    <fill>
      <patternFill patternType="lightGray"/>
    </fill>
    <fill>
      <patternFill patternType="solid">
        <fgColor rgb="FFFFFFFF"/>
        <bgColor rgb="FFFFFFFF"/>
      </patternFill>
    </fill>
    <fill>
      <patternFill patternType="solid">
        <fgColor rgb="FFB30027"/>
        <bgColor rgb="FFB30027"/>
      </patternFill>
    </fill>
    <fill>
      <patternFill patternType="solid">
        <fgColor rgb="FFAFE9DD"/>
        <bgColor rgb="FFAFE9DD"/>
      </patternFill>
    </fill>
    <fill>
      <patternFill patternType="solid">
        <fgColor rgb="FFF2F2F2"/>
        <bgColor rgb="FFF2F2F2"/>
      </patternFill>
    </fill>
    <fill>
      <patternFill patternType="solid">
        <fgColor rgb="FF000000"/>
        <bgColor rgb="FF000000"/>
      </patternFill>
    </fill>
    <fill>
      <patternFill patternType="solid">
        <fgColor rgb="FFFFBCCB"/>
        <bgColor rgb="FFFFBCCB"/>
      </patternFill>
    </fill>
  </fills>
  <borders count="41">
    <border>
      <left/>
      <right/>
      <top/>
      <bottom/>
    </border>
    <border>
      <left style="thick">
        <color rgb="FF000000"/>
      </left>
      <right/>
      <top style="thick">
        <color rgb="FF000000"/>
      </top>
      <bottom/>
    </border>
    <border>
      <left/>
      <right/>
      <top style="thick">
        <color rgb="FF000000"/>
      </top>
      <bottom/>
    </border>
    <border>
      <left/>
      <top style="thick">
        <color rgb="FF000000"/>
      </top>
      <bottom/>
    </border>
    <border>
      <top style="thick">
        <color rgb="FF000000"/>
      </top>
      <bottom/>
    </border>
    <border>
      <right/>
      <top style="thick">
        <color rgb="FF000000"/>
      </top>
      <bottom/>
    </border>
    <border>
      <left style="thick">
        <color rgb="FF000000"/>
      </left>
      <right/>
      <top/>
      <bottom style="thick">
        <color rgb="FF000000"/>
      </bottom>
    </border>
    <border>
      <left/>
      <right/>
      <top/>
      <bottom style="thick">
        <color rgb="FF000000"/>
      </bottom>
    </border>
    <border>
      <left/>
      <top/>
      <bottom style="thick">
        <color rgb="FF000000"/>
      </bottom>
    </border>
    <border>
      <top/>
      <bottom style="thick">
        <color rgb="FF000000"/>
      </bottom>
    </border>
    <border>
      <right/>
      <top/>
      <bottom style="thick">
        <color rgb="FF000000"/>
      </bottom>
    </border>
    <border>
      <left style="thick">
        <color rgb="FF000000"/>
      </left>
      <right style="thick">
        <color rgb="FF000000"/>
      </right>
      <top/>
      <bottom/>
    </border>
    <border>
      <left/>
      <top/>
      <bottom/>
    </border>
    <border>
      <top/>
      <bottom/>
    </border>
    <border>
      <right/>
      <top/>
      <bottom/>
    </border>
    <border>
      <left style="thick">
        <color rgb="FF000000"/>
      </left>
      <right style="thick">
        <color rgb="FF000000"/>
      </right>
      <top style="thick">
        <color rgb="FF000000"/>
      </top>
      <bottom style="thick">
        <color rgb="FF000000"/>
      </bottom>
    </border>
    <border>
      <left/>
      <right/>
      <top style="thin">
        <color rgb="FFB30027"/>
      </top>
      <bottom style="double">
        <color rgb="FFB30027"/>
      </bottom>
    </border>
    <border>
      <left style="thin">
        <color rgb="FF7F7F7F"/>
      </left>
      <right style="thin">
        <color rgb="FF7F7F7F"/>
      </right>
      <top style="thin">
        <color rgb="FF7F7F7F"/>
      </top>
      <bottom style="thin">
        <color rgb="FF7F7F7F"/>
      </bottom>
    </border>
    <border>
      <left style="thin">
        <color rgb="FF3F3F3F"/>
      </left>
      <right style="thin">
        <color rgb="FF3F3F3F"/>
      </right>
      <top style="thin">
        <color rgb="FF3F3F3F"/>
      </top>
      <bottom style="thin">
        <color rgb="FF3F3F3F"/>
      </bottom>
    </border>
    <border>
      <left/>
      <right/>
      <top/>
    </border>
    <border/>
    <border>
      <left/>
      <right/>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right/>
      <bottom/>
    </border>
    <border>
      <left/>
      <right/>
      <top/>
      <bottom style="double">
        <color rgb="FFB30027"/>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right style="medium">
        <color rgb="FF000000"/>
      </right>
      <top/>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top/>
      <bottom style="thin">
        <color rgb="FF000000"/>
      </bottom>
    </border>
    <border>
      <top/>
      <bottom style="thin">
        <color rgb="FF000000"/>
      </bottom>
    </border>
    <border>
      <right/>
      <top/>
      <bottom style="thin">
        <color rgb="FF000000"/>
      </bottom>
    </border>
    <border>
      <left/>
      <top style="thin">
        <color rgb="FF000000"/>
      </top>
      <bottom style="thin">
        <color rgb="FF000000"/>
      </bottom>
    </border>
    <border>
      <top style="thin">
        <color rgb="FF000000"/>
      </top>
      <bottom style="thin">
        <color rgb="FF000000"/>
      </bottom>
    </border>
    <border>
      <right/>
      <top style="thin">
        <color rgb="FF000000"/>
      </top>
      <bottom style="thin">
        <color rgb="FF000000"/>
      </bottom>
    </border>
    <border>
      <left/>
      <right/>
      <top/>
      <bottom style="thin">
        <color rgb="FF000000"/>
      </bottom>
    </border>
  </borders>
  <cellStyleXfs count="1">
    <xf borderId="0" fillId="0" fontId="0" numFmtId="0" applyAlignment="1" applyBorder="1" applyFont="1"/>
  </cellStyleXfs>
  <cellXfs count="156">
    <xf borderId="0" fillId="0" fontId="0" numFmtId="0" xfId="0" applyAlignment="1" applyBorder="1" applyFont="1">
      <alignment readingOrder="0" shrinkToFit="0" vertical="center" wrapText="0"/>
    </xf>
    <xf borderId="1" fillId="2" fontId="1" numFmtId="0" xfId="0" applyAlignment="1" applyBorder="1" applyFill="1" applyFont="1">
      <alignment vertical="center"/>
    </xf>
    <xf borderId="2" fillId="2" fontId="1" numFmtId="0" xfId="0" applyAlignment="1" applyBorder="1" applyFont="1">
      <alignment vertical="center"/>
    </xf>
    <xf borderId="3" fillId="2" fontId="2" numFmtId="0" xfId="0" applyAlignment="1" applyBorder="1" applyFont="1">
      <alignment horizontal="center" vertical="center"/>
    </xf>
    <xf borderId="4" fillId="0" fontId="3" numFmtId="0" xfId="0" applyAlignment="1" applyBorder="1" applyFont="1">
      <alignment vertical="center"/>
    </xf>
    <xf borderId="5" fillId="0" fontId="3" numFmtId="0" xfId="0" applyAlignment="1" applyBorder="1" applyFont="1">
      <alignment vertical="center"/>
    </xf>
    <xf borderId="0" fillId="2" fontId="1" numFmtId="0" xfId="0" applyAlignment="1" applyBorder="1" applyFont="1">
      <alignment vertical="center"/>
    </xf>
    <xf borderId="6" fillId="2" fontId="1" numFmtId="0" xfId="0" applyAlignment="1" applyBorder="1" applyFont="1">
      <alignment vertical="center"/>
    </xf>
    <xf borderId="7" fillId="2" fontId="1" numFmtId="0" xfId="0" applyAlignment="1" applyBorder="1" applyFont="1">
      <alignment vertical="center"/>
    </xf>
    <xf borderId="8" fillId="2" fontId="4" numFmtId="0" xfId="0" applyAlignment="1" applyBorder="1" applyFont="1">
      <alignment horizontal="center" vertical="center"/>
    </xf>
    <xf borderId="9" fillId="0" fontId="3" numFmtId="0" xfId="0" applyAlignment="1" applyBorder="1" applyFont="1">
      <alignment vertical="center"/>
    </xf>
    <xf borderId="10" fillId="0" fontId="3" numFmtId="0" xfId="0" applyAlignment="1" applyBorder="1" applyFont="1">
      <alignment vertical="center"/>
    </xf>
    <xf borderId="11" fillId="2" fontId="1" numFmtId="0" xfId="0" applyAlignment="1" applyBorder="1" applyFont="1">
      <alignment vertical="center"/>
    </xf>
    <xf borderId="11" fillId="3" fontId="5" numFmtId="0" xfId="0" applyAlignment="1" applyBorder="1" applyFill="1" applyFont="1">
      <alignment vertical="center"/>
    </xf>
    <xf borderId="0" fillId="3" fontId="5" numFmtId="0" xfId="0" applyAlignment="1" applyBorder="1" applyFont="1">
      <alignment horizontal="left" vertical="center"/>
    </xf>
    <xf borderId="0" fillId="3" fontId="5" numFmtId="0" xfId="0" applyAlignment="1" applyBorder="1" applyFont="1">
      <alignment vertical="center"/>
    </xf>
    <xf borderId="12" fillId="3" fontId="5" numFmtId="0" xfId="0" applyAlignment="1" applyBorder="1" applyFont="1">
      <alignment horizontal="left" vertical="center"/>
    </xf>
    <xf borderId="13" fillId="0" fontId="3" numFmtId="0" xfId="0" applyAlignment="1" applyBorder="1" applyFont="1">
      <alignment vertical="center"/>
    </xf>
    <xf borderId="14" fillId="0" fontId="3" numFmtId="0" xfId="0" applyAlignment="1" applyBorder="1" applyFont="1">
      <alignment vertical="center"/>
    </xf>
    <xf borderId="15" fillId="3" fontId="6" numFmtId="0" xfId="0" applyAlignment="1" applyBorder="1" applyFont="1">
      <alignment horizontal="left" vertical="center"/>
    </xf>
    <xf borderId="0" fillId="2" fontId="7" numFmtId="0" xfId="0" applyAlignment="1" applyBorder="1" applyFont="1">
      <alignment vertical="center"/>
    </xf>
    <xf borderId="0" fillId="2" fontId="8" numFmtId="0" xfId="0" applyAlignment="1" applyBorder="1" applyFont="1">
      <alignment vertical="center"/>
    </xf>
    <xf borderId="16" fillId="2" fontId="8" numFmtId="0" xfId="0" applyAlignment="1" applyBorder="1" applyFont="1">
      <alignment vertical="center"/>
    </xf>
    <xf borderId="16" fillId="2" fontId="8" numFmtId="0" xfId="0" applyAlignment="1" applyBorder="1" applyFont="1">
      <alignment horizontal="center" vertical="center"/>
    </xf>
    <xf borderId="12" fillId="2" fontId="0" numFmtId="0" xfId="0" applyAlignment="1" applyBorder="1" applyFont="1">
      <alignment vertical="center"/>
    </xf>
    <xf borderId="0" fillId="2" fontId="1" numFmtId="0" xfId="0" applyAlignment="1" applyBorder="1" applyFont="1">
      <alignment horizontal="center" vertical="center"/>
    </xf>
    <xf borderId="0" fillId="2" fontId="0" numFmtId="0" xfId="0" applyAlignment="1" applyBorder="1" applyFont="1">
      <alignment vertical="center"/>
    </xf>
    <xf borderId="17" fillId="4" fontId="1" numFmtId="0" xfId="0" applyAlignment="1" applyBorder="1" applyFill="1" applyFont="1">
      <alignment horizontal="center" vertical="center"/>
    </xf>
    <xf borderId="17" fillId="4" fontId="1" numFmtId="0" xfId="0" applyAlignment="1" applyBorder="1" applyFont="1">
      <alignment vertical="center"/>
    </xf>
    <xf borderId="17" fillId="4" fontId="1" numFmtId="0" xfId="0" applyAlignment="1" applyBorder="1" applyFont="1">
      <alignment horizontal="center" readingOrder="0" vertical="center"/>
    </xf>
    <xf borderId="18" fillId="5" fontId="9" numFmtId="0" xfId="0" applyAlignment="1" applyBorder="1" applyFill="1" applyFont="1">
      <alignment vertical="center"/>
    </xf>
    <xf borderId="17" fillId="4" fontId="1" numFmtId="2" xfId="0" applyAlignment="1" applyBorder="1" applyFont="1" applyNumberFormat="1">
      <alignment horizontal="center" vertical="center"/>
    </xf>
    <xf borderId="18" fillId="5" fontId="9" numFmtId="0" xfId="0" applyAlignment="1" applyBorder="1" applyFont="1">
      <alignment horizontal="center" vertical="center"/>
    </xf>
    <xf borderId="12" fillId="6" fontId="10" numFmtId="0" xfId="0" applyAlignment="1" applyBorder="1" applyFill="1" applyFont="1">
      <alignment horizontal="center" vertical="center"/>
    </xf>
    <xf borderId="19" fillId="2" fontId="1" numFmtId="0" xfId="0" applyAlignment="1" applyBorder="1" applyFont="1">
      <alignment vertical="center"/>
    </xf>
    <xf borderId="12" fillId="2" fontId="1" numFmtId="0" xfId="0" applyAlignment="1" applyBorder="1" applyFont="1">
      <alignment vertical="center"/>
    </xf>
    <xf borderId="20" fillId="2" fontId="1" numFmtId="0" xfId="0" applyAlignment="1" applyFont="1">
      <alignment readingOrder="0" vertical="center"/>
    </xf>
    <xf borderId="20" fillId="2" fontId="1" numFmtId="0" xfId="0" applyAlignment="1" applyFont="1">
      <alignment vertical="center"/>
    </xf>
    <xf borderId="14" fillId="2" fontId="1" numFmtId="0" xfId="0" applyAlignment="1" applyBorder="1" applyFont="1">
      <alignment vertical="center"/>
    </xf>
    <xf borderId="21" fillId="2" fontId="1" numFmtId="0" xfId="0" applyAlignment="1" applyBorder="1" applyFont="1">
      <alignment vertical="center"/>
    </xf>
    <xf borderId="18" fillId="5" fontId="11" numFmtId="2" xfId="0" applyAlignment="1" applyBorder="1" applyFont="1" applyNumberFormat="1">
      <alignment horizontal="center" vertical="center"/>
    </xf>
    <xf borderId="18" fillId="5" fontId="11" numFmtId="0" xfId="0" applyAlignment="1" applyBorder="1" applyFont="1">
      <alignment horizontal="center" vertical="center"/>
    </xf>
    <xf borderId="22" fillId="3" fontId="10" numFmtId="0" xfId="0" applyAlignment="1" applyBorder="1" applyFont="1">
      <alignment horizontal="left" vertical="center"/>
    </xf>
    <xf borderId="23" fillId="0" fontId="3" numFmtId="0" xfId="0" applyAlignment="1" applyBorder="1" applyFont="1">
      <alignment vertical="center"/>
    </xf>
    <xf borderId="17" fillId="4" fontId="1" numFmtId="2" xfId="0" applyAlignment="1" applyBorder="1" applyFont="1" applyNumberFormat="1">
      <alignment vertical="center"/>
    </xf>
    <xf borderId="0" fillId="2" fontId="0" numFmtId="0" xfId="0" applyAlignment="1" applyBorder="1" applyFont="1">
      <alignment shrinkToFit="0" vertical="center" wrapText="1"/>
    </xf>
    <xf borderId="0" fillId="2" fontId="1" numFmtId="0" xfId="0" applyAlignment="1" applyBorder="1" applyFont="1">
      <alignment horizontal="left" vertical="center"/>
    </xf>
    <xf borderId="17" fillId="4" fontId="1" numFmtId="3" xfId="0" applyAlignment="1" applyBorder="1" applyFont="1" applyNumberFormat="1">
      <alignment horizontal="center" vertical="center"/>
    </xf>
    <xf borderId="17" fillId="4" fontId="1" numFmtId="164" xfId="0" applyAlignment="1" applyBorder="1" applyFont="1" applyNumberFormat="1">
      <alignment vertical="center"/>
    </xf>
    <xf borderId="0" fillId="2" fontId="0" numFmtId="3" xfId="0" applyAlignment="1" applyBorder="1" applyFont="1" applyNumberFormat="1">
      <alignment vertical="center"/>
    </xf>
    <xf borderId="17" fillId="4" fontId="1" numFmtId="165" xfId="0" applyAlignment="1" applyBorder="1" applyFont="1" applyNumberFormat="1">
      <alignment horizontal="center" vertical="center"/>
    </xf>
    <xf borderId="0" fillId="2" fontId="1" numFmtId="3" xfId="0" applyAlignment="1" applyBorder="1" applyFont="1" applyNumberFormat="1">
      <alignment horizontal="center" vertical="center"/>
    </xf>
    <xf borderId="0" fillId="2" fontId="0" numFmtId="3" xfId="0" applyAlignment="1" applyBorder="1" applyFont="1" applyNumberFormat="1">
      <alignment horizontal="center" vertical="center"/>
    </xf>
    <xf borderId="0" fillId="2" fontId="0" numFmtId="164" xfId="0" applyAlignment="1" applyBorder="1" applyFont="1" applyNumberFormat="1">
      <alignment vertical="center"/>
    </xf>
    <xf borderId="18" fillId="5" fontId="9" numFmtId="166" xfId="0" applyAlignment="1" applyBorder="1" applyFont="1" applyNumberFormat="1">
      <alignment vertical="center"/>
    </xf>
    <xf borderId="0" fillId="2" fontId="1" numFmtId="164" xfId="0" applyAlignment="1" applyBorder="1" applyFont="1" applyNumberFormat="1">
      <alignment vertical="center"/>
    </xf>
    <xf borderId="0" fillId="2" fontId="0" numFmtId="2" xfId="0" applyAlignment="1" applyBorder="1" applyFont="1" applyNumberFormat="1">
      <alignment vertical="center"/>
    </xf>
    <xf borderId="0" fillId="2" fontId="12" numFmtId="0" xfId="0" applyAlignment="1" applyBorder="1" applyFont="1">
      <alignment vertical="center"/>
    </xf>
    <xf borderId="18" fillId="5" fontId="9" numFmtId="164" xfId="0" applyAlignment="1" applyBorder="1" applyFont="1" applyNumberFormat="1">
      <alignment vertical="center"/>
    </xf>
    <xf borderId="18" fillId="5" fontId="9" numFmtId="4" xfId="0" applyAlignment="1" applyBorder="1" applyFont="1" applyNumberFormat="1">
      <alignment vertical="center"/>
    </xf>
    <xf borderId="15" fillId="3" fontId="10" numFmtId="0" xfId="0" applyAlignment="1" applyBorder="1" applyFont="1">
      <alignment horizontal="left" vertical="center"/>
    </xf>
    <xf borderId="0" fillId="2" fontId="8" numFmtId="0" xfId="0" applyAlignment="1" applyBorder="1" applyFont="1">
      <alignment vertical="center"/>
    </xf>
    <xf borderId="0" fillId="2" fontId="0" numFmtId="0" xfId="0" applyAlignment="1" applyBorder="1" applyFont="1">
      <alignment vertical="center"/>
    </xf>
    <xf borderId="0" fillId="2" fontId="1" numFmtId="0" xfId="0" applyAlignment="1" applyBorder="1" applyFont="1">
      <alignment vertical="center"/>
    </xf>
    <xf borderId="20" fillId="0" fontId="3" numFmtId="0" xfId="0" applyAlignment="1" applyFont="1">
      <alignment vertical="center"/>
    </xf>
    <xf borderId="0" fillId="2" fontId="7" numFmtId="0" xfId="0" applyAlignment="1" applyBorder="1" applyFont="1">
      <alignment vertical="center"/>
    </xf>
    <xf borderId="24" fillId="7" fontId="13" numFmtId="0" xfId="0" applyAlignment="1" applyBorder="1" applyFill="1" applyFont="1">
      <alignment horizontal="right" vertical="center"/>
    </xf>
    <xf borderId="24" fillId="7" fontId="14" numFmtId="0" xfId="0" applyAlignment="1" applyBorder="1" applyFont="1">
      <alignment vertical="center"/>
    </xf>
    <xf borderId="24" fillId="7" fontId="13" numFmtId="0" xfId="0" applyAlignment="1" applyBorder="1" applyFont="1">
      <alignment vertical="center"/>
    </xf>
    <xf borderId="24" fillId="7" fontId="13" numFmtId="2" xfId="0" applyAlignment="1" applyBorder="1" applyFont="1" applyNumberFormat="1">
      <alignment horizontal="right" vertical="center"/>
    </xf>
    <xf borderId="0" fillId="2" fontId="1" numFmtId="2" xfId="0" applyAlignment="1" applyBorder="1" applyFont="1" applyNumberFormat="1">
      <alignment vertical="center"/>
    </xf>
    <xf borderId="25" fillId="2" fontId="8" numFmtId="0" xfId="0" applyAlignment="1" applyBorder="1" applyFont="1">
      <alignment vertical="center"/>
    </xf>
    <xf borderId="0" fillId="2" fontId="1" numFmtId="0" xfId="0" applyAlignment="1" applyBorder="1" applyFont="1">
      <alignment shrinkToFit="0" vertical="center" wrapText="1"/>
    </xf>
    <xf borderId="0" fillId="2" fontId="1" numFmtId="0" xfId="0" applyAlignment="1" applyBorder="1" applyFont="1">
      <alignment horizontal="right" vertical="center"/>
    </xf>
    <xf borderId="0" fillId="2" fontId="15" numFmtId="0" xfId="0" applyAlignment="1" applyBorder="1" applyFont="1">
      <alignment vertical="center"/>
    </xf>
    <xf quotePrefix="1" borderId="0" fillId="2" fontId="1" numFmtId="0" xfId="0" applyAlignment="1" applyBorder="1" applyFont="1">
      <alignment shrinkToFit="0" vertical="center" wrapText="1"/>
    </xf>
    <xf borderId="24" fillId="7" fontId="13" numFmtId="3" xfId="0" applyAlignment="1" applyBorder="1" applyFont="1" applyNumberFormat="1">
      <alignment horizontal="right" vertical="center"/>
    </xf>
    <xf borderId="24" fillId="7" fontId="13" numFmtId="164" xfId="0" applyAlignment="1" applyBorder="1" applyFont="1" applyNumberFormat="1">
      <alignment horizontal="right" vertical="center"/>
    </xf>
    <xf borderId="0" fillId="2" fontId="1" numFmtId="164" xfId="0" applyAlignment="1" applyBorder="1" applyFont="1" applyNumberFormat="1">
      <alignment vertical="center"/>
    </xf>
    <xf borderId="0" fillId="2" fontId="1" numFmtId="3" xfId="0" applyAlignment="1" applyBorder="1" applyFont="1" applyNumberFormat="1">
      <alignment vertical="center"/>
    </xf>
    <xf borderId="24" fillId="7" fontId="13" numFmtId="165" xfId="0" applyAlignment="1" applyBorder="1" applyFont="1" applyNumberFormat="1">
      <alignment horizontal="right" vertical="center"/>
    </xf>
    <xf borderId="0" fillId="2" fontId="1" numFmtId="165" xfId="0" applyAlignment="1" applyBorder="1" applyFont="1" applyNumberFormat="1">
      <alignment vertical="center"/>
    </xf>
    <xf borderId="17" fillId="4" fontId="1" numFmtId="167" xfId="0" applyAlignment="1" applyBorder="1" applyFont="1" applyNumberFormat="1">
      <alignment vertical="center"/>
    </xf>
    <xf borderId="0" fillId="2" fontId="8" numFmtId="0" xfId="0" applyAlignment="1" applyBorder="1" applyFont="1">
      <alignment vertical="bottom"/>
    </xf>
    <xf borderId="0" fillId="2" fontId="1" numFmtId="3" xfId="0" applyAlignment="1" applyBorder="1" applyFont="1" applyNumberFormat="1">
      <alignment vertical="center"/>
    </xf>
    <xf borderId="18" fillId="5" fontId="9" numFmtId="3" xfId="0" applyAlignment="1" applyBorder="1" applyFont="1" applyNumberFormat="1">
      <alignment vertical="center"/>
    </xf>
    <xf borderId="17" fillId="4" fontId="1" numFmtId="168" xfId="0" applyAlignment="1" applyBorder="1" applyFont="1" applyNumberFormat="1">
      <alignment vertical="center"/>
    </xf>
    <xf borderId="18" fillId="5" fontId="9" numFmtId="168" xfId="0" applyAlignment="1" applyBorder="1" applyFont="1" applyNumberFormat="1">
      <alignment vertical="center"/>
    </xf>
    <xf borderId="18" fillId="5" fontId="9" numFmtId="2" xfId="0" applyAlignment="1" applyBorder="1" applyFont="1" applyNumberFormat="1">
      <alignment vertical="center"/>
    </xf>
    <xf borderId="0" fillId="2" fontId="1" numFmtId="169" xfId="0" applyAlignment="1" applyBorder="1" applyFont="1" applyNumberFormat="1">
      <alignment vertical="center"/>
    </xf>
    <xf borderId="0" fillId="2" fontId="0" numFmtId="9" xfId="0" applyAlignment="1" applyBorder="1" applyFont="1" applyNumberFormat="1">
      <alignment vertical="center"/>
    </xf>
    <xf borderId="0" fillId="2" fontId="1" numFmtId="2" xfId="0" applyAlignment="1" applyBorder="1" applyFont="1" applyNumberFormat="1">
      <alignment vertical="center"/>
    </xf>
    <xf borderId="18" fillId="5" fontId="9" numFmtId="170" xfId="0" applyAlignment="1" applyBorder="1" applyFont="1" applyNumberFormat="1">
      <alignment vertical="center"/>
    </xf>
    <xf borderId="0" fillId="2" fontId="1" numFmtId="4" xfId="0" applyAlignment="1" applyBorder="1" applyFont="1" applyNumberFormat="1">
      <alignment vertical="center"/>
    </xf>
    <xf borderId="0" fillId="2" fontId="0" numFmtId="171" xfId="0" applyAlignment="1" applyBorder="1" applyFont="1" applyNumberFormat="1">
      <alignment vertical="center"/>
    </xf>
    <xf borderId="0" fillId="2" fontId="1" numFmtId="171" xfId="0" applyAlignment="1" applyBorder="1" applyFont="1" applyNumberFormat="1">
      <alignment vertical="center"/>
    </xf>
    <xf borderId="26" fillId="2" fontId="0" numFmtId="0" xfId="0" applyAlignment="1" applyBorder="1" applyFont="1">
      <alignment vertical="center"/>
    </xf>
    <xf borderId="27" fillId="2" fontId="0" numFmtId="0" xfId="0" applyAlignment="1" applyBorder="1" applyFont="1">
      <alignment vertical="center"/>
    </xf>
    <xf borderId="28" fillId="2" fontId="8" numFmtId="0" xfId="0" applyAlignment="1" applyBorder="1" applyFont="1">
      <alignment vertical="center"/>
    </xf>
    <xf borderId="27" fillId="2" fontId="8" numFmtId="0" xfId="0" applyAlignment="1" applyBorder="1" applyFont="1">
      <alignment vertical="center"/>
    </xf>
    <xf borderId="28" fillId="2" fontId="1" numFmtId="0" xfId="0" applyAlignment="1" applyBorder="1" applyFont="1">
      <alignment vertical="center"/>
    </xf>
    <xf borderId="29" fillId="2" fontId="8" numFmtId="0" xfId="0" applyAlignment="1" applyBorder="1" applyFont="1">
      <alignment vertical="center"/>
    </xf>
    <xf borderId="30" fillId="2" fontId="1" numFmtId="0" xfId="0" applyAlignment="1" applyBorder="1" applyFont="1">
      <alignment vertical="center"/>
    </xf>
    <xf borderId="29" fillId="2" fontId="1" numFmtId="0" xfId="0" applyAlignment="1" applyBorder="1" applyFont="1">
      <alignment vertical="center"/>
    </xf>
    <xf borderId="30" fillId="2" fontId="0" numFmtId="171" xfId="0" applyAlignment="1" applyBorder="1" applyFont="1" applyNumberFormat="1">
      <alignment vertical="center"/>
    </xf>
    <xf borderId="29" fillId="2" fontId="0" numFmtId="0" xfId="0" applyAlignment="1" applyBorder="1" applyFont="1">
      <alignment vertical="center"/>
    </xf>
    <xf borderId="30" fillId="2" fontId="0" numFmtId="3" xfId="0" applyAlignment="1" applyBorder="1" applyFont="1" applyNumberFormat="1">
      <alignment vertical="center"/>
    </xf>
    <xf borderId="30" fillId="2" fontId="0" numFmtId="0" xfId="0" applyAlignment="1" applyBorder="1" applyFont="1">
      <alignment vertical="center"/>
    </xf>
    <xf borderId="30" fillId="2" fontId="1" numFmtId="3" xfId="0" applyAlignment="1" applyBorder="1" applyFont="1" applyNumberFormat="1">
      <alignment vertical="center"/>
    </xf>
    <xf borderId="31" fillId="2" fontId="0" numFmtId="0" xfId="0" applyAlignment="1" applyBorder="1" applyFont="1">
      <alignment vertical="center"/>
    </xf>
    <xf borderId="32" fillId="2" fontId="0" numFmtId="0" xfId="0" applyAlignment="1" applyBorder="1" applyFont="1">
      <alignment vertical="center"/>
    </xf>
    <xf borderId="33" fillId="2" fontId="0" numFmtId="171" xfId="0" applyAlignment="1" applyBorder="1" applyFont="1" applyNumberFormat="1">
      <alignment vertical="center"/>
    </xf>
    <xf borderId="32" fillId="2" fontId="0" numFmtId="3" xfId="0" applyAlignment="1" applyBorder="1" applyFont="1" applyNumberFormat="1">
      <alignment vertical="center"/>
    </xf>
    <xf borderId="32" fillId="2" fontId="1" numFmtId="3" xfId="0" applyAlignment="1" applyBorder="1" applyFont="1" applyNumberFormat="1">
      <alignment vertical="center"/>
    </xf>
    <xf borderId="33" fillId="2" fontId="1" numFmtId="0" xfId="0" applyAlignment="1" applyBorder="1" applyFont="1">
      <alignment vertical="center"/>
    </xf>
    <xf borderId="34" fillId="2" fontId="16" numFmtId="0" xfId="0" applyAlignment="1" applyBorder="1" applyFont="1">
      <alignment vertical="bottom"/>
    </xf>
    <xf borderId="35" fillId="0" fontId="3" numFmtId="0" xfId="0" applyAlignment="1" applyBorder="1" applyFont="1">
      <alignment vertical="center"/>
    </xf>
    <xf borderId="36" fillId="0" fontId="3" numFmtId="0" xfId="0" applyAlignment="1" applyBorder="1" applyFont="1">
      <alignment vertical="center"/>
    </xf>
    <xf borderId="0" fillId="2" fontId="17" numFmtId="0" xfId="0" applyAlignment="1" applyBorder="1" applyFont="1">
      <alignment horizontal="center" vertical="center"/>
    </xf>
    <xf borderId="37" fillId="2" fontId="17" numFmtId="0" xfId="0" applyAlignment="1" applyBorder="1" applyFont="1">
      <alignment horizontal="center" vertical="center"/>
    </xf>
    <xf borderId="38" fillId="0" fontId="3" numFmtId="0" xfId="0" applyAlignment="1" applyBorder="1" applyFont="1">
      <alignment vertical="center"/>
    </xf>
    <xf borderId="39" fillId="0" fontId="3" numFmtId="0" xfId="0" applyAlignment="1" applyBorder="1" applyFont="1">
      <alignment vertical="center"/>
    </xf>
    <xf borderId="40" fillId="2" fontId="18" numFmtId="172" xfId="0" applyAlignment="1" applyBorder="1" applyFont="1" applyNumberFormat="1">
      <alignment horizontal="center" vertical="center"/>
    </xf>
    <xf borderId="40" fillId="2" fontId="19" numFmtId="173" xfId="0" applyAlignment="1" applyBorder="1" applyFont="1" applyNumberFormat="1">
      <alignment horizontal="center" vertical="center"/>
    </xf>
    <xf borderId="40" fillId="2" fontId="20" numFmtId="173" xfId="0" applyAlignment="1" applyBorder="1" applyFont="1" applyNumberFormat="1">
      <alignment horizontal="center" vertical="center"/>
    </xf>
    <xf borderId="40" fillId="2" fontId="20" numFmtId="172" xfId="0" applyAlignment="1" applyBorder="1" applyFont="1" applyNumberFormat="1">
      <alignment horizontal="center" vertical="center"/>
    </xf>
    <xf borderId="0" fillId="2" fontId="21" numFmtId="0" xfId="0" applyAlignment="1" applyBorder="1" applyFont="1">
      <alignment vertical="center"/>
    </xf>
    <xf borderId="0" fillId="2" fontId="22" numFmtId="0" xfId="0" applyAlignment="1" applyBorder="1" applyFont="1">
      <alignment vertical="bottom"/>
    </xf>
    <xf borderId="0" fillId="2" fontId="23" numFmtId="173" xfId="0" applyAlignment="1" applyBorder="1" applyFont="1" applyNumberFormat="1">
      <alignment horizontal="center" vertical="bottom"/>
    </xf>
    <xf borderId="0" fillId="2" fontId="0" numFmtId="173" xfId="0" applyAlignment="1" applyBorder="1" applyFont="1" applyNumberFormat="1">
      <alignment vertical="bottom"/>
    </xf>
    <xf borderId="0" fillId="2" fontId="0" numFmtId="170" xfId="0" applyAlignment="1" applyBorder="1" applyFont="1" applyNumberFormat="1">
      <alignment vertical="bottom"/>
    </xf>
    <xf borderId="0" fillId="2" fontId="0" numFmtId="2" xfId="0" applyAlignment="1" applyBorder="1" applyFont="1" applyNumberFormat="1">
      <alignment vertical="bottom"/>
    </xf>
    <xf borderId="0" fillId="2" fontId="0" numFmtId="0" xfId="0" applyAlignment="1" applyBorder="1" applyFont="1">
      <alignment vertical="bottom"/>
    </xf>
    <xf borderId="0" fillId="2" fontId="22" numFmtId="174" xfId="0" applyAlignment="1" applyBorder="1" applyFont="1" applyNumberFormat="1">
      <alignment vertical="bottom"/>
    </xf>
    <xf borderId="0" fillId="2" fontId="22" numFmtId="175" xfId="0" applyAlignment="1" applyBorder="1" applyFont="1" applyNumberFormat="1">
      <alignment vertical="bottom"/>
    </xf>
    <xf borderId="0" fillId="2" fontId="22" numFmtId="176" xfId="0" applyAlignment="1" applyBorder="1" applyFont="1" applyNumberFormat="1">
      <alignment vertical="bottom"/>
    </xf>
    <xf borderId="0" fillId="2" fontId="1" numFmtId="173" xfId="0" applyAlignment="1" applyBorder="1" applyFont="1" applyNumberFormat="1">
      <alignment vertical="center"/>
    </xf>
    <xf borderId="40" fillId="2" fontId="22" numFmtId="0" xfId="0" applyAlignment="1" applyBorder="1" applyFont="1">
      <alignment vertical="bottom"/>
    </xf>
    <xf borderId="40" fillId="2" fontId="23" numFmtId="173" xfId="0" applyAlignment="1" applyBorder="1" applyFont="1" applyNumberFormat="1">
      <alignment horizontal="center" vertical="bottom"/>
    </xf>
    <xf borderId="40" fillId="2" fontId="0" numFmtId="173" xfId="0" applyAlignment="1" applyBorder="1" applyFont="1" applyNumberFormat="1">
      <alignment vertical="bottom"/>
    </xf>
    <xf borderId="40" fillId="2" fontId="0" numFmtId="170" xfId="0" applyAlignment="1" applyBorder="1" applyFont="1" applyNumberFormat="1">
      <alignment vertical="bottom"/>
    </xf>
    <xf borderId="40" fillId="2" fontId="0" numFmtId="2" xfId="0" applyAlignment="1" applyBorder="1" applyFont="1" applyNumberFormat="1">
      <alignment vertical="bottom"/>
    </xf>
    <xf borderId="40" fillId="2" fontId="0" numFmtId="0" xfId="0" applyAlignment="1" applyBorder="1" applyFont="1">
      <alignment vertical="bottom"/>
    </xf>
    <xf borderId="40" fillId="2" fontId="22" numFmtId="174" xfId="0" applyAlignment="1" applyBorder="1" applyFont="1" applyNumberFormat="1">
      <alignment vertical="bottom"/>
    </xf>
    <xf borderId="40" fillId="2" fontId="22" numFmtId="175" xfId="0" applyAlignment="1" applyBorder="1" applyFont="1" applyNumberFormat="1">
      <alignment vertical="bottom"/>
    </xf>
    <xf borderId="40" fillId="2" fontId="22" numFmtId="176" xfId="0" applyAlignment="1" applyBorder="1" applyFont="1" applyNumberFormat="1">
      <alignment vertical="bottom"/>
    </xf>
    <xf borderId="0" fillId="7" fontId="24" numFmtId="0" xfId="0" applyAlignment="1" applyBorder="1" applyFont="1">
      <alignment vertical="center"/>
    </xf>
    <xf borderId="0" fillId="7" fontId="25" numFmtId="0" xfId="0" applyAlignment="1" applyBorder="1" applyFont="1">
      <alignment vertical="center"/>
    </xf>
    <xf borderId="0" fillId="2" fontId="24" numFmtId="0" xfId="0" applyAlignment="1" applyBorder="1" applyFont="1">
      <alignment vertical="center"/>
    </xf>
    <xf borderId="0" fillId="2" fontId="25" numFmtId="0" xfId="0" applyAlignment="1" applyBorder="1" applyFont="1">
      <alignment vertical="center"/>
    </xf>
    <xf borderId="0" fillId="2" fontId="26" numFmtId="0" xfId="0" applyAlignment="1" applyBorder="1" applyFont="1">
      <alignment vertical="center"/>
    </xf>
    <xf borderId="0" fillId="7" fontId="26" numFmtId="0" xfId="0" applyAlignment="1" applyBorder="1" applyFont="1">
      <alignment vertical="center"/>
    </xf>
    <xf borderId="0" fillId="2" fontId="27" numFmtId="0" xfId="0" applyAlignment="1" applyBorder="1" applyFont="1">
      <alignment vertical="center"/>
    </xf>
    <xf borderId="0" fillId="2" fontId="28" numFmtId="0" xfId="0" applyAlignment="1" applyBorder="1" applyFont="1">
      <alignment vertical="center"/>
    </xf>
    <xf borderId="0" fillId="2" fontId="28" numFmtId="0" xfId="0" applyAlignment="1" applyBorder="1" applyFont="1">
      <alignment horizontal="center" vertical="center"/>
    </xf>
    <xf borderId="0" fillId="2" fontId="0" numFmtId="0" xfId="0" applyAlignment="1" applyBorder="1" applyFont="1">
      <alignment horizontal="center" vertical="center"/>
    </xf>
  </cellXfs>
  <cellStyles count="1">
    <cellStyle xfId="0" name="Normal" builtinId="0"/>
  </cellStyles>
  <dxfs count="5">
    <dxf>
      <font/>
      <fill>
        <patternFill patternType="solid">
          <fgColor rgb="FF00B0F0"/>
          <bgColor rgb="FF00B0F0"/>
        </patternFill>
      </fill>
      <border/>
    </dxf>
    <dxf>
      <font/>
      <fill>
        <patternFill patternType="solid">
          <fgColor rgb="FF2C89A0"/>
          <bgColor rgb="FF2C89A0"/>
        </patternFill>
      </fill>
      <border/>
    </dxf>
    <dxf>
      <font/>
      <fill>
        <patternFill patternType="none"/>
      </fill>
      <border/>
    </dxf>
    <dxf>
      <font/>
      <fill>
        <patternFill patternType="solid">
          <fgColor rgb="FFFFFFFF"/>
          <bgColor rgb="FFFFFFFF"/>
        </patternFill>
      </fill>
      <border/>
    </dxf>
    <dxf>
      <font/>
      <fill>
        <patternFill patternType="solid">
          <fgColor rgb="FFFFBCCB"/>
          <bgColor rgb="FFFFBCCB"/>
        </patternFill>
      </fill>
      <border/>
    </dxf>
  </dxfs>
  <tableStyles count="2">
    <tableStyle count="3" pivot="0" name="Defaults-style">
      <tableStyleElement dxfId="3" type="headerRow"/>
      <tableStyleElement dxfId="4" type="firstRowStripe"/>
      <tableStyleElement dxfId="4" type="secondRowStripe"/>
    </tableStyle>
    <tableStyle count="3" pivot="0" name="Parameters-style">
      <tableStyleElement dxfId="3" type="headerRow"/>
      <tableStyleElement dxfId="4"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24" Type="http://schemas.openxmlformats.org/officeDocument/2006/relationships/worksheet" Target="worksheets/sheet22.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8779527559055116"/>
          <c:y val="0.05092592592592592"/>
          <c:w val="0.5656213910761155"/>
          <c:h val="0.7426673228346459"/>
        </c:manualLayout>
      </c:layout>
      <c:barChart>
        <c:barDir val="bar"/>
        <c:ser>
          <c:idx val="0"/>
          <c:order val="0"/>
          <c:tx>
            <c:strRef>
              <c:f>'Sensitivity results'!$AF$6</c:f>
            </c:strRef>
          </c:tx>
          <c:spPr>
            <a:solidFill>
              <a:srgbClr val="B30027"/>
            </a:solidFill>
          </c:spPr>
          <c:cat>
            <c:strRef>
              <c:f>'Sensitivity results'!$AE$7:$AE$11</c:f>
            </c:strRef>
          </c:cat>
          <c:val>
            <c:numRef>
              <c:f>'Sensitivity results'!$AF$7:$AF$11</c:f>
            </c:numRef>
          </c:val>
        </c:ser>
        <c:ser>
          <c:idx val="1"/>
          <c:order val="1"/>
          <c:tx>
            <c:strRef>
              <c:f>'Sensitivity results'!$AG$6</c:f>
            </c:strRef>
          </c:tx>
          <c:spPr>
            <a:solidFill>
              <a:srgbClr val="2C89A0"/>
            </a:solidFill>
          </c:spPr>
          <c:cat>
            <c:strRef>
              <c:f>'Sensitivity results'!$AE$7:$AE$11</c:f>
            </c:strRef>
          </c:cat>
          <c:val>
            <c:numRef>
              <c:f>'Sensitivity results'!$AG$7:$AG$11</c:f>
            </c:numRef>
          </c:val>
        </c:ser>
        <c:axId val="1079308593"/>
        <c:axId val="484746619"/>
      </c:barChart>
      <c:catAx>
        <c:axId val="1079308593"/>
        <c:scaling>
          <c:orientation val="maxMin"/>
        </c:scaling>
        <c:delete val="0"/>
        <c:axPos val="l"/>
        <c:txPr>
          <a:bodyPr/>
          <a:lstStyle/>
          <a:p>
            <a:pPr lvl="0">
              <a:defRPr b="0" i="0" sz="1100">
                <a:solidFill>
                  <a:srgbClr val="000000"/>
                </a:solidFill>
                <a:latin typeface="+mn-lt"/>
              </a:defRPr>
            </a:pPr>
          </a:p>
        </c:txPr>
        <c:crossAx val="484746619"/>
      </c:catAx>
      <c:valAx>
        <c:axId val="484746619"/>
        <c:scaling>
          <c:orientation val="minMax"/>
        </c:scaling>
        <c:delete val="0"/>
        <c:axPos val="b"/>
        <c:majorGridlines>
          <c:spPr>
            <a:ln>
              <a:solidFill>
                <a:srgbClr val="D9D9D9"/>
              </a:solidFill>
            </a:ln>
          </c:spPr>
        </c:majorGridlines>
        <c:title>
          <c:tx>
            <c:rich>
              <a:bodyPr/>
              <a:lstStyle/>
              <a:p>
                <a:pPr lvl="0">
                  <a:defRPr b="0" i="0" sz="1100">
                    <a:solidFill>
                      <a:srgbClr val="000000"/>
                    </a:solidFill>
                    <a:latin typeface="+mn-lt"/>
                  </a:defRPr>
                </a:pPr>
                <a:r>
                  <a:t>% change in saving</a:t>
                </a:r>
              </a:p>
            </c:rich>
          </c:tx>
          <c:overlay val="0"/>
        </c:title>
        <c:numFmt formatCode="General" sourceLinked="1"/>
        <c:tickLblPos val="nextTo"/>
        <c:spPr>
          <a:ln w="47625">
            <a:noFill/>
          </a:ln>
        </c:spPr>
        <c:txPr>
          <a:bodyPr/>
          <a:lstStyle/>
          <a:p>
            <a:pPr lvl="0">
              <a:defRPr b="0" i="0" sz="1100">
                <a:solidFill>
                  <a:srgbClr val="000000"/>
                </a:solidFill>
                <a:latin typeface="+mn-lt"/>
              </a:defRPr>
            </a:pPr>
          </a:p>
        </c:txPr>
        <c:crossAx val="1079308593"/>
        <c:crosses val="max"/>
      </c:valAx>
      <c:spPr>
        <a:solidFill>
          <a:srgbClr val="FFFFFF"/>
        </a:solidFill>
      </c:spPr>
    </c:plotArea>
    <c:legend>
      <c:legendPos val="b"/>
      <c:overlay val="0"/>
      <c:txPr>
        <a:bodyPr/>
        <a:lstStyle/>
        <a:p>
          <a:pPr lvl="0">
            <a:defRPr sz="1100">
              <a:solidFill>
                <a:srgbClr val="000000"/>
              </a:solidFill>
              <a:latin typeface="+mn-lt"/>
            </a:defRPr>
          </a:pPr>
        </a:p>
      </c:txPr>
    </c:legend>
    <c:plotVisOnly val="1"/>
  </c:chart>
  <c:spPr>
    <a:solidFill>
      <a:srgbClr val="FFFFFF"/>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1.png"/><Relationship Id="rId3"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485775</xdr:colOff>
      <xdr:row>11</xdr:row>
      <xdr:rowOff>180975</xdr:rowOff>
    </xdr:from>
    <xdr:ext cx="371475" cy="3810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276225</xdr:colOff>
      <xdr:row>2</xdr:row>
      <xdr:rowOff>133350</xdr:rowOff>
    </xdr:from>
    <xdr:ext cx="2952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371475</xdr:colOff>
      <xdr:row>2</xdr:row>
      <xdr:rowOff>133350</xdr:rowOff>
    </xdr:from>
    <xdr:ext cx="3714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419100</xdr:colOff>
      <xdr:row>2</xdr:row>
      <xdr:rowOff>133350</xdr:rowOff>
    </xdr:from>
    <xdr:ext cx="3714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428625</xdr:colOff>
      <xdr:row>2</xdr:row>
      <xdr:rowOff>133350</xdr:rowOff>
    </xdr:from>
    <xdr:ext cx="3714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47625</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428625</xdr:colOff>
      <xdr:row>2</xdr:row>
      <xdr:rowOff>133350</xdr:rowOff>
    </xdr:from>
    <xdr:ext cx="3714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457200</xdr:colOff>
      <xdr:row>2</xdr:row>
      <xdr:rowOff>133350</xdr:rowOff>
    </xdr:from>
    <xdr:ext cx="3714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485775</xdr:colOff>
      <xdr:row>2</xdr:row>
      <xdr:rowOff>133350</xdr:rowOff>
    </xdr:from>
    <xdr:ext cx="3714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438150</xdr:colOff>
      <xdr:row>2</xdr:row>
      <xdr:rowOff>133350</xdr:rowOff>
    </xdr:from>
    <xdr:ext cx="3714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0</xdr:colOff>
      <xdr:row>23</xdr:row>
      <xdr:rowOff>76200</xdr:rowOff>
    </xdr:from>
    <xdr:ext cx="5057775" cy="271462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22</xdr:col>
      <xdr:colOff>76200</xdr:colOff>
      <xdr:row>0</xdr:row>
      <xdr:rowOff>152400</xdr:rowOff>
    </xdr:from>
    <xdr:ext cx="2609850" cy="2667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571500</xdr:colOff>
      <xdr:row>2</xdr:row>
      <xdr:rowOff>123825</xdr:rowOff>
    </xdr:from>
    <xdr:ext cx="371475" cy="4191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0</xdr:row>
      <xdr:rowOff>38100</xdr:rowOff>
    </xdr:from>
    <xdr:ext cx="990600" cy="3238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485775"/>
    <xdr:sp>
      <xdr:nvSpPr>
        <xdr:cNvPr id="3" name="Shape 3"/>
        <xdr:cNvSpPr/>
      </xdr:nvSpPr>
      <xdr:spPr>
        <a:xfrm>
          <a:off x="4564950" y="3541875"/>
          <a:ext cx="1562100" cy="47625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485775"/>
    <xdr:sp>
      <xdr:nvSpPr>
        <xdr:cNvPr id="4" name="Shape 4"/>
        <xdr:cNvSpPr/>
      </xdr:nvSpPr>
      <xdr:spPr>
        <a:xfrm>
          <a:off x="4564950" y="3541875"/>
          <a:ext cx="1562100" cy="47625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390525"/>
    <xdr:sp>
      <xdr:nvSpPr>
        <xdr:cNvPr id="5" name="Shape 5"/>
        <xdr:cNvSpPr/>
      </xdr:nvSpPr>
      <xdr:spPr>
        <a:xfrm>
          <a:off x="4564950" y="3589500"/>
          <a:ext cx="1562100" cy="38100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22</xdr:col>
      <xdr:colOff>76200</xdr:colOff>
      <xdr:row>0</xdr:row>
      <xdr:rowOff>152400</xdr:rowOff>
    </xdr:from>
    <xdr:ext cx="2609850" cy="1428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485775"/>
    <xdr:sp>
      <xdr:nvSpPr>
        <xdr:cNvPr id="6" name="Shape 6"/>
        <xdr:cNvSpPr/>
      </xdr:nvSpPr>
      <xdr:spPr>
        <a:xfrm>
          <a:off x="4564950" y="3541875"/>
          <a:ext cx="1562100" cy="47625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22</xdr:col>
      <xdr:colOff>76200</xdr:colOff>
      <xdr:row>0</xdr:row>
      <xdr:rowOff>152400</xdr:rowOff>
    </xdr:from>
    <xdr:ext cx="25717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7</xdr:row>
      <xdr:rowOff>38100</xdr:rowOff>
    </xdr:from>
    <xdr:ext cx="10668000" cy="345757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495300</xdr:colOff>
      <xdr:row>12</xdr:row>
      <xdr:rowOff>28575</xdr:rowOff>
    </xdr:from>
    <xdr:ext cx="2105025" cy="213360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485775"/>
    <xdr:sp>
      <xdr:nvSpPr>
        <xdr:cNvPr id="7" name="Shape 7"/>
        <xdr:cNvSpPr/>
      </xdr:nvSpPr>
      <xdr:spPr>
        <a:xfrm>
          <a:off x="4564950" y="3541875"/>
          <a:ext cx="1562100" cy="47625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23</xdr:col>
      <xdr:colOff>76200</xdr:colOff>
      <xdr:row>0</xdr:row>
      <xdr:rowOff>152400</xdr:rowOff>
    </xdr:from>
    <xdr:ext cx="255270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485775"/>
    <xdr:sp>
      <xdr:nvSpPr>
        <xdr:cNvPr id="8" name="Shape 8"/>
        <xdr:cNvSpPr/>
      </xdr:nvSpPr>
      <xdr:spPr>
        <a:xfrm>
          <a:off x="4564950" y="3541875"/>
          <a:ext cx="1562100" cy="47625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23</xdr:col>
      <xdr:colOff>76200</xdr:colOff>
      <xdr:row>0</xdr:row>
      <xdr:rowOff>152400</xdr:rowOff>
    </xdr:from>
    <xdr:ext cx="2581275"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485775"/>
    <xdr:sp>
      <xdr:nvSpPr>
        <xdr:cNvPr id="9" name="Shape 9"/>
        <xdr:cNvSpPr/>
      </xdr:nvSpPr>
      <xdr:spPr>
        <a:xfrm>
          <a:off x="4564950" y="3541875"/>
          <a:ext cx="1562100" cy="47625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485775"/>
    <xdr:sp>
      <xdr:nvSpPr>
        <xdr:cNvPr id="10" name="Shape 10"/>
        <xdr:cNvSpPr/>
      </xdr:nvSpPr>
      <xdr:spPr>
        <a:xfrm>
          <a:off x="4564950" y="3541875"/>
          <a:ext cx="1562100" cy="47625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22</xdr:col>
      <xdr:colOff>76200</xdr:colOff>
      <xdr:row>0</xdr:row>
      <xdr:rowOff>152400</xdr:rowOff>
    </xdr:from>
    <xdr:ext cx="2600325"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28575</xdr:colOff>
      <xdr:row>0</xdr:row>
      <xdr:rowOff>19050</xdr:rowOff>
    </xdr:from>
    <xdr:ext cx="1581150" cy="485775"/>
    <xdr:sp>
      <xdr:nvSpPr>
        <xdr:cNvPr id="11" name="Shape 11"/>
        <xdr:cNvSpPr/>
      </xdr:nvSpPr>
      <xdr:spPr>
        <a:xfrm>
          <a:off x="4564950" y="3541875"/>
          <a:ext cx="1562100" cy="476250"/>
        </a:xfrm>
        <a:prstGeom prst="roundRect">
          <a:avLst>
            <a:gd fmla="val 16667" name="adj"/>
          </a:avLst>
        </a:prstGeom>
        <a:solidFill>
          <a:schemeClr val="accent1"/>
        </a:solidFill>
        <a:ln cap="flat" cmpd="sng" w="12700">
          <a:solidFill>
            <a:srgbClr val="82001C"/>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100">
              <a:solidFill>
                <a:schemeClr val="lt1"/>
              </a:solidFill>
              <a:latin typeface="Trebuchet MS"/>
              <a:ea typeface="Trebuchet MS"/>
              <a:cs typeface="Trebuchet MS"/>
              <a:sym typeface="Trebuchet MS"/>
            </a:rPr>
            <a:t>Client or Product logo</a:t>
          </a:r>
          <a:endParaRPr sz="1400"/>
        </a:p>
      </xdr:txBody>
    </xdr:sp>
    <xdr:clientData fLocksWithSheet="0"/>
  </xdr:oneCellAnchor>
  <xdr:oneCellAnchor>
    <xdr:from>
      <xdr:col>22</xdr:col>
      <xdr:colOff>76200</xdr:colOff>
      <xdr:row>0</xdr:row>
      <xdr:rowOff>152400</xdr:rowOff>
    </xdr:from>
    <xdr:ext cx="26098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C6:V81" displayName="Table_2" id="2">
  <tableColumns count="20">
    <tableColumn name="Item" id="1"/>
    <tableColumn name="Parameter" id="2"/>
    <tableColumn name="Page" id="3"/>
    <tableColumn name="Column" id="4"/>
    <tableColumn name="Row" id="5"/>
    <tableColumn name="var col" id="6"/>
    <tableColumn name="min col" id="7"/>
    <tableColumn name="max col" id="8"/>
    <tableColumn name="Parameter name" id="9"/>
    <tableColumn name="Base case" id="10"/>
    <tableColumn name="Variance" id="11"/>
    <tableColumn name="95 min" id="12"/>
    <tableColumn name="95 max" id="13"/>
    <tableColumn name="Sample variance" id="14"/>
    <tableColumn name="Distribution" id="15"/>
    <tableColumn name="Min" id="16"/>
    <tableColumn name="Max" id="17"/>
    <tableColumn name="Sampled value" id="18"/>
    <tableColumn name="Name" id="19"/>
    <tableColumn name="Model input" id="20"/>
  </tableColumns>
  <tableStyleInfo name="Parameters-style" showColumnStripes="0" showFirstColumn="1" showLastColumn="1" showRowStripes="1"/>
</table>
</file>

<file path=xl/tables/table2.xml><?xml version="1.0" encoding="utf-8"?>
<table xmlns="http://schemas.openxmlformats.org/spreadsheetml/2006/main" ref="C6:W82" displayName="Table_1" id="1">
  <tableColumns count="21">
    <tableColumn name="Item" id="1"/>
    <tableColumn name="Parameter" id="2"/>
    <tableColumn name="Sheet Name" id="3"/>
    <tableColumn name="Cell" id="4"/>
    <tableColumn name="Variance cell" id="5"/>
    <tableColumn name="Min cell" id="6"/>
    <tableColumn name="Max cell" id="7"/>
    <tableColumn name="Basecase" id="8"/>
    <tableColumn name="Variance" id="9"/>
    <tableColumn name="min range" id="10"/>
    <tableColumn name="max range" id="11"/>
    <tableColumn name="Min" id="12"/>
    <tableColumn name="Max" id="13"/>
    <tableColumn name="Summary" id="14"/>
    <tableColumn name="Information" id="15"/>
    <tableColumn name="Citation" id="16"/>
    <tableColumn name="Value" id="17"/>
    <tableColumn name="Year" id="18"/>
    <tableColumn name="VarianceOrig" id="19"/>
    <tableColumn name="Min Orig" id="20"/>
    <tableColumn name="Max Orig" id="21"/>
  </tableColumns>
  <tableStyleInfo name="Defaults-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27" width="8.63"/>
  </cols>
  <sheetData>
    <row r="1" ht="21.75" customHeight="1">
      <c r="A1" s="1"/>
      <c r="B1" s="2"/>
      <c r="C1" s="3" t="s">
        <v>0</v>
      </c>
      <c r="D1" s="4"/>
      <c r="E1" s="4"/>
      <c r="F1" s="4"/>
      <c r="G1" s="4"/>
      <c r="H1" s="4"/>
      <c r="I1" s="4"/>
      <c r="J1" s="4"/>
      <c r="K1" s="4"/>
      <c r="L1" s="4"/>
      <c r="M1" s="4"/>
      <c r="N1" s="4"/>
      <c r="O1" s="4"/>
      <c r="P1" s="5"/>
      <c r="Q1" s="6"/>
      <c r="R1" s="6"/>
      <c r="S1" s="6"/>
      <c r="T1" s="6"/>
      <c r="U1" s="6"/>
      <c r="V1" s="6"/>
      <c r="W1" s="6"/>
      <c r="X1" s="6"/>
      <c r="Y1" s="6"/>
      <c r="Z1" s="6"/>
      <c r="AA1" s="6"/>
    </row>
    <row r="2" ht="21.75" customHeight="1">
      <c r="A2" s="7"/>
      <c r="B2" s="8"/>
      <c r="C2" s="9" t="s">
        <v>1</v>
      </c>
      <c r="D2" s="10"/>
      <c r="E2" s="10"/>
      <c r="F2" s="10"/>
      <c r="G2" s="10"/>
      <c r="H2" s="10"/>
      <c r="I2" s="10"/>
      <c r="J2" s="10"/>
      <c r="K2" s="10"/>
      <c r="L2" s="10"/>
      <c r="M2" s="10"/>
      <c r="N2" s="10"/>
      <c r="O2" s="10"/>
      <c r="P2" s="11"/>
      <c r="Q2" s="6"/>
      <c r="R2" s="6"/>
      <c r="S2" s="6"/>
      <c r="T2" s="6"/>
      <c r="U2" s="6"/>
      <c r="V2" s="6"/>
      <c r="W2" s="6"/>
      <c r="X2" s="6"/>
      <c r="Y2" s="6"/>
      <c r="Z2" s="6"/>
      <c r="AA2" s="6"/>
    </row>
    <row r="3" ht="14.25" customHeight="1">
      <c r="A3" s="12"/>
      <c r="Q3" s="6"/>
      <c r="R3" s="6"/>
      <c r="S3" s="6"/>
      <c r="T3" s="6"/>
      <c r="U3" s="6"/>
      <c r="V3" s="6"/>
      <c r="W3" s="6"/>
      <c r="X3" s="6"/>
      <c r="Y3" s="6"/>
      <c r="Z3" s="6"/>
      <c r="AA3" s="6"/>
    </row>
    <row r="4" ht="21.0" customHeight="1">
      <c r="A4" s="13" t="s">
        <v>2</v>
      </c>
      <c r="B4" s="14"/>
      <c r="C4" s="15" t="s">
        <v>7</v>
      </c>
      <c r="D4" s="15"/>
      <c r="E4" s="15"/>
      <c r="F4" s="16" t="s">
        <v>8</v>
      </c>
      <c r="G4" s="17"/>
      <c r="H4" s="17"/>
      <c r="I4" s="17"/>
      <c r="J4" s="17"/>
      <c r="K4" s="17"/>
      <c r="L4" s="17"/>
      <c r="M4" s="17"/>
      <c r="N4" s="17"/>
      <c r="O4" s="17"/>
      <c r="P4" s="18"/>
      <c r="Q4" s="6"/>
      <c r="R4" s="6"/>
      <c r="S4" s="6"/>
      <c r="T4" s="6"/>
      <c r="U4" s="6"/>
      <c r="V4" s="6"/>
      <c r="W4" s="6"/>
      <c r="X4" s="6"/>
      <c r="Y4" s="6"/>
      <c r="Z4" s="6"/>
      <c r="AA4" s="6"/>
    </row>
    <row r="5" ht="14.25" customHeight="1">
      <c r="A5" s="12"/>
      <c r="Q5" s="6"/>
      <c r="R5" s="6"/>
      <c r="S5" s="6"/>
      <c r="T5" s="6"/>
      <c r="U5" s="6"/>
      <c r="V5" s="6"/>
      <c r="W5" s="6"/>
      <c r="X5" s="6"/>
      <c r="Y5" s="6"/>
      <c r="Z5" s="6"/>
      <c r="AA5" s="6"/>
    </row>
    <row r="6" ht="14.25" customHeight="1">
      <c r="A6" s="19" t="s">
        <v>7</v>
      </c>
      <c r="B6" s="6"/>
      <c r="C6" s="20"/>
      <c r="D6" s="6"/>
      <c r="E6" s="6"/>
      <c r="F6" s="6"/>
      <c r="G6" s="6"/>
      <c r="H6" s="6"/>
      <c r="I6" s="6"/>
      <c r="J6" s="6"/>
      <c r="K6" s="6"/>
      <c r="L6" s="6"/>
      <c r="M6" s="6"/>
      <c r="N6" s="6"/>
      <c r="O6" s="6"/>
      <c r="P6" s="6"/>
      <c r="Q6" s="6"/>
      <c r="R6" s="6"/>
      <c r="S6" s="6"/>
      <c r="T6" s="6"/>
      <c r="U6" s="6"/>
      <c r="V6" s="6"/>
      <c r="W6" s="6"/>
      <c r="X6" s="6"/>
      <c r="Y6" s="6"/>
      <c r="Z6" s="6"/>
      <c r="AA6" s="6"/>
    </row>
    <row r="7" ht="14.25" customHeight="1">
      <c r="A7" s="12"/>
      <c r="B7" s="6"/>
      <c r="C7" s="21"/>
      <c r="F7" s="6"/>
      <c r="G7" s="6"/>
      <c r="H7" s="6"/>
      <c r="I7" s="6"/>
      <c r="J7" s="6"/>
      <c r="K7" s="6"/>
      <c r="L7" s="6"/>
      <c r="M7" s="6"/>
      <c r="N7" s="6"/>
      <c r="O7" s="6"/>
      <c r="P7" s="6"/>
      <c r="Q7" s="6"/>
      <c r="R7" s="6"/>
      <c r="S7" s="6"/>
      <c r="T7" s="6"/>
      <c r="U7" s="6"/>
      <c r="V7" s="6"/>
      <c r="W7" s="6"/>
      <c r="X7" s="6"/>
      <c r="Y7" s="6"/>
      <c r="Z7" s="6"/>
      <c r="AA7" s="6"/>
    </row>
    <row r="8" ht="14.25" customHeight="1">
      <c r="A8" s="19" t="s">
        <v>4</v>
      </c>
      <c r="B8" s="6"/>
      <c r="C8" s="20" t="s">
        <v>10</v>
      </c>
      <c r="D8" s="6"/>
      <c r="E8" s="6"/>
      <c r="F8" s="24" t="s">
        <v>11</v>
      </c>
      <c r="G8" s="18"/>
      <c r="H8" s="6"/>
      <c r="I8" s="6"/>
      <c r="J8" s="6"/>
      <c r="K8" s="6"/>
      <c r="L8" s="6"/>
      <c r="M8" s="6"/>
      <c r="N8" s="6"/>
      <c r="O8" s="6"/>
      <c r="P8" s="6"/>
      <c r="Q8" s="6"/>
      <c r="R8" s="6"/>
      <c r="S8" s="6"/>
      <c r="T8" s="6"/>
      <c r="U8" s="6"/>
      <c r="V8" s="6"/>
      <c r="W8" s="6"/>
      <c r="X8" s="6"/>
      <c r="Y8" s="6"/>
      <c r="Z8" s="6"/>
      <c r="AA8" s="6"/>
    </row>
    <row r="9" ht="14.25" customHeight="1">
      <c r="A9" s="12"/>
      <c r="B9" s="6"/>
      <c r="C9" s="21"/>
      <c r="F9" s="6"/>
      <c r="G9" s="6"/>
      <c r="H9" s="6"/>
      <c r="I9" s="6"/>
      <c r="J9" s="6"/>
      <c r="K9" s="6"/>
      <c r="L9" s="6"/>
      <c r="M9" s="6"/>
      <c r="N9" s="6"/>
      <c r="O9" s="6"/>
      <c r="P9" s="6"/>
      <c r="Q9" s="6"/>
      <c r="R9" s="6"/>
      <c r="S9" s="6"/>
      <c r="T9" s="6"/>
      <c r="U9" s="6"/>
      <c r="V9" s="6"/>
      <c r="W9" s="6"/>
      <c r="X9" s="6"/>
      <c r="Y9" s="6"/>
      <c r="Z9" s="6"/>
      <c r="AA9" s="6"/>
    </row>
    <row r="10" ht="14.25" customHeight="1">
      <c r="A10" s="19" t="s">
        <v>3</v>
      </c>
      <c r="B10" s="6"/>
      <c r="C10" s="20" t="s">
        <v>19</v>
      </c>
      <c r="D10" s="6"/>
      <c r="E10" s="6"/>
      <c r="F10" s="24" t="s">
        <v>20</v>
      </c>
      <c r="G10" s="17"/>
      <c r="H10" s="17"/>
      <c r="I10" s="18"/>
      <c r="J10" s="6"/>
      <c r="K10" s="6"/>
      <c r="L10" s="6"/>
      <c r="M10" s="6"/>
      <c r="N10" s="6"/>
      <c r="O10" s="6"/>
      <c r="P10" s="6"/>
      <c r="Q10" s="6"/>
      <c r="R10" s="6"/>
      <c r="S10" s="6"/>
      <c r="T10" s="6"/>
      <c r="U10" s="6"/>
      <c r="V10" s="6"/>
      <c r="W10" s="6"/>
      <c r="X10" s="6"/>
      <c r="Y10" s="6"/>
      <c r="Z10" s="6"/>
      <c r="AA10" s="6"/>
    </row>
    <row r="11" ht="14.25" customHeight="1">
      <c r="A11" s="12"/>
      <c r="B11" s="6"/>
      <c r="C11" s="6"/>
      <c r="D11" s="6"/>
      <c r="E11" s="6"/>
      <c r="F11" s="6"/>
      <c r="G11" s="6"/>
      <c r="H11" s="6"/>
      <c r="I11" s="6"/>
      <c r="J11" s="6"/>
      <c r="K11" s="6"/>
      <c r="L11" s="6"/>
      <c r="M11" s="6"/>
      <c r="N11" s="6"/>
      <c r="O11" s="6"/>
      <c r="P11" s="6"/>
      <c r="Q11" s="6"/>
      <c r="R11" s="6"/>
      <c r="S11" s="6"/>
      <c r="T11" s="6"/>
      <c r="U11" s="6"/>
      <c r="V11" s="6"/>
      <c r="W11" s="6"/>
      <c r="X11" s="6"/>
      <c r="Y11" s="6"/>
      <c r="Z11" s="6"/>
      <c r="AA11" s="6"/>
    </row>
    <row r="12" ht="14.25" customHeight="1">
      <c r="A12" s="19" t="s">
        <v>22</v>
      </c>
      <c r="B12" s="6"/>
      <c r="C12" s="20" t="s">
        <v>23</v>
      </c>
      <c r="D12" s="6"/>
      <c r="E12" s="6"/>
      <c r="F12" s="6" t="s">
        <v>24</v>
      </c>
      <c r="G12" s="6"/>
      <c r="H12" s="6"/>
      <c r="I12" s="6"/>
      <c r="J12" s="6"/>
      <c r="K12" s="6"/>
      <c r="L12" s="6"/>
      <c r="M12" s="6"/>
      <c r="N12" s="6"/>
      <c r="O12" s="6"/>
      <c r="P12" s="6"/>
      <c r="Q12" s="6"/>
      <c r="R12" s="6"/>
      <c r="S12" s="6"/>
      <c r="T12" s="6"/>
      <c r="U12" s="6"/>
      <c r="V12" s="6"/>
      <c r="W12" s="6"/>
      <c r="X12" s="6"/>
      <c r="Y12" s="6"/>
      <c r="Z12" s="6"/>
      <c r="AA12" s="6"/>
    </row>
    <row r="13" ht="14.25" customHeight="1">
      <c r="A13" s="12"/>
      <c r="B13" s="6"/>
      <c r="C13" s="6"/>
      <c r="D13" s="6"/>
      <c r="E13" s="6"/>
      <c r="F13" s="6" t="s">
        <v>25</v>
      </c>
      <c r="G13" s="6"/>
      <c r="H13" s="6"/>
      <c r="I13" s="6"/>
      <c r="J13" s="6"/>
      <c r="K13" s="6"/>
      <c r="L13" s="6"/>
      <c r="M13" s="6"/>
      <c r="N13" s="6"/>
      <c r="O13" s="6"/>
      <c r="P13" s="6"/>
      <c r="Q13" s="6"/>
      <c r="R13" s="6"/>
      <c r="S13" s="6"/>
      <c r="T13" s="6"/>
      <c r="U13" s="6"/>
      <c r="V13" s="6"/>
      <c r="W13" s="6"/>
      <c r="X13" s="6"/>
      <c r="Y13" s="6"/>
      <c r="Z13" s="6"/>
      <c r="AA13" s="6"/>
    </row>
    <row r="14" ht="14.25" customHeight="1">
      <c r="A14" s="19" t="s">
        <v>27</v>
      </c>
      <c r="B14" s="6"/>
      <c r="C14" s="6"/>
      <c r="D14" s="6"/>
      <c r="E14" s="6"/>
      <c r="F14" s="6" t="s">
        <v>28</v>
      </c>
      <c r="G14" s="6"/>
      <c r="H14" s="6"/>
      <c r="I14" s="6"/>
      <c r="J14" s="6"/>
      <c r="K14" s="6"/>
      <c r="L14" s="6"/>
      <c r="M14" s="6"/>
      <c r="N14" s="6"/>
      <c r="O14" s="6"/>
      <c r="P14" s="28"/>
      <c r="Q14" s="6"/>
      <c r="R14" s="6"/>
      <c r="S14" s="6"/>
      <c r="T14" s="6"/>
      <c r="U14" s="6"/>
      <c r="V14" s="6"/>
      <c r="W14" s="6"/>
      <c r="X14" s="6"/>
      <c r="Y14" s="6"/>
      <c r="Z14" s="6"/>
      <c r="AA14" s="6"/>
    </row>
    <row r="15" ht="14.25" customHeight="1">
      <c r="A15" s="12"/>
      <c r="B15" s="6"/>
      <c r="C15" s="6"/>
      <c r="D15" s="6"/>
      <c r="E15" s="6"/>
      <c r="F15" s="6" t="s">
        <v>33</v>
      </c>
      <c r="G15" s="6"/>
      <c r="H15" s="6"/>
      <c r="I15" s="6"/>
      <c r="J15" s="6"/>
      <c r="K15" s="6"/>
      <c r="L15" s="6"/>
      <c r="M15" s="6"/>
      <c r="N15" s="6"/>
      <c r="O15" s="6"/>
      <c r="P15" s="30"/>
      <c r="Q15" s="6"/>
      <c r="R15" s="6"/>
      <c r="S15" s="6"/>
      <c r="T15" s="6"/>
      <c r="U15" s="6"/>
      <c r="V15" s="6"/>
      <c r="W15" s="6"/>
      <c r="X15" s="6"/>
      <c r="Y15" s="6"/>
      <c r="Z15" s="6"/>
      <c r="AA15" s="6"/>
    </row>
    <row r="16" ht="14.25" customHeight="1">
      <c r="A16" s="19" t="s">
        <v>35</v>
      </c>
      <c r="B16" s="6"/>
      <c r="C16" s="6"/>
      <c r="D16" s="6"/>
      <c r="E16" s="6"/>
      <c r="F16" s="6" t="s">
        <v>36</v>
      </c>
      <c r="G16" s="6"/>
      <c r="H16" s="6"/>
      <c r="I16" s="6"/>
      <c r="J16" s="6"/>
      <c r="K16" s="6"/>
      <c r="L16" s="6"/>
      <c r="M16" s="6"/>
      <c r="N16" s="6"/>
      <c r="O16" s="6"/>
      <c r="P16" s="6"/>
      <c r="Q16" s="6"/>
      <c r="R16" s="6"/>
      <c r="S16" s="6"/>
      <c r="T16" s="6"/>
      <c r="U16" s="6"/>
      <c r="V16" s="6"/>
      <c r="W16" s="6"/>
      <c r="X16" s="6"/>
      <c r="Y16" s="6"/>
      <c r="Z16" s="6"/>
      <c r="AA16" s="6"/>
    </row>
    <row r="17" ht="14.25" customHeight="1">
      <c r="A17" s="12"/>
      <c r="B17" s="6"/>
      <c r="C17" s="6"/>
      <c r="D17" s="6"/>
      <c r="E17" s="6"/>
      <c r="F17" s="6" t="s">
        <v>37</v>
      </c>
      <c r="G17" s="6"/>
      <c r="H17" s="6"/>
      <c r="I17" s="6"/>
      <c r="J17" s="6"/>
      <c r="K17" s="6"/>
      <c r="L17" s="6"/>
      <c r="M17" s="6"/>
      <c r="N17" s="6"/>
      <c r="O17" s="6"/>
      <c r="P17" s="6"/>
      <c r="Q17" s="6"/>
      <c r="R17" s="6"/>
      <c r="S17" s="6"/>
      <c r="T17" s="6"/>
      <c r="U17" s="6"/>
      <c r="V17" s="6"/>
      <c r="W17" s="6"/>
      <c r="X17" s="6"/>
      <c r="Y17" s="6"/>
      <c r="Z17" s="6"/>
      <c r="AA17" s="6"/>
    </row>
    <row r="18" ht="14.25" customHeight="1">
      <c r="A18" s="19" t="s">
        <v>38</v>
      </c>
      <c r="B18" s="6"/>
      <c r="C18" s="6"/>
      <c r="D18" s="6"/>
      <c r="E18" s="6"/>
      <c r="F18" s="6" t="s">
        <v>40</v>
      </c>
      <c r="G18" s="6"/>
      <c r="H18" s="6"/>
      <c r="I18" s="6"/>
      <c r="J18" s="6"/>
      <c r="K18" s="6"/>
      <c r="L18" s="6"/>
      <c r="M18" s="6"/>
      <c r="N18" s="6"/>
      <c r="O18" s="6"/>
      <c r="P18" s="6"/>
      <c r="Q18" s="6"/>
      <c r="R18" s="6"/>
      <c r="S18" s="6"/>
      <c r="T18" s="6"/>
      <c r="U18" s="6"/>
      <c r="V18" s="6"/>
      <c r="W18" s="6"/>
      <c r="X18" s="6"/>
      <c r="Y18" s="6"/>
      <c r="Z18" s="6"/>
      <c r="AA18" s="6"/>
    </row>
    <row r="19" ht="14.25" customHeight="1">
      <c r="A19" s="12"/>
      <c r="B19" s="6"/>
      <c r="C19" s="6"/>
      <c r="D19" s="6"/>
      <c r="E19" s="6"/>
      <c r="F19" s="6"/>
      <c r="G19" s="6"/>
      <c r="H19" s="6"/>
      <c r="I19" s="6"/>
      <c r="J19" s="6"/>
      <c r="K19" s="6"/>
      <c r="L19" s="6"/>
      <c r="M19" s="6"/>
      <c r="N19" s="6"/>
      <c r="O19" s="6"/>
      <c r="P19" s="6"/>
      <c r="Q19" s="6"/>
      <c r="R19" s="6"/>
      <c r="S19" s="6"/>
      <c r="T19" s="6"/>
      <c r="U19" s="6"/>
      <c r="V19" s="6"/>
      <c r="W19" s="6"/>
      <c r="X19" s="6"/>
      <c r="Y19" s="6"/>
      <c r="Z19" s="6"/>
      <c r="AA19" s="6"/>
    </row>
    <row r="20" ht="14.25" customHeight="1">
      <c r="A20" s="19" t="s">
        <v>42</v>
      </c>
      <c r="B20" s="6"/>
      <c r="C20" s="6"/>
      <c r="D20" s="6"/>
      <c r="E20" s="6"/>
      <c r="F20" s="33" t="s">
        <v>44</v>
      </c>
      <c r="G20" s="17"/>
      <c r="H20" s="17"/>
      <c r="I20" s="17"/>
      <c r="J20" s="17"/>
      <c r="K20" s="17"/>
      <c r="L20" s="17"/>
      <c r="M20" s="18"/>
      <c r="N20" s="6"/>
      <c r="O20" s="6"/>
      <c r="P20" s="6"/>
      <c r="Q20" s="6"/>
      <c r="R20" s="6"/>
      <c r="S20" s="6"/>
      <c r="T20" s="6"/>
      <c r="U20" s="6"/>
      <c r="V20" s="6"/>
      <c r="W20" s="6"/>
      <c r="X20" s="6"/>
      <c r="Y20" s="6"/>
      <c r="Z20" s="6"/>
      <c r="AA20" s="6"/>
    </row>
    <row r="21" ht="14.25" customHeight="1">
      <c r="A21" s="12"/>
      <c r="B21" s="6"/>
      <c r="C21" s="6"/>
      <c r="D21" s="6"/>
      <c r="E21" s="6"/>
      <c r="F21" s="6"/>
      <c r="G21" s="6"/>
      <c r="H21" s="6"/>
      <c r="I21" s="6"/>
      <c r="J21" s="6"/>
      <c r="K21" s="6"/>
      <c r="L21" s="6"/>
      <c r="M21" s="6"/>
      <c r="N21" s="6"/>
      <c r="O21" s="6"/>
      <c r="P21" s="6"/>
      <c r="Q21" s="6"/>
      <c r="R21" s="6"/>
      <c r="S21" s="6"/>
      <c r="T21" s="6"/>
      <c r="U21" s="6"/>
      <c r="V21" s="6"/>
      <c r="W21" s="6"/>
      <c r="X21" s="6"/>
      <c r="Y21" s="6"/>
      <c r="Z21" s="6"/>
      <c r="AA21" s="6"/>
    </row>
    <row r="22" ht="14.25" customHeight="1">
      <c r="A22" s="12"/>
      <c r="B22" s="6"/>
      <c r="C22" s="6"/>
      <c r="D22" s="6"/>
      <c r="E22" s="6"/>
      <c r="F22" s="6"/>
      <c r="G22" s="6"/>
      <c r="H22" s="6"/>
      <c r="I22" s="6"/>
      <c r="J22" s="6"/>
      <c r="K22" s="6"/>
      <c r="L22" s="6"/>
      <c r="M22" s="6"/>
      <c r="N22" s="6"/>
      <c r="O22" s="6"/>
      <c r="P22" s="6"/>
      <c r="Q22" s="6"/>
      <c r="R22" s="6"/>
      <c r="S22" s="6"/>
      <c r="T22" s="6"/>
      <c r="U22" s="6"/>
      <c r="V22" s="6"/>
      <c r="W22" s="6"/>
      <c r="X22" s="6"/>
      <c r="Y22" s="6"/>
      <c r="Z22" s="6"/>
      <c r="AA22" s="6"/>
    </row>
    <row r="23" ht="14.25" customHeight="1">
      <c r="A23" s="12"/>
      <c r="B23" s="6"/>
      <c r="C23" s="6"/>
      <c r="D23" s="6"/>
      <c r="E23" s="6"/>
      <c r="F23" s="6"/>
      <c r="G23" s="6"/>
      <c r="H23" s="6"/>
      <c r="I23" s="6"/>
      <c r="J23" s="6"/>
      <c r="K23" s="6"/>
      <c r="L23" s="6"/>
      <c r="M23" s="6"/>
      <c r="N23" s="6"/>
      <c r="O23" s="6"/>
      <c r="P23" s="6"/>
      <c r="Q23" s="6"/>
      <c r="R23" s="6"/>
      <c r="S23" s="6"/>
      <c r="T23" s="6"/>
      <c r="U23" s="6"/>
      <c r="V23" s="6"/>
      <c r="W23" s="6"/>
      <c r="X23" s="6"/>
      <c r="Y23" s="6"/>
      <c r="Z23" s="6"/>
      <c r="AA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34"/>
      <c r="D29" s="34"/>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35"/>
      <c r="C30" s="36"/>
      <c r="D30" s="37"/>
      <c r="E30" s="38"/>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39"/>
      <c r="D31" s="39"/>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6">
    <mergeCell ref="F20:M20"/>
    <mergeCell ref="C1:P1"/>
    <mergeCell ref="C2:P2"/>
    <mergeCell ref="F4:P4"/>
    <mergeCell ref="F8:G8"/>
    <mergeCell ref="F10:I10"/>
  </mergeCells>
  <conditionalFormatting sqref="C7">
    <cfRule type="expression" dxfId="0" priority="1">
      <formula>$D$7</formula>
    </cfRule>
  </conditionalFormatting>
  <conditionalFormatting sqref="C9">
    <cfRule type="expression" dxfId="0" priority="2">
      <formula>$D$7</formula>
    </cfRule>
  </conditionalFormatting>
  <hyperlinks>
    <hyperlink display="Home" location="Home!A1" ref="A6"/>
    <hyperlink display="Model set up" location="Setup!A1" ref="A8"/>
    <hyperlink display="Population" location="Population!A1" ref="A10"/>
    <hyperlink display="Interventions" location="Interventions!A1" ref="A12"/>
    <hyperlink display="Adverse events" location="Adverse 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6" width="8.63"/>
    <col customWidth="1" min="7" max="7" width="8.5"/>
    <col customWidth="1" min="8" max="8" width="8.88"/>
    <col customWidth="1" min="9" max="9" width="8.63"/>
    <col customWidth="1" min="10" max="10" width="9.5"/>
    <col customWidth="1" min="11" max="11" width="10.5"/>
    <col customWidth="1" min="12" max="12" width="12.0"/>
    <col customWidth="1" min="13"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6"/>
      <c r="X2" s="6"/>
      <c r="Y2" s="6"/>
      <c r="Z2" s="6"/>
      <c r="AA2" s="6"/>
    </row>
    <row r="3" ht="14.25" customHeight="1">
      <c r="A3" s="12"/>
      <c r="W3" s="6"/>
      <c r="X3" s="6"/>
      <c r="Y3" s="6"/>
      <c r="Z3" s="6"/>
      <c r="AA3" s="6"/>
    </row>
    <row r="4" ht="21.0" customHeight="1">
      <c r="A4" s="13" t="s">
        <v>2</v>
      </c>
      <c r="B4" s="14"/>
      <c r="C4" s="15" t="s">
        <v>4</v>
      </c>
      <c r="D4" s="15"/>
      <c r="E4" s="15"/>
      <c r="F4" s="16" t="s">
        <v>6</v>
      </c>
      <c r="G4" s="17"/>
      <c r="H4" s="17"/>
      <c r="I4" s="17"/>
      <c r="J4" s="17"/>
      <c r="K4" s="17"/>
      <c r="L4" s="17"/>
      <c r="M4" s="17"/>
      <c r="N4" s="17"/>
      <c r="O4" s="17"/>
      <c r="P4" s="17"/>
      <c r="Q4" s="17"/>
      <c r="R4" s="17"/>
      <c r="S4" s="17"/>
      <c r="T4" s="17"/>
      <c r="U4" s="17"/>
      <c r="V4" s="18"/>
      <c r="W4" s="6"/>
      <c r="X4" s="6"/>
      <c r="Y4" s="6"/>
      <c r="Z4" s="6"/>
      <c r="AA4" s="6"/>
    </row>
    <row r="5" ht="14.25" customHeight="1">
      <c r="A5" s="12"/>
      <c r="W5" s="6"/>
      <c r="X5" s="6"/>
      <c r="Y5" s="6"/>
      <c r="Z5" s="6"/>
      <c r="AA5" s="6"/>
    </row>
    <row r="6" ht="14.25" customHeight="1">
      <c r="A6" s="19" t="s">
        <v>7</v>
      </c>
      <c r="B6" s="6"/>
      <c r="C6" s="6"/>
      <c r="D6" s="6"/>
      <c r="E6" s="6"/>
      <c r="F6" s="6"/>
      <c r="G6" s="6"/>
      <c r="H6" s="6"/>
      <c r="I6" s="6"/>
      <c r="J6" s="6"/>
      <c r="K6" s="6"/>
      <c r="L6" s="6"/>
      <c r="M6" s="6"/>
      <c r="N6" s="6"/>
      <c r="O6" s="6"/>
      <c r="P6" s="6"/>
      <c r="Q6" s="6"/>
      <c r="R6" s="6"/>
      <c r="S6" s="6"/>
      <c r="T6" s="6"/>
      <c r="U6" s="6"/>
      <c r="V6" s="6"/>
      <c r="W6" s="6"/>
      <c r="X6" s="6"/>
      <c r="Y6" s="6"/>
      <c r="Z6" s="6"/>
      <c r="AA6" s="6"/>
    </row>
    <row r="7" ht="14.25" customHeight="1">
      <c r="A7" s="12"/>
      <c r="B7" s="6"/>
      <c r="C7" s="6"/>
      <c r="D7" s="6"/>
      <c r="E7" s="6"/>
      <c r="F7" s="6"/>
      <c r="G7" s="6"/>
      <c r="H7" s="6"/>
      <c r="I7" s="6"/>
      <c r="J7" s="6"/>
      <c r="K7" s="6"/>
      <c r="L7" s="6"/>
      <c r="M7" s="6"/>
      <c r="N7" s="6"/>
      <c r="O7" s="6"/>
      <c r="P7" s="6"/>
      <c r="Q7" s="6"/>
      <c r="R7" s="6"/>
      <c r="S7" s="6"/>
      <c r="T7" s="6"/>
      <c r="U7" s="6"/>
      <c r="V7" s="6"/>
      <c r="W7" s="6"/>
      <c r="X7" s="6"/>
      <c r="Y7" s="6"/>
      <c r="Z7" s="6"/>
      <c r="AA7" s="6"/>
    </row>
    <row r="8" ht="14.25" customHeight="1">
      <c r="A8" s="19" t="s">
        <v>4</v>
      </c>
      <c r="B8" s="6"/>
      <c r="C8" s="22" t="s">
        <v>9</v>
      </c>
      <c r="D8" s="22"/>
      <c r="E8" s="22"/>
      <c r="F8" s="23" t="s">
        <v>12</v>
      </c>
      <c r="G8" s="23" t="s">
        <v>13</v>
      </c>
      <c r="H8" s="23" t="s">
        <v>14</v>
      </c>
      <c r="I8" s="23" t="s">
        <v>15</v>
      </c>
      <c r="J8" s="23" t="s">
        <v>16</v>
      </c>
      <c r="K8" s="22" t="s">
        <v>17</v>
      </c>
      <c r="L8" s="22" t="s">
        <v>18</v>
      </c>
      <c r="M8" s="6"/>
      <c r="N8" s="6"/>
      <c r="O8" s="6"/>
      <c r="P8" s="6"/>
      <c r="Q8" s="6"/>
      <c r="R8" s="6"/>
      <c r="S8" s="6"/>
      <c r="T8" s="6"/>
      <c r="U8" s="6"/>
      <c r="V8" s="6"/>
      <c r="W8" s="6"/>
      <c r="X8" s="6"/>
      <c r="Y8" s="6"/>
      <c r="Z8" s="6"/>
      <c r="AA8" s="6"/>
    </row>
    <row r="9" ht="14.25" customHeight="1">
      <c r="A9" s="12"/>
      <c r="B9" s="6"/>
      <c r="C9" s="21"/>
      <c r="F9" s="6"/>
      <c r="G9" s="25"/>
      <c r="H9" s="6"/>
      <c r="I9" s="6"/>
      <c r="J9" s="6"/>
      <c r="K9" s="6"/>
      <c r="L9" s="6"/>
      <c r="M9" s="6"/>
      <c r="N9" s="6"/>
      <c r="O9" s="6"/>
      <c r="P9" s="6"/>
      <c r="Q9" s="6"/>
      <c r="R9" s="6"/>
      <c r="S9" s="6"/>
      <c r="T9" s="6"/>
      <c r="U9" s="6"/>
      <c r="V9" s="6"/>
      <c r="W9" s="6"/>
      <c r="X9" s="6"/>
      <c r="Y9" s="6"/>
      <c r="Z9" s="6"/>
      <c r="AA9" s="6"/>
    </row>
    <row r="10" ht="14.25" customHeight="1">
      <c r="A10" s="19" t="s">
        <v>3</v>
      </c>
      <c r="B10" s="6"/>
      <c r="C10" s="20" t="s">
        <v>21</v>
      </c>
      <c r="D10" s="6"/>
      <c r="E10" s="6"/>
      <c r="F10" s="27">
        <v>1.0</v>
      </c>
      <c r="G10" s="25" t="s">
        <v>29</v>
      </c>
      <c r="H10" s="6"/>
      <c r="I10" s="6"/>
      <c r="J10" s="6"/>
      <c r="K10" s="6"/>
      <c r="L10" s="6"/>
      <c r="M10" s="6"/>
      <c r="N10" s="6"/>
      <c r="O10" s="6"/>
      <c r="P10" s="6"/>
      <c r="Q10" s="6"/>
      <c r="R10" s="6"/>
      <c r="S10" s="6"/>
      <c r="T10" s="6"/>
      <c r="U10" s="6"/>
      <c r="V10" s="6"/>
      <c r="W10" s="6"/>
      <c r="X10" s="6"/>
      <c r="Y10" s="6"/>
      <c r="Z10" s="6"/>
      <c r="AA10" s="6"/>
    </row>
    <row r="11" ht="14.25" customHeight="1">
      <c r="A11" s="12"/>
      <c r="B11" s="6"/>
      <c r="C11" s="20" t="s">
        <v>30</v>
      </c>
      <c r="D11" s="6"/>
      <c r="E11" s="6"/>
      <c r="F11" s="32" t="s">
        <v>31</v>
      </c>
      <c r="G11" s="27">
        <v>2016.0</v>
      </c>
      <c r="H11" s="6"/>
      <c r="I11" s="6"/>
      <c r="J11" s="6"/>
      <c r="K11" s="6"/>
      <c r="L11" s="6"/>
      <c r="M11" s="6"/>
      <c r="N11" s="6"/>
      <c r="O11" s="6"/>
      <c r="P11" s="6"/>
      <c r="Q11" s="6"/>
      <c r="R11" s="6"/>
      <c r="S11" s="6"/>
      <c r="T11" s="6"/>
      <c r="U11" s="6"/>
      <c r="V11" s="6"/>
      <c r="W11" s="6"/>
      <c r="X11" s="6"/>
      <c r="Y11" s="6"/>
      <c r="Z11" s="6"/>
      <c r="AA11" s="6"/>
    </row>
    <row r="12" ht="14.25" customHeight="1">
      <c r="A12" s="19" t="s">
        <v>22</v>
      </c>
      <c r="B12" s="6"/>
      <c r="C12" s="20" t="s">
        <v>46</v>
      </c>
      <c r="D12" s="6"/>
      <c r="E12" s="6"/>
      <c r="F12" s="27">
        <v>3.5</v>
      </c>
      <c r="G12" s="25" t="s">
        <v>34</v>
      </c>
      <c r="H12" s="6"/>
      <c r="I12" s="6"/>
      <c r="J12" s="6"/>
      <c r="K12" s="6"/>
      <c r="L12" s="6"/>
      <c r="M12" s="6"/>
      <c r="N12" s="6"/>
      <c r="O12" s="6"/>
      <c r="P12" s="6"/>
      <c r="Q12" s="6"/>
      <c r="R12" s="6"/>
      <c r="S12" s="6"/>
      <c r="T12" s="6"/>
      <c r="U12" s="6"/>
      <c r="V12" s="6"/>
      <c r="W12" s="6"/>
      <c r="X12" s="6"/>
      <c r="Y12" s="6"/>
      <c r="Z12" s="6"/>
      <c r="AA12" s="6"/>
    </row>
    <row r="13" ht="14.25" customHeight="1">
      <c r="A13" s="12"/>
      <c r="B13" s="6"/>
      <c r="C13" s="6"/>
      <c r="D13" s="6"/>
      <c r="E13" s="6"/>
      <c r="F13" s="6"/>
      <c r="G13" s="6"/>
      <c r="H13" s="6"/>
      <c r="I13" s="6"/>
      <c r="J13" s="6"/>
      <c r="K13" s="6"/>
      <c r="L13" s="6"/>
      <c r="M13" s="6"/>
      <c r="N13" s="6"/>
      <c r="O13" s="6"/>
      <c r="P13" s="6"/>
      <c r="Q13" s="6"/>
      <c r="R13" s="6"/>
      <c r="S13" s="6"/>
      <c r="T13" s="6"/>
      <c r="U13" s="6"/>
      <c r="V13" s="6"/>
      <c r="W13" s="6"/>
      <c r="X13" s="6"/>
      <c r="Y13" s="6"/>
      <c r="Z13" s="6"/>
      <c r="AA13" s="6"/>
    </row>
    <row r="14" ht="14.25" customHeight="1">
      <c r="A14" s="19" t="s">
        <v>43</v>
      </c>
      <c r="B14" s="6"/>
      <c r="C14" s="6" t="s">
        <v>47</v>
      </c>
      <c r="D14" s="6"/>
      <c r="E14" s="6"/>
      <c r="F14" s="28">
        <v>200.0</v>
      </c>
      <c r="G14" s="6"/>
      <c r="H14" s="6"/>
      <c r="I14" s="6"/>
      <c r="J14" s="6"/>
      <c r="K14" s="6"/>
      <c r="L14" s="6"/>
      <c r="M14" s="6"/>
      <c r="N14" s="6"/>
      <c r="O14" s="6"/>
      <c r="P14" s="6"/>
      <c r="Q14" s="6"/>
      <c r="R14" s="6"/>
      <c r="S14" s="6"/>
      <c r="T14" s="6"/>
      <c r="U14" s="6"/>
      <c r="V14" s="6"/>
      <c r="W14" s="6"/>
      <c r="X14" s="6"/>
      <c r="Y14" s="6"/>
      <c r="Z14" s="6"/>
      <c r="AA14" s="6"/>
    </row>
    <row r="15" ht="14.25" customHeight="1">
      <c r="A15" s="12"/>
      <c r="B15" s="6"/>
      <c r="C15" s="6"/>
      <c r="D15" s="6"/>
      <c r="E15" s="6"/>
      <c r="F15" s="6"/>
      <c r="G15" s="6"/>
      <c r="H15" s="6"/>
      <c r="I15" s="6"/>
      <c r="J15" s="6"/>
      <c r="K15" s="6"/>
      <c r="L15" s="6"/>
      <c r="M15" s="6"/>
      <c r="N15" s="6"/>
      <c r="O15" s="6"/>
      <c r="P15" s="6"/>
      <c r="Q15" s="6"/>
      <c r="R15" s="6"/>
      <c r="S15" s="6"/>
      <c r="T15" s="6"/>
      <c r="U15" s="6"/>
      <c r="V15" s="6"/>
      <c r="W15" s="6"/>
      <c r="X15" s="6"/>
      <c r="Y15" s="6"/>
      <c r="Z15" s="6"/>
      <c r="AA15" s="6"/>
    </row>
    <row r="16" ht="14.25" customHeight="1">
      <c r="A16" s="19" t="s">
        <v>35</v>
      </c>
      <c r="B16" s="6"/>
      <c r="C16" s="6"/>
      <c r="D16" s="6"/>
      <c r="E16" s="6"/>
      <c r="F16" s="6"/>
      <c r="G16" s="6"/>
      <c r="H16" s="6"/>
      <c r="I16" s="6"/>
      <c r="J16" s="6"/>
      <c r="K16" s="6"/>
      <c r="L16" s="6"/>
      <c r="M16" s="6"/>
      <c r="N16" s="6"/>
      <c r="O16" s="6"/>
      <c r="P16" s="6"/>
      <c r="Q16" s="6"/>
      <c r="R16" s="6"/>
      <c r="S16" s="6"/>
      <c r="T16" s="6"/>
      <c r="U16" s="6"/>
      <c r="V16" s="6"/>
      <c r="W16" s="6"/>
      <c r="X16" s="6"/>
      <c r="Y16" s="6"/>
      <c r="Z16" s="6"/>
      <c r="AA16" s="6"/>
    </row>
    <row r="17" ht="14.25" customHeight="1">
      <c r="A17" s="12"/>
      <c r="B17" s="6"/>
      <c r="C17" s="6"/>
      <c r="D17" s="6"/>
      <c r="E17" s="6"/>
      <c r="F17" s="6"/>
      <c r="G17" s="6"/>
      <c r="H17" s="6"/>
      <c r="I17" s="6"/>
      <c r="J17" s="6"/>
      <c r="K17" s="6"/>
      <c r="L17" s="6"/>
      <c r="M17" s="6"/>
      <c r="N17" s="6"/>
      <c r="O17" s="6"/>
      <c r="P17" s="6"/>
      <c r="Q17" s="6"/>
      <c r="R17" s="6"/>
      <c r="S17" s="6"/>
      <c r="T17" s="6"/>
      <c r="U17" s="6"/>
      <c r="V17" s="6"/>
      <c r="W17" s="6"/>
      <c r="X17" s="6"/>
      <c r="Y17" s="6"/>
      <c r="Z17" s="6"/>
      <c r="AA17" s="6"/>
    </row>
    <row r="18" ht="14.25" customHeight="1">
      <c r="A18" s="19" t="s">
        <v>38</v>
      </c>
      <c r="B18" s="6"/>
      <c r="C18" s="6"/>
      <c r="D18" s="6"/>
      <c r="E18" s="6"/>
      <c r="F18" s="6"/>
      <c r="G18" s="6"/>
      <c r="H18" s="6"/>
      <c r="I18" s="6"/>
      <c r="J18" s="6"/>
      <c r="K18" s="6"/>
      <c r="L18" s="6"/>
      <c r="M18" s="6"/>
      <c r="N18" s="6"/>
      <c r="O18" s="6"/>
      <c r="P18" s="6"/>
      <c r="Q18" s="6"/>
      <c r="R18" s="6"/>
      <c r="S18" s="6"/>
      <c r="T18" s="6"/>
      <c r="U18" s="6"/>
      <c r="V18" s="6"/>
      <c r="W18" s="6"/>
      <c r="X18" s="6"/>
      <c r="Y18" s="6"/>
      <c r="Z18" s="6"/>
      <c r="AA18" s="6"/>
    </row>
    <row r="19" ht="14.25" customHeight="1">
      <c r="A19" s="12"/>
      <c r="B19" s="6"/>
      <c r="C19" s="6"/>
      <c r="D19" s="6"/>
      <c r="E19" s="6"/>
      <c r="F19" s="6"/>
      <c r="G19" s="6"/>
      <c r="H19" s="6"/>
      <c r="I19" s="6"/>
      <c r="J19" s="6"/>
      <c r="K19" s="6"/>
      <c r="L19" s="6"/>
      <c r="M19" s="6"/>
      <c r="N19" s="6"/>
      <c r="O19" s="6"/>
      <c r="P19" s="6"/>
      <c r="Q19" s="6"/>
      <c r="R19" s="6"/>
      <c r="S19" s="6"/>
      <c r="T19" s="6"/>
      <c r="U19" s="6"/>
      <c r="V19" s="6"/>
      <c r="W19" s="6"/>
      <c r="X19" s="6"/>
      <c r="Y19" s="6"/>
      <c r="Z19" s="6"/>
      <c r="AA19" s="6"/>
    </row>
    <row r="20" ht="14.25" customHeight="1">
      <c r="A20" s="19" t="s">
        <v>42</v>
      </c>
      <c r="B20" s="6"/>
      <c r="C20" s="6"/>
      <c r="D20" s="6"/>
      <c r="E20" s="6"/>
      <c r="F20" s="6"/>
      <c r="G20" s="6"/>
      <c r="H20" s="6"/>
      <c r="I20" s="6"/>
      <c r="J20" s="6"/>
      <c r="K20" s="6"/>
      <c r="L20" s="6"/>
      <c r="M20" s="6"/>
      <c r="N20" s="6"/>
      <c r="O20" s="6"/>
      <c r="P20" s="6"/>
      <c r="Q20" s="6"/>
      <c r="R20" s="6"/>
      <c r="S20" s="6"/>
      <c r="T20" s="6"/>
      <c r="U20" s="6"/>
      <c r="V20" s="6"/>
      <c r="W20" s="6"/>
      <c r="X20" s="6"/>
      <c r="Y20" s="6"/>
      <c r="Z20" s="6"/>
      <c r="AA20" s="6"/>
    </row>
    <row r="21" ht="14.25" customHeight="1">
      <c r="A21" s="12"/>
      <c r="B21" s="6"/>
      <c r="C21" s="6"/>
      <c r="D21" s="6"/>
      <c r="E21" s="6"/>
      <c r="F21" s="6"/>
      <c r="G21" s="6"/>
      <c r="H21" s="6"/>
      <c r="I21" s="6"/>
      <c r="J21" s="6"/>
      <c r="K21" s="6"/>
      <c r="L21" s="6"/>
      <c r="M21" s="6"/>
      <c r="N21" s="6"/>
      <c r="O21" s="6"/>
      <c r="P21" s="6"/>
      <c r="Q21" s="6"/>
      <c r="R21" s="6"/>
      <c r="S21" s="6"/>
      <c r="T21" s="6"/>
      <c r="U21" s="6"/>
      <c r="V21" s="6"/>
      <c r="W21" s="6"/>
      <c r="X21" s="6"/>
      <c r="Y21" s="6"/>
      <c r="Z21" s="6"/>
      <c r="AA21" s="6"/>
    </row>
    <row r="22" ht="14.25" customHeight="1">
      <c r="A22" s="12"/>
      <c r="B22" s="6"/>
      <c r="C22" s="6"/>
      <c r="D22" s="6"/>
      <c r="E22" s="6"/>
      <c r="F22" s="6"/>
      <c r="G22" s="6"/>
      <c r="H22" s="6"/>
      <c r="I22" s="6"/>
      <c r="J22" s="6"/>
      <c r="K22" s="6"/>
      <c r="L22" s="6"/>
      <c r="M22" s="6"/>
      <c r="N22" s="6"/>
      <c r="O22" s="6"/>
      <c r="P22" s="6"/>
      <c r="Q22" s="6"/>
      <c r="R22" s="6"/>
      <c r="S22" s="6"/>
      <c r="T22" s="6"/>
      <c r="U22" s="6"/>
      <c r="V22" s="6"/>
      <c r="W22" s="6"/>
      <c r="X22" s="6"/>
      <c r="Y22" s="6"/>
      <c r="Z22" s="6"/>
      <c r="AA22" s="6"/>
    </row>
    <row r="23" ht="14.25" customHeight="1">
      <c r="A23" s="12"/>
      <c r="B23" s="6"/>
      <c r="C23" s="6"/>
      <c r="D23" s="6"/>
      <c r="E23" s="6"/>
      <c r="F23" s="6"/>
      <c r="G23" s="6"/>
      <c r="H23" s="6"/>
      <c r="I23" s="6"/>
      <c r="J23" s="6"/>
      <c r="K23" s="6"/>
      <c r="L23" s="6"/>
      <c r="M23" s="6"/>
      <c r="N23" s="6"/>
      <c r="O23" s="6"/>
      <c r="P23" s="6"/>
      <c r="Q23" s="6"/>
      <c r="R23" s="6"/>
      <c r="S23" s="6"/>
      <c r="T23" s="6"/>
      <c r="U23" s="6"/>
      <c r="V23" s="6"/>
      <c r="W23" s="6"/>
      <c r="X23" s="6"/>
      <c r="Y23" s="6"/>
      <c r="Z23" s="6"/>
      <c r="AA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conditionalFormatting sqref="C9">
    <cfRule type="expression" dxfId="0" priority="1">
      <formula>$D$9</formula>
    </cfRule>
  </conditionalFormatting>
  <dataValidations>
    <dataValidation type="decimal" allowBlank="1" showInputMessage="1" showErrorMessage="1" prompt="Positive decimal - between 0 and 20" sqref="F12">
      <formula1>0.0</formula1>
      <formula2>20.0</formula2>
    </dataValidation>
    <dataValidation type="decimal" operator="greaterThan" allowBlank="1" showErrorMessage="1" sqref="F14">
      <formula1>0.0</formula1>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2" width="14.38"/>
    <col customWidth="1" min="3" max="3" width="30.25"/>
    <col customWidth="1" min="4" max="5" width="3.75"/>
    <col customWidth="1" min="6" max="6" width="11.63"/>
    <col customWidth="1" min="7" max="7" width="10.5"/>
    <col customWidth="1" min="8" max="10" width="11.0"/>
    <col customWidth="1" min="11" max="12" width="14.38"/>
    <col customWidth="1" min="13" max="13" width="8.63"/>
    <col customWidth="1" min="14" max="16" width="3.13"/>
    <col customWidth="1" min="17"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6"/>
      <c r="X2" s="6"/>
      <c r="Y2" s="6"/>
      <c r="Z2" s="6"/>
      <c r="AA2" s="6"/>
    </row>
    <row r="3" ht="14.25" customHeight="1">
      <c r="A3" s="12"/>
      <c r="W3" s="6"/>
      <c r="X3" s="6"/>
      <c r="Y3" s="6"/>
      <c r="Z3" s="6"/>
      <c r="AA3" s="6"/>
    </row>
    <row r="4" ht="21.0" customHeight="1">
      <c r="A4" s="13" t="s">
        <v>2</v>
      </c>
      <c r="B4" s="14"/>
      <c r="C4" s="15" t="s">
        <v>3</v>
      </c>
      <c r="D4" s="15"/>
      <c r="E4" s="15"/>
      <c r="F4" s="16" t="s">
        <v>5</v>
      </c>
      <c r="G4" s="17"/>
      <c r="H4" s="17"/>
      <c r="I4" s="17"/>
      <c r="J4" s="17"/>
      <c r="K4" s="17"/>
      <c r="L4" s="17"/>
      <c r="M4" s="17"/>
      <c r="N4" s="17"/>
      <c r="O4" s="17"/>
      <c r="P4" s="17"/>
      <c r="Q4" s="17"/>
      <c r="R4" s="17"/>
      <c r="S4" s="17"/>
      <c r="T4" s="17"/>
      <c r="U4" s="17"/>
      <c r="V4" s="18"/>
      <c r="W4" s="6"/>
      <c r="X4" s="6"/>
      <c r="Y4" s="6"/>
      <c r="Z4" s="6"/>
      <c r="AA4" s="6"/>
    </row>
    <row r="5" ht="14.25" customHeight="1">
      <c r="A5" s="12"/>
      <c r="W5" s="6"/>
      <c r="X5" s="6"/>
      <c r="Y5" s="6"/>
      <c r="Z5" s="6"/>
      <c r="AA5" s="6"/>
    </row>
    <row r="6" ht="14.25" customHeight="1">
      <c r="A6" s="19" t="s">
        <v>7</v>
      </c>
      <c r="B6" s="6"/>
      <c r="K6" s="20"/>
      <c r="L6" s="6"/>
      <c r="M6" s="6"/>
      <c r="N6" s="6"/>
      <c r="O6" s="6"/>
      <c r="P6" s="6"/>
      <c r="Q6" s="6"/>
      <c r="R6" s="6"/>
      <c r="S6" s="6"/>
      <c r="T6" s="6"/>
      <c r="U6" s="6"/>
      <c r="V6" s="6"/>
      <c r="W6" s="6"/>
      <c r="X6" s="6"/>
      <c r="Y6" s="6"/>
      <c r="Z6" s="6"/>
      <c r="AA6" s="6"/>
    </row>
    <row r="7" ht="14.25" customHeight="1">
      <c r="A7" s="12"/>
      <c r="B7" s="6"/>
      <c r="K7" s="6"/>
      <c r="L7" s="6"/>
      <c r="M7" s="6"/>
      <c r="N7" s="6"/>
      <c r="O7" s="6"/>
      <c r="P7" s="6"/>
      <c r="Q7" s="6"/>
      <c r="R7" s="6"/>
      <c r="S7" s="6"/>
      <c r="T7" s="6"/>
      <c r="U7" s="6"/>
      <c r="V7" s="6"/>
      <c r="W7" s="6"/>
      <c r="X7" s="6"/>
      <c r="Y7" s="6"/>
      <c r="Z7" s="6"/>
      <c r="AA7" s="6"/>
    </row>
    <row r="8" ht="14.25" customHeight="1">
      <c r="A8" s="19" t="s">
        <v>4</v>
      </c>
      <c r="B8" s="6"/>
      <c r="C8" s="22" t="s">
        <v>9</v>
      </c>
      <c r="D8" s="22"/>
      <c r="E8" s="22"/>
      <c r="F8" s="23" t="s">
        <v>12</v>
      </c>
      <c r="G8" s="23" t="s">
        <v>13</v>
      </c>
      <c r="H8" s="23" t="s">
        <v>14</v>
      </c>
      <c r="I8" s="23" t="s">
        <v>15</v>
      </c>
      <c r="J8" s="23" t="s">
        <v>16</v>
      </c>
      <c r="K8" s="22" t="s">
        <v>17</v>
      </c>
      <c r="L8" s="22" t="s">
        <v>18</v>
      </c>
      <c r="M8" s="6"/>
      <c r="N8" s="6"/>
      <c r="O8" s="6"/>
      <c r="P8" s="6"/>
      <c r="Q8" s="6"/>
      <c r="R8" s="6"/>
      <c r="S8" s="6"/>
      <c r="T8" s="6"/>
      <c r="U8" s="6"/>
      <c r="V8" s="6"/>
      <c r="W8" s="6"/>
      <c r="X8" s="6"/>
      <c r="Y8" s="6"/>
      <c r="Z8" s="6"/>
      <c r="AA8" s="6"/>
    </row>
    <row r="9" ht="14.25" customHeight="1">
      <c r="A9" s="12"/>
      <c r="B9" s="6"/>
      <c r="C9" s="21"/>
      <c r="D9" s="26"/>
      <c r="E9" s="26"/>
      <c r="F9" s="6"/>
      <c r="G9" s="25"/>
      <c r="H9" s="6"/>
      <c r="I9" s="6"/>
      <c r="J9" s="6"/>
      <c r="K9" s="6"/>
      <c r="L9" s="6"/>
      <c r="M9" s="6"/>
      <c r="N9" s="6"/>
      <c r="O9" s="6"/>
      <c r="P9" s="6"/>
      <c r="Q9" s="6"/>
      <c r="R9" s="6"/>
      <c r="S9" s="6"/>
      <c r="T9" s="6"/>
      <c r="U9" s="6"/>
      <c r="V9" s="6"/>
      <c r="W9" s="6"/>
      <c r="X9" s="6"/>
      <c r="Y9" s="6"/>
      <c r="Z9" s="6"/>
      <c r="AA9" s="6"/>
    </row>
    <row r="10" ht="14.25" customHeight="1">
      <c r="A10" s="19" t="s">
        <v>3</v>
      </c>
      <c r="B10" s="6"/>
      <c r="C10" s="26" t="s">
        <v>26</v>
      </c>
      <c r="D10" s="26"/>
      <c r="E10" s="26"/>
      <c r="F10" s="27">
        <v>73.0</v>
      </c>
      <c r="G10" s="25" t="s">
        <v>29</v>
      </c>
      <c r="H10" s="25"/>
      <c r="I10" s="27">
        <v>69.0</v>
      </c>
      <c r="J10" s="27">
        <v>78.0</v>
      </c>
      <c r="K10" s="6"/>
      <c r="L10" s="6"/>
      <c r="M10" s="6"/>
      <c r="N10" s="6"/>
      <c r="O10" s="6"/>
      <c r="P10" s="6"/>
      <c r="Q10" s="6"/>
      <c r="R10" s="6"/>
      <c r="S10" s="6"/>
      <c r="T10" s="6"/>
      <c r="U10" s="6"/>
      <c r="V10" s="6"/>
      <c r="W10" s="6"/>
      <c r="X10" s="6"/>
      <c r="Y10" s="6"/>
      <c r="Z10" s="6"/>
      <c r="AA10" s="6"/>
    </row>
    <row r="11" ht="14.25" customHeight="1">
      <c r="A11" s="12"/>
      <c r="B11" s="6"/>
      <c r="C11" s="26" t="s">
        <v>32</v>
      </c>
      <c r="D11" s="26"/>
      <c r="E11" s="26"/>
      <c r="F11" s="29">
        <v>34.7</v>
      </c>
      <c r="G11" s="25" t="s">
        <v>34</v>
      </c>
      <c r="H11" s="31">
        <v>0.17740017683209866</v>
      </c>
      <c r="I11" s="6"/>
      <c r="J11" s="6"/>
      <c r="K11" s="6"/>
      <c r="L11" s="6"/>
      <c r="M11" s="6"/>
      <c r="N11" s="6"/>
      <c r="O11" s="6"/>
      <c r="P11" s="6"/>
      <c r="Q11" s="6"/>
      <c r="R11" s="6"/>
      <c r="S11" s="6"/>
      <c r="T11" s="6"/>
      <c r="U11" s="6"/>
      <c r="V11" s="6"/>
      <c r="W11" s="6"/>
      <c r="X11" s="6"/>
      <c r="Y11" s="6"/>
      <c r="Z11" s="6"/>
      <c r="AA11" s="6"/>
    </row>
    <row r="12" ht="14.25" customHeight="1">
      <c r="A12" s="19" t="s">
        <v>22</v>
      </c>
      <c r="B12" s="6"/>
      <c r="C12" s="26" t="s">
        <v>39</v>
      </c>
      <c r="D12" s="26"/>
      <c r="E12" s="26"/>
      <c r="F12" s="27">
        <v>35.0</v>
      </c>
      <c r="G12" s="25" t="s">
        <v>34</v>
      </c>
      <c r="H12" s="31">
        <v>0.484239335956647</v>
      </c>
      <c r="I12" s="6"/>
      <c r="J12" s="6"/>
      <c r="K12" s="6"/>
      <c r="L12" s="6"/>
      <c r="M12" s="6"/>
      <c r="N12" s="6"/>
      <c r="O12" s="6"/>
      <c r="P12" s="6"/>
      <c r="Q12" s="6"/>
      <c r="R12" s="6"/>
      <c r="S12" s="6"/>
      <c r="T12" s="6"/>
      <c r="U12" s="6"/>
      <c r="V12" s="6"/>
      <c r="W12" s="6"/>
      <c r="X12" s="6"/>
      <c r="Y12" s="6"/>
      <c r="Z12" s="6"/>
      <c r="AA12" s="6"/>
    </row>
    <row r="13" ht="14.25" customHeight="1">
      <c r="A13" s="12"/>
      <c r="B13" s="6"/>
      <c r="C13" s="26" t="s">
        <v>41</v>
      </c>
      <c r="D13" s="26"/>
      <c r="E13" s="26"/>
      <c r="F13" s="27">
        <v>6.0</v>
      </c>
      <c r="G13" s="25" t="s">
        <v>34</v>
      </c>
      <c r="H13" s="31">
        <v>0.241106498972196</v>
      </c>
      <c r="K13" s="6"/>
      <c r="L13" s="6"/>
      <c r="M13" s="6"/>
      <c r="N13" s="6"/>
      <c r="O13" s="6"/>
      <c r="P13" s="6"/>
      <c r="Q13" s="6"/>
      <c r="R13" s="6"/>
      <c r="S13" s="6"/>
      <c r="T13" s="6"/>
      <c r="U13" s="6"/>
      <c r="V13" s="6"/>
      <c r="W13" s="6"/>
      <c r="X13" s="6"/>
      <c r="Y13" s="6"/>
      <c r="Z13" s="6"/>
      <c r="AA13" s="6"/>
    </row>
    <row r="14" ht="14.25" customHeight="1">
      <c r="A14" s="19" t="s">
        <v>43</v>
      </c>
      <c r="B14" s="6"/>
      <c r="C14" s="26" t="s">
        <v>45</v>
      </c>
      <c r="D14" s="26"/>
      <c r="E14" s="26"/>
      <c r="F14" s="27">
        <v>45.2</v>
      </c>
      <c r="G14" s="25" t="s">
        <v>34</v>
      </c>
      <c r="H14" s="31">
        <v>0.1930353542551674</v>
      </c>
      <c r="K14" s="6"/>
      <c r="L14" s="6"/>
      <c r="M14" s="6"/>
      <c r="N14" s="6"/>
      <c r="O14" s="6"/>
      <c r="P14" s="6"/>
      <c r="Q14" s="6"/>
      <c r="R14" s="6"/>
      <c r="S14" s="6"/>
      <c r="T14" s="6"/>
      <c r="U14" s="6"/>
      <c r="V14" s="6"/>
      <c r="W14" s="6"/>
      <c r="X14" s="6"/>
      <c r="Y14" s="6"/>
      <c r="Z14" s="6"/>
      <c r="AA14" s="6"/>
    </row>
    <row r="15" ht="14.25" customHeight="1">
      <c r="A15" s="12"/>
      <c r="B15" s="6"/>
      <c r="C15" s="6"/>
      <c r="D15" s="6"/>
      <c r="E15" s="6"/>
      <c r="F15" s="6"/>
      <c r="G15" s="6"/>
      <c r="K15" s="6"/>
      <c r="L15" s="6"/>
      <c r="M15" s="6"/>
      <c r="N15" s="6"/>
      <c r="O15" s="6"/>
      <c r="P15" s="6"/>
      <c r="Q15" s="6"/>
      <c r="R15" s="6"/>
      <c r="S15" s="6"/>
      <c r="T15" s="6"/>
      <c r="U15" s="6"/>
      <c r="V15" s="6"/>
      <c r="W15" s="6"/>
      <c r="X15" s="6"/>
      <c r="Y15" s="6"/>
      <c r="Z15" s="6"/>
      <c r="AA15" s="6"/>
    </row>
    <row r="16" ht="14.25" customHeight="1">
      <c r="A16" s="19" t="s">
        <v>35</v>
      </c>
      <c r="B16" s="6"/>
      <c r="C16" s="6"/>
      <c r="D16" s="6"/>
      <c r="E16" s="6"/>
      <c r="F16" s="6"/>
      <c r="G16" s="6"/>
      <c r="H16" s="6"/>
      <c r="K16" s="6"/>
      <c r="L16" s="26"/>
      <c r="M16" s="6"/>
      <c r="N16" s="6"/>
      <c r="O16" s="6"/>
      <c r="P16" s="6"/>
      <c r="Q16" s="6"/>
      <c r="R16" s="6"/>
      <c r="S16" s="6"/>
      <c r="T16" s="6"/>
      <c r="U16" s="6"/>
      <c r="V16" s="6"/>
      <c r="W16" s="6"/>
      <c r="X16" s="6"/>
      <c r="Y16" s="6"/>
      <c r="Z16" s="6"/>
      <c r="AA16" s="6"/>
    </row>
    <row r="17" ht="14.25" customHeight="1">
      <c r="A17" s="12"/>
      <c r="B17" s="6"/>
      <c r="C17" s="6"/>
      <c r="D17" s="6"/>
      <c r="E17" s="6"/>
      <c r="F17" s="6"/>
      <c r="G17" s="6"/>
      <c r="H17" s="6"/>
      <c r="K17" s="6"/>
      <c r="L17" s="26"/>
      <c r="M17" s="6"/>
      <c r="N17" s="6"/>
      <c r="O17" s="6"/>
      <c r="P17" s="6"/>
      <c r="Q17" s="6"/>
      <c r="R17" s="6"/>
      <c r="S17" s="6"/>
      <c r="T17" s="6"/>
      <c r="U17" s="6"/>
      <c r="V17" s="6"/>
      <c r="W17" s="6"/>
      <c r="X17" s="6"/>
      <c r="Y17" s="6"/>
      <c r="Z17" s="6"/>
      <c r="AA17" s="6"/>
    </row>
    <row r="18" ht="14.25" customHeight="1">
      <c r="A18" s="19" t="s">
        <v>38</v>
      </c>
      <c r="B18" s="6"/>
      <c r="C18" s="6"/>
      <c r="D18" s="6"/>
      <c r="E18" s="6"/>
      <c r="F18" s="6"/>
      <c r="G18" s="6"/>
      <c r="H18" s="6"/>
      <c r="I18" s="6"/>
      <c r="J18" s="6"/>
      <c r="K18" s="6"/>
      <c r="L18" s="6"/>
      <c r="M18" s="6"/>
      <c r="N18" s="6"/>
      <c r="O18" s="6"/>
      <c r="P18" s="6"/>
      <c r="Q18" s="6"/>
      <c r="R18" s="6"/>
      <c r="S18" s="6"/>
      <c r="T18" s="6"/>
      <c r="U18" s="6"/>
      <c r="V18" s="6"/>
      <c r="W18" s="6"/>
      <c r="X18" s="6"/>
      <c r="Y18" s="6"/>
      <c r="Z18" s="6"/>
      <c r="AA18" s="6"/>
    </row>
    <row r="19" ht="14.25" customHeight="1">
      <c r="A19" s="12"/>
      <c r="B19" s="6"/>
      <c r="C19" s="6"/>
      <c r="D19" s="6"/>
      <c r="E19" s="6"/>
      <c r="F19" s="6"/>
      <c r="G19" s="6"/>
      <c r="H19" s="6"/>
      <c r="I19" s="6"/>
      <c r="J19" s="6"/>
      <c r="K19" s="6"/>
      <c r="L19" s="6"/>
      <c r="M19" s="6"/>
      <c r="N19" s="6"/>
      <c r="O19" s="6"/>
      <c r="P19" s="6"/>
      <c r="Q19" s="6"/>
      <c r="R19" s="6"/>
      <c r="S19" s="6"/>
      <c r="T19" s="6"/>
      <c r="U19" s="6"/>
      <c r="V19" s="6"/>
      <c r="W19" s="6"/>
      <c r="X19" s="6"/>
      <c r="Y19" s="6"/>
      <c r="Z19" s="6"/>
      <c r="AA19" s="6"/>
    </row>
    <row r="20" ht="14.25" customHeight="1">
      <c r="A20" s="19" t="s">
        <v>42</v>
      </c>
      <c r="B20" s="6"/>
      <c r="C20" s="6"/>
      <c r="D20" s="6"/>
      <c r="E20" s="6"/>
      <c r="F20" s="6"/>
      <c r="G20" s="6"/>
      <c r="H20" s="6"/>
      <c r="I20" s="6"/>
      <c r="J20" s="6"/>
      <c r="K20" s="6"/>
      <c r="L20" s="6"/>
      <c r="M20" s="6"/>
      <c r="N20" s="6"/>
      <c r="O20" s="6"/>
      <c r="P20" s="6"/>
      <c r="Q20" s="6"/>
      <c r="R20" s="6"/>
      <c r="S20" s="6"/>
      <c r="T20" s="6"/>
      <c r="U20" s="6"/>
      <c r="V20" s="6"/>
      <c r="W20" s="6"/>
      <c r="X20" s="6"/>
      <c r="Y20" s="6"/>
      <c r="Z20" s="6"/>
      <c r="AA20" s="6"/>
    </row>
    <row r="21" ht="14.25" customHeight="1">
      <c r="A21" s="12"/>
      <c r="B21" s="6"/>
      <c r="C21" s="6"/>
      <c r="D21" s="6"/>
      <c r="E21" s="6"/>
      <c r="F21" s="6"/>
      <c r="G21" s="6"/>
      <c r="H21" s="6"/>
      <c r="I21" s="6"/>
      <c r="J21" s="6"/>
      <c r="K21" s="6"/>
      <c r="L21" s="6"/>
      <c r="M21" s="6"/>
      <c r="N21" s="6"/>
      <c r="O21" s="6"/>
      <c r="P21" s="6"/>
      <c r="Q21" s="6"/>
      <c r="R21" s="6"/>
      <c r="S21" s="6"/>
      <c r="T21" s="6"/>
      <c r="U21" s="6"/>
      <c r="V21" s="6"/>
      <c r="W21" s="6"/>
      <c r="X21" s="6"/>
      <c r="Y21" s="6"/>
      <c r="Z21" s="6"/>
      <c r="AA21" s="6"/>
    </row>
    <row r="22" ht="14.25" customHeight="1">
      <c r="A22" s="12"/>
      <c r="B22" s="6"/>
      <c r="C22" s="6"/>
      <c r="D22" s="6"/>
      <c r="E22" s="6"/>
      <c r="F22" s="6"/>
      <c r="G22" s="6"/>
      <c r="H22" s="6"/>
      <c r="I22" s="6"/>
      <c r="J22" s="6"/>
      <c r="K22" s="6"/>
      <c r="L22" s="6"/>
      <c r="M22" s="6"/>
      <c r="N22" s="6"/>
      <c r="O22" s="6"/>
      <c r="P22" s="6"/>
      <c r="Q22" s="6"/>
      <c r="R22" s="6"/>
      <c r="S22" s="6"/>
      <c r="T22" s="6"/>
      <c r="U22" s="6"/>
      <c r="V22" s="6"/>
      <c r="W22" s="6"/>
      <c r="X22" s="6"/>
      <c r="Y22" s="6"/>
      <c r="Z22" s="6"/>
      <c r="AA22" s="6"/>
    </row>
    <row r="23" ht="14.25" customHeight="1">
      <c r="A23" s="12"/>
      <c r="B23" s="6"/>
      <c r="C23" s="6"/>
      <c r="D23" s="6"/>
      <c r="E23" s="6"/>
      <c r="F23" s="6"/>
      <c r="G23" s="6"/>
      <c r="H23" s="6"/>
      <c r="I23" s="6"/>
      <c r="J23" s="6"/>
      <c r="K23" s="6"/>
      <c r="L23" s="6"/>
      <c r="M23" s="6"/>
      <c r="N23" s="6"/>
      <c r="O23" s="6"/>
      <c r="P23" s="6"/>
      <c r="Q23" s="6"/>
      <c r="R23" s="6"/>
      <c r="S23" s="6"/>
      <c r="T23" s="6"/>
      <c r="U23" s="6"/>
      <c r="V23" s="6"/>
      <c r="W23" s="6"/>
      <c r="X23" s="6"/>
      <c r="Y23" s="6"/>
      <c r="Z23" s="6"/>
      <c r="AA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conditionalFormatting sqref="C9">
    <cfRule type="expression" dxfId="0" priority="1">
      <formula>$D$9</formula>
    </cfRule>
  </conditionalFormatting>
  <dataValidations>
    <dataValidation type="decimal" allowBlank="1" showInputMessage="1" showErrorMessage="1" prompt="Decimal value - between 0 and 100" sqref="F11:F12 F14">
      <formula1>0.0</formula1>
      <formula2>100.0</formula2>
    </dataValidation>
    <dataValidation type="decimal" allowBlank="1" showInputMessage="1" showErrorMessage="1" prompt="Value erro2 - Must be between 1 and 99" sqref="F10">
      <formula1>1.0</formula1>
      <formula2>99.0</formula2>
    </dataValidation>
    <dataValidation type="decimal" allowBlank="1" showInputMessage="1" showErrorMessage="1" prompt="Positive value - between the mean value entered and 100" sqref="J10">
      <formula1>F10</formula1>
      <formula2>100.0</formula2>
    </dataValidation>
    <dataValidation type="decimal" allowBlank="1" showInputMessage="1" showErrorMessage="1" prompt="Decimal value - between 0 and 100 minus %-obese" sqref="F13">
      <formula1>0.0</formula1>
      <formula2>100-F13</formula2>
    </dataValidation>
    <dataValidation type="decimal" operator="greaterThan" allowBlank="1" showInputMessage="1" showErrorMessage="1" prompt="Positive value - Greater than 0" sqref="H11:H14">
      <formula1>0.0</formula1>
    </dataValidation>
    <dataValidation type="decimal" allowBlank="1" showInputMessage="1" showErrorMessage="1" prompt="Positive value - Between 0 and the mean value entered" sqref="I10">
      <formula1>0.0</formula1>
      <formula2>F10</formula2>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5" width="8.63"/>
    <col customWidth="1" min="6" max="6" width="11.13"/>
    <col customWidth="1" min="7" max="7" width="15.63"/>
    <col customWidth="1" min="8" max="11" width="8.63"/>
    <col customWidth="1" min="12" max="12" width="43.75"/>
    <col customWidth="1" min="13"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6"/>
      <c r="X2" s="6"/>
      <c r="Y2" s="6"/>
      <c r="Z2" s="6"/>
      <c r="AA2" s="6"/>
    </row>
    <row r="3" ht="14.25" customHeight="1">
      <c r="A3" s="12"/>
      <c r="W3" s="6"/>
      <c r="X3" s="6"/>
      <c r="Y3" s="6"/>
      <c r="Z3" s="6"/>
      <c r="AA3" s="6"/>
    </row>
    <row r="4" ht="21.0" customHeight="1">
      <c r="A4" s="13" t="s">
        <v>2</v>
      </c>
      <c r="B4" s="14"/>
      <c r="C4" s="15" t="s">
        <v>22</v>
      </c>
      <c r="D4" s="15"/>
      <c r="E4" s="15"/>
      <c r="F4" s="16" t="s">
        <v>48</v>
      </c>
      <c r="G4" s="17"/>
      <c r="H4" s="17"/>
      <c r="I4" s="17"/>
      <c r="J4" s="17"/>
      <c r="K4" s="17"/>
      <c r="L4" s="17"/>
      <c r="M4" s="17"/>
      <c r="N4" s="17"/>
      <c r="O4" s="17"/>
      <c r="P4" s="17"/>
      <c r="Q4" s="17"/>
      <c r="R4" s="17"/>
      <c r="S4" s="17"/>
      <c r="T4" s="17"/>
      <c r="U4" s="17"/>
      <c r="V4" s="18"/>
      <c r="W4" s="6"/>
      <c r="X4" s="6"/>
      <c r="Y4" s="6"/>
      <c r="Z4" s="6"/>
      <c r="AA4" s="6"/>
    </row>
    <row r="5" ht="14.25" customHeight="1">
      <c r="A5" s="12"/>
      <c r="W5" s="6"/>
      <c r="X5" s="6"/>
      <c r="Y5" s="6"/>
      <c r="Z5" s="6"/>
      <c r="AA5" s="6"/>
    </row>
    <row r="6" ht="14.25" customHeight="1">
      <c r="A6" s="19" t="s">
        <v>7</v>
      </c>
      <c r="B6" s="6"/>
      <c r="W6" s="6"/>
      <c r="X6" s="6"/>
      <c r="Y6" s="6"/>
      <c r="Z6" s="6"/>
      <c r="AA6" s="6"/>
    </row>
    <row r="7" ht="14.25" customHeight="1">
      <c r="A7" s="12"/>
      <c r="B7" s="6"/>
      <c r="W7" s="6"/>
      <c r="X7" s="6"/>
      <c r="Y7" s="6"/>
      <c r="Z7" s="6"/>
      <c r="AA7" s="6"/>
    </row>
    <row r="8" ht="14.25" customHeight="1">
      <c r="A8" s="19" t="s">
        <v>4</v>
      </c>
      <c r="B8" s="6"/>
      <c r="C8" s="22" t="s">
        <v>49</v>
      </c>
      <c r="D8" s="22"/>
      <c r="E8" s="22"/>
      <c r="F8" s="23" t="s">
        <v>12</v>
      </c>
      <c r="G8" s="23" t="s">
        <v>13</v>
      </c>
      <c r="H8" s="23" t="s">
        <v>14</v>
      </c>
      <c r="I8" s="23" t="s">
        <v>15</v>
      </c>
      <c r="J8" s="23" t="s">
        <v>16</v>
      </c>
      <c r="K8" s="22" t="s">
        <v>17</v>
      </c>
      <c r="L8" s="22" t="s">
        <v>18</v>
      </c>
      <c r="W8" s="6"/>
      <c r="X8" s="6"/>
      <c r="Y8" s="6"/>
      <c r="Z8" s="6"/>
      <c r="AA8" s="6"/>
    </row>
    <row r="9" ht="14.25" customHeight="1">
      <c r="A9" s="12"/>
      <c r="B9" s="6"/>
      <c r="C9" s="21"/>
      <c r="D9" s="26"/>
      <c r="E9" s="26"/>
      <c r="F9" s="6"/>
      <c r="G9" s="25"/>
      <c r="H9" s="6"/>
      <c r="I9" s="6"/>
      <c r="J9" s="6"/>
      <c r="K9" s="6"/>
      <c r="L9" s="6"/>
      <c r="W9" s="6"/>
      <c r="X9" s="6"/>
      <c r="Y9" s="6"/>
      <c r="Z9" s="6"/>
      <c r="AA9" s="6"/>
    </row>
    <row r="10" ht="14.25" customHeight="1">
      <c r="A10" s="19" t="s">
        <v>3</v>
      </c>
      <c r="B10" s="6"/>
      <c r="C10" s="20" t="s">
        <v>50</v>
      </c>
      <c r="D10" s="6"/>
      <c r="E10" s="6"/>
      <c r="F10" s="27">
        <v>75.0</v>
      </c>
      <c r="G10" s="25" t="s">
        <v>31</v>
      </c>
      <c r="H10" s="27">
        <v>2.0</v>
      </c>
      <c r="I10" s="6"/>
      <c r="J10" s="6"/>
      <c r="K10" s="6"/>
      <c r="L10" s="6"/>
      <c r="W10" s="6"/>
      <c r="X10" s="6"/>
      <c r="Y10" s="6"/>
      <c r="Z10" s="6"/>
      <c r="AA10" s="6"/>
    </row>
    <row r="11" ht="14.25" customHeight="1">
      <c r="A11" s="12"/>
      <c r="B11" s="6"/>
      <c r="C11" s="20" t="s">
        <v>51</v>
      </c>
      <c r="D11" s="6"/>
      <c r="E11" s="6"/>
      <c r="F11" s="27">
        <v>20.0</v>
      </c>
      <c r="G11" s="6"/>
      <c r="H11" s="6"/>
      <c r="I11" s="27">
        <v>15.0</v>
      </c>
      <c r="J11" s="27">
        <v>30.0</v>
      </c>
      <c r="K11" s="6"/>
      <c r="L11" s="6"/>
      <c r="W11" s="6"/>
      <c r="X11" s="6"/>
      <c r="Y11" s="6"/>
      <c r="Z11" s="6"/>
      <c r="AA11" s="6"/>
    </row>
    <row r="12" ht="14.25" customHeight="1">
      <c r="A12" s="19" t="s">
        <v>22</v>
      </c>
      <c r="B12" s="6"/>
      <c r="C12" s="20"/>
      <c r="D12" s="6"/>
      <c r="E12" s="6"/>
      <c r="F12" s="6"/>
      <c r="G12" s="25"/>
      <c r="H12" s="6"/>
      <c r="I12" s="6"/>
      <c r="J12" s="6"/>
      <c r="K12" s="6"/>
      <c r="L12" s="6"/>
      <c r="W12" s="6"/>
      <c r="X12" s="6"/>
      <c r="Y12" s="6"/>
      <c r="Z12" s="6"/>
      <c r="AA12" s="6"/>
    </row>
    <row r="13" ht="14.25" customHeight="1">
      <c r="A13" s="12"/>
      <c r="B13" s="6"/>
      <c r="C13" s="20" t="s">
        <v>52</v>
      </c>
      <c r="F13" s="27">
        <v>160.0</v>
      </c>
      <c r="G13" s="25" t="s">
        <v>31</v>
      </c>
      <c r="H13" s="27">
        <v>10.0</v>
      </c>
      <c r="I13" s="6"/>
      <c r="J13" s="6"/>
      <c r="W13" s="6"/>
      <c r="X13" s="6"/>
      <c r="Y13" s="6"/>
      <c r="Z13" s="6"/>
      <c r="AA13" s="6"/>
    </row>
    <row r="14" ht="14.25" customHeight="1">
      <c r="A14" s="19" t="s">
        <v>43</v>
      </c>
      <c r="B14" s="6"/>
      <c r="C14" s="20" t="s">
        <v>51</v>
      </c>
      <c r="F14" s="27">
        <v>30.0</v>
      </c>
      <c r="G14" s="6"/>
      <c r="H14" s="6"/>
      <c r="I14" s="27">
        <v>20.0</v>
      </c>
      <c r="J14" s="27">
        <v>40.0</v>
      </c>
      <c r="W14" s="6"/>
      <c r="X14" s="6"/>
      <c r="Y14" s="6"/>
      <c r="Z14" s="6"/>
      <c r="AA14" s="6"/>
    </row>
    <row r="15" ht="14.25" customHeight="1">
      <c r="A15" s="12"/>
      <c r="B15" s="6"/>
      <c r="W15" s="6"/>
      <c r="X15" s="6"/>
      <c r="Y15" s="6"/>
      <c r="Z15" s="6"/>
      <c r="AA15" s="6"/>
    </row>
    <row r="16" ht="14.25" customHeight="1">
      <c r="A16" s="19" t="s">
        <v>35</v>
      </c>
      <c r="B16" s="6"/>
      <c r="C16" s="20" t="s">
        <v>53</v>
      </c>
      <c r="F16" s="40">
        <f>(F10/F11)+(F13/F14)</f>
        <v>9.083333333</v>
      </c>
      <c r="G16" s="6"/>
      <c r="H16" s="6"/>
      <c r="I16" s="40">
        <f>(F10/J11)+(F13/J14)</f>
        <v>6.5</v>
      </c>
      <c r="J16" s="40">
        <f>(F10/I11)+(F13/I14)</f>
        <v>13</v>
      </c>
      <c r="W16" s="6"/>
      <c r="X16" s="6"/>
      <c r="Y16" s="6"/>
      <c r="Z16" s="6"/>
      <c r="AA16" s="6"/>
    </row>
    <row r="17" ht="14.25" customHeight="1">
      <c r="A17" s="12"/>
      <c r="B17" s="6"/>
      <c r="C17" s="20" t="s">
        <v>54</v>
      </c>
      <c r="F17" s="27">
        <v>100.0</v>
      </c>
      <c r="G17" t="s">
        <v>55</v>
      </c>
      <c r="H17" s="27">
        <v>0.1</v>
      </c>
      <c r="W17" s="6"/>
      <c r="X17" s="6"/>
      <c r="Y17" s="6"/>
      <c r="Z17" s="6"/>
      <c r="AA17" s="6"/>
    </row>
    <row r="18" ht="14.25" customHeight="1">
      <c r="A18" s="19" t="s">
        <v>38</v>
      </c>
      <c r="B18" s="6"/>
      <c r="C18" s="20" t="s">
        <v>56</v>
      </c>
      <c r="F18" s="30" t="s">
        <v>17</v>
      </c>
      <c r="W18" s="6"/>
      <c r="X18" s="6"/>
      <c r="Y18" s="6"/>
      <c r="Z18" s="6"/>
      <c r="AA18" s="6"/>
    </row>
    <row r="19" ht="14.25" customHeight="1">
      <c r="A19" s="12"/>
      <c r="B19" s="6"/>
      <c r="W19" s="6"/>
      <c r="X19" s="6"/>
      <c r="Y19" s="6"/>
      <c r="Z19" s="6"/>
      <c r="AA19" s="6"/>
    </row>
    <row r="20" ht="14.25" customHeight="1">
      <c r="A20" s="19" t="s">
        <v>42</v>
      </c>
      <c r="B20" s="6"/>
      <c r="C20" s="22" t="s">
        <v>57</v>
      </c>
      <c r="D20" s="22"/>
      <c r="E20" s="22"/>
      <c r="F20" s="23" t="s">
        <v>12</v>
      </c>
      <c r="G20" s="23" t="s">
        <v>13</v>
      </c>
      <c r="H20" s="23" t="s">
        <v>14</v>
      </c>
      <c r="I20" s="23" t="s">
        <v>15</v>
      </c>
      <c r="J20" s="23" t="s">
        <v>16</v>
      </c>
      <c r="K20" s="22" t="s">
        <v>17</v>
      </c>
      <c r="L20" s="22" t="s">
        <v>18</v>
      </c>
      <c r="W20" s="6"/>
      <c r="X20" s="6"/>
      <c r="Y20" s="6"/>
      <c r="Z20" s="6"/>
      <c r="AA20" s="6"/>
    </row>
    <row r="21" ht="14.25" customHeight="1">
      <c r="A21" s="12"/>
      <c r="B21" s="6"/>
      <c r="W21" s="6"/>
      <c r="X21" s="6"/>
      <c r="Y21" s="6"/>
      <c r="Z21" s="6"/>
      <c r="AA21" s="6"/>
    </row>
    <row r="22" ht="14.25" customHeight="1">
      <c r="A22" s="12"/>
      <c r="B22" s="6"/>
      <c r="C22" t="s">
        <v>58</v>
      </c>
      <c r="F22" s="27">
        <v>15.0</v>
      </c>
      <c r="G22" s="25" t="s">
        <v>31</v>
      </c>
      <c r="H22" s="27">
        <v>2.0</v>
      </c>
      <c r="L22" s="6"/>
      <c r="W22" s="6"/>
      <c r="X22" s="6"/>
      <c r="Y22" s="6"/>
      <c r="Z22" s="6"/>
      <c r="AA22" s="6"/>
    </row>
    <row r="23" ht="14.25" customHeight="1">
      <c r="A23" s="12"/>
      <c r="B23" s="6"/>
      <c r="C23" t="s">
        <v>59</v>
      </c>
      <c r="F23" s="41">
        <f>100-F17</f>
        <v>0</v>
      </c>
      <c r="W23" s="6"/>
      <c r="X23" s="6"/>
      <c r="Y23" s="6"/>
      <c r="Z23" s="6"/>
      <c r="AA23" s="6"/>
    </row>
    <row r="24" ht="14.25" customHeight="1">
      <c r="A24" s="12"/>
      <c r="B24" s="6"/>
      <c r="C24" s="6" t="s">
        <v>61</v>
      </c>
      <c r="D24" s="6"/>
      <c r="E24" s="6"/>
      <c r="F24" s="27">
        <v>100.0</v>
      </c>
      <c r="G24" s="6" t="s">
        <v>62</v>
      </c>
      <c r="H24" s="6"/>
      <c r="I24" s="27">
        <v>99.0</v>
      </c>
      <c r="J24" s="27">
        <v>100.0</v>
      </c>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t="s">
        <v>63</v>
      </c>
      <c r="D26" s="6"/>
      <c r="E26" s="6"/>
      <c r="F26" s="27">
        <v>0.74</v>
      </c>
      <c r="G26" s="6" t="s">
        <v>65</v>
      </c>
      <c r="H26" s="6"/>
      <c r="I26" s="27">
        <v>0.63</v>
      </c>
      <c r="J26" s="27">
        <v>0.88</v>
      </c>
      <c r="K26" s="6"/>
      <c r="L26" s="6"/>
      <c r="M26" s="6"/>
      <c r="N26" s="6"/>
      <c r="O26" s="6"/>
      <c r="P26" s="6"/>
      <c r="Q26" s="6"/>
      <c r="R26" s="6"/>
      <c r="S26" s="6"/>
      <c r="T26" s="6"/>
      <c r="U26" s="6"/>
      <c r="V26" s="6"/>
      <c r="W26" s="6"/>
      <c r="X26" s="6"/>
      <c r="Y26" s="6"/>
      <c r="Z26" s="6"/>
      <c r="AA26" s="6"/>
    </row>
    <row r="27" ht="14.25" customHeight="1">
      <c r="A27" s="12"/>
      <c r="B27" s="6"/>
      <c r="C27" s="6" t="s">
        <v>66</v>
      </c>
      <c r="D27" s="6"/>
      <c r="E27" s="6"/>
      <c r="F27" s="27">
        <v>0.81</v>
      </c>
      <c r="G27" s="6" t="s">
        <v>67</v>
      </c>
      <c r="H27" s="6"/>
      <c r="I27" s="27">
        <v>0.63</v>
      </c>
      <c r="J27" s="27">
        <v>1.06</v>
      </c>
      <c r="K27" s="6"/>
      <c r="L27" s="6"/>
      <c r="M27" s="6"/>
      <c r="N27" s="6"/>
      <c r="O27" s="6"/>
      <c r="P27" s="6"/>
      <c r="Q27" s="6"/>
      <c r="R27" s="6"/>
      <c r="S27" s="6"/>
      <c r="T27" s="6"/>
      <c r="U27" s="6"/>
      <c r="V27" s="6"/>
      <c r="W27" s="6"/>
      <c r="X27" s="6"/>
      <c r="Y27" s="6"/>
      <c r="Z27" s="6"/>
      <c r="AA27" s="6"/>
    </row>
    <row r="28" ht="14.25" customHeight="1">
      <c r="A28" s="12"/>
      <c r="B28" s="6"/>
      <c r="C28" s="6" t="s">
        <v>68</v>
      </c>
      <c r="D28" s="6"/>
      <c r="E28" s="6"/>
      <c r="F28" s="27">
        <v>0.71</v>
      </c>
      <c r="G28" s="6" t="s">
        <v>67</v>
      </c>
      <c r="H28" s="6"/>
      <c r="I28" s="27">
        <v>0.53</v>
      </c>
      <c r="J28" s="27">
        <v>0.96</v>
      </c>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conditionalFormatting sqref="C9">
    <cfRule type="expression" dxfId="0" priority="1">
      <formula>$D$9</formula>
    </cfRule>
  </conditionalFormatting>
  <dataValidations>
    <dataValidation type="decimal" allowBlank="1" showInputMessage="1" showErrorMessage="1" prompt="Decimal value - between 0 and 100" sqref="F17 F24">
      <formula1>0.0</formula1>
      <formula2>100.0</formula2>
    </dataValidation>
    <dataValidation type="decimal" allowBlank="1" showInputMessage="1" showErrorMessage="1" prompt="Positive value - between the mean value entered and 100" sqref="J11 J14 J24 J26:J28">
      <formula1>F11</formula1>
      <formula2>100.0</formula2>
    </dataValidation>
    <dataValidation type="decimal" allowBlank="1" showInputMessage="1" showErrorMessage="1" prompt="Value error - Range allowed is 0.01 to 20" sqref="F26:F28">
      <formula1>0.01</formula1>
      <formula2>20.0</formula2>
    </dataValidation>
    <dataValidation type="decimal" operator="greaterThanOrEqual" allowBlank="1" showInputMessage="1" showErrorMessage="1" prompt="Value error - Must be greater than or equal to zero (0)" sqref="F10:F11 F13:F14 F22">
      <formula1>0.0</formula1>
    </dataValidation>
    <dataValidation type="decimal" operator="greaterThan" allowBlank="1" showInputMessage="1" showErrorMessage="1" prompt="Positive value - Greater than 0" sqref="H10 H13 H17 H22">
      <formula1>0.0</formula1>
    </dataValidation>
    <dataValidation type="decimal" allowBlank="1" showInputMessage="1" showErrorMessage="1" prompt="Positive value - Between 0 and the mean value entered" sqref="I11 I14 I24 I26:I28">
      <formula1>0.0</formula1>
      <formula2>F11</formula2>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5" width="8.63"/>
    <col customWidth="1" min="6" max="6" width="9.0"/>
    <col customWidth="1" min="7" max="7" width="10.75"/>
    <col customWidth="1" min="8" max="9" width="8.63"/>
    <col customWidth="1" min="10" max="10" width="9.88"/>
    <col customWidth="1" min="11" max="12" width="12.5"/>
    <col customWidth="1" min="13"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6"/>
      <c r="X2" s="6"/>
      <c r="Y2" s="6"/>
      <c r="Z2" s="6"/>
      <c r="AA2" s="6"/>
    </row>
    <row r="3" ht="14.25" customHeight="1">
      <c r="A3" s="12"/>
      <c r="B3" s="26"/>
      <c r="C3" s="26"/>
      <c r="D3" s="26"/>
      <c r="E3" s="26"/>
      <c r="F3" s="26"/>
      <c r="G3" s="26"/>
      <c r="H3" s="26"/>
      <c r="I3" s="26"/>
      <c r="J3" s="26"/>
      <c r="K3" s="26"/>
      <c r="L3" s="26"/>
      <c r="M3" s="26"/>
      <c r="N3" s="26"/>
      <c r="O3" s="26"/>
      <c r="P3" s="26"/>
      <c r="Q3" s="26"/>
      <c r="R3" s="26"/>
      <c r="S3" s="26"/>
      <c r="T3" s="26"/>
      <c r="U3" s="26"/>
      <c r="V3" s="26"/>
      <c r="W3" s="6"/>
      <c r="X3" s="6"/>
      <c r="Y3" s="6"/>
      <c r="Z3" s="6"/>
      <c r="AA3" s="6"/>
    </row>
    <row r="4" ht="21.0" customHeight="1">
      <c r="A4" s="13" t="s">
        <v>2</v>
      </c>
      <c r="B4" s="14"/>
      <c r="C4" s="15" t="s">
        <v>43</v>
      </c>
      <c r="D4" s="15"/>
      <c r="E4" s="15"/>
      <c r="F4" s="16" t="s">
        <v>60</v>
      </c>
      <c r="G4" s="17"/>
      <c r="H4" s="17"/>
      <c r="I4" s="17"/>
      <c r="J4" s="17"/>
      <c r="K4" s="17"/>
      <c r="L4" s="17"/>
      <c r="M4" s="17"/>
      <c r="N4" s="17"/>
      <c r="O4" s="17"/>
      <c r="P4" s="17"/>
      <c r="Q4" s="17"/>
      <c r="R4" s="17"/>
      <c r="S4" s="17"/>
      <c r="T4" s="17"/>
      <c r="U4" s="17"/>
      <c r="V4" s="18"/>
      <c r="W4" s="6"/>
      <c r="X4" s="6"/>
      <c r="Y4" s="6"/>
      <c r="Z4" s="6"/>
      <c r="AA4" s="6"/>
    </row>
    <row r="5" ht="14.25" customHeight="1">
      <c r="A5" s="12"/>
      <c r="B5" s="26"/>
      <c r="C5" s="26"/>
      <c r="D5" s="26"/>
      <c r="E5" s="26"/>
      <c r="F5" s="26"/>
      <c r="G5" s="26"/>
      <c r="H5" s="26"/>
      <c r="I5" s="26"/>
      <c r="J5" s="26"/>
      <c r="K5" s="26"/>
      <c r="L5" s="26"/>
      <c r="M5" s="26"/>
      <c r="N5" s="26"/>
      <c r="O5" s="26"/>
      <c r="P5" s="26"/>
      <c r="Q5" s="26"/>
      <c r="R5" s="26"/>
      <c r="S5" s="26"/>
      <c r="T5" s="26"/>
      <c r="U5" s="26"/>
      <c r="V5" s="26"/>
      <c r="W5" s="6"/>
      <c r="X5" s="6"/>
      <c r="Y5" s="6"/>
      <c r="Z5" s="6"/>
      <c r="AA5" s="6"/>
    </row>
    <row r="6" ht="14.25" customHeight="1">
      <c r="A6" s="19" t="s">
        <v>7</v>
      </c>
      <c r="B6" s="26"/>
      <c r="C6" s="42" t="s">
        <v>64</v>
      </c>
      <c r="D6" s="43"/>
      <c r="E6" s="26"/>
      <c r="F6" s="42" t="s">
        <v>27</v>
      </c>
      <c r="G6" s="43"/>
      <c r="H6" s="26"/>
      <c r="I6" s="42" t="s">
        <v>69</v>
      </c>
      <c r="J6" s="43"/>
      <c r="K6" s="26"/>
      <c r="L6" s="26"/>
      <c r="M6" s="26"/>
      <c r="N6" s="26"/>
      <c r="O6" s="26"/>
      <c r="P6" s="26"/>
      <c r="Q6" s="26"/>
      <c r="R6" s="26"/>
      <c r="S6" s="26"/>
      <c r="T6" s="26"/>
      <c r="U6" s="26"/>
      <c r="V6" s="26"/>
      <c r="W6" s="6"/>
      <c r="X6" s="6"/>
      <c r="Y6" s="6"/>
      <c r="Z6" s="6"/>
      <c r="AA6" s="6"/>
    </row>
    <row r="7" ht="14.25" customHeight="1">
      <c r="A7" s="12"/>
      <c r="B7" s="26"/>
      <c r="C7" s="26"/>
      <c r="D7" s="26"/>
      <c r="E7" s="26"/>
      <c r="F7" s="26"/>
      <c r="G7" s="26"/>
      <c r="H7" s="26"/>
      <c r="I7" s="26"/>
      <c r="J7" s="26"/>
      <c r="K7" s="26"/>
      <c r="L7" s="26"/>
      <c r="M7" s="26"/>
      <c r="N7" s="26"/>
      <c r="O7" s="26"/>
      <c r="P7" s="26"/>
      <c r="Q7" s="26"/>
      <c r="R7" s="26"/>
      <c r="S7" s="26"/>
      <c r="T7" s="26"/>
      <c r="U7" s="26"/>
      <c r="V7" s="26"/>
      <c r="W7" s="6"/>
      <c r="X7" s="6"/>
      <c r="Y7" s="6"/>
      <c r="Z7" s="6"/>
      <c r="AA7" s="6"/>
    </row>
    <row r="8" ht="14.25" customHeight="1">
      <c r="A8" s="19" t="s">
        <v>4</v>
      </c>
      <c r="B8" s="26"/>
      <c r="C8" s="22" t="s">
        <v>9</v>
      </c>
      <c r="D8" s="22"/>
      <c r="E8" s="22"/>
      <c r="F8" s="23" t="s">
        <v>12</v>
      </c>
      <c r="G8" s="23" t="s">
        <v>13</v>
      </c>
      <c r="H8" s="23" t="s">
        <v>14</v>
      </c>
      <c r="I8" s="23" t="s">
        <v>15</v>
      </c>
      <c r="J8" s="23" t="s">
        <v>16</v>
      </c>
      <c r="K8" s="22" t="s">
        <v>17</v>
      </c>
      <c r="L8" s="22" t="s">
        <v>18</v>
      </c>
      <c r="M8" s="26"/>
      <c r="N8" s="26"/>
      <c r="O8" s="26"/>
      <c r="P8" s="26"/>
      <c r="Q8" s="26"/>
      <c r="R8" s="26"/>
      <c r="S8" s="26"/>
      <c r="T8" s="26"/>
      <c r="U8" s="26"/>
      <c r="V8" s="26"/>
      <c r="W8" s="6"/>
      <c r="X8" s="6"/>
      <c r="Y8" s="6"/>
      <c r="Z8" s="6"/>
      <c r="AA8" s="6"/>
    </row>
    <row r="9" ht="14.25" customHeight="1">
      <c r="A9" s="12"/>
      <c r="B9" s="26"/>
      <c r="C9" s="21"/>
      <c r="D9" s="26"/>
      <c r="E9" s="26"/>
      <c r="F9" s="6"/>
      <c r="G9" s="25"/>
      <c r="H9" s="6"/>
      <c r="I9" s="6"/>
      <c r="J9" s="6"/>
      <c r="K9" s="6"/>
      <c r="L9" s="6"/>
      <c r="M9" s="26"/>
      <c r="N9" s="26"/>
      <c r="O9" s="26"/>
      <c r="P9" s="26"/>
      <c r="Q9" s="26"/>
      <c r="R9" s="26"/>
      <c r="S9" s="26"/>
      <c r="T9" s="26"/>
      <c r="U9" s="26"/>
      <c r="V9" s="26"/>
      <c r="W9" s="6"/>
      <c r="X9" s="6"/>
      <c r="Y9" s="6"/>
      <c r="Z9" s="6"/>
      <c r="AA9" s="6"/>
    </row>
    <row r="10" ht="14.25" customHeight="1">
      <c r="A10" s="19" t="s">
        <v>3</v>
      </c>
      <c r="B10" s="26"/>
      <c r="C10" s="26" t="s">
        <v>70</v>
      </c>
      <c r="D10" s="26"/>
      <c r="E10" s="26"/>
      <c r="F10" s="27">
        <v>0.5</v>
      </c>
      <c r="G10" s="26" t="s">
        <v>71</v>
      </c>
      <c r="H10" s="26"/>
      <c r="I10" s="6"/>
      <c r="J10" s="6"/>
      <c r="K10" s="6"/>
      <c r="L10" s="6"/>
      <c r="M10" s="26"/>
      <c r="N10" s="26"/>
      <c r="O10" s="26"/>
      <c r="P10" s="26"/>
      <c r="Q10" s="26"/>
      <c r="R10" s="26"/>
      <c r="S10" s="26"/>
      <c r="T10" s="26"/>
      <c r="U10" s="26"/>
      <c r="V10" s="26"/>
      <c r="W10" s="6"/>
      <c r="X10" s="6"/>
      <c r="Y10" s="6"/>
      <c r="Z10" s="6"/>
      <c r="AA10" s="6"/>
    </row>
    <row r="11" ht="14.25" customHeight="1">
      <c r="A11" s="12"/>
      <c r="B11" s="26"/>
      <c r="C11" s="26" t="s">
        <v>72</v>
      </c>
      <c r="D11" s="26"/>
      <c r="E11" s="26"/>
      <c r="F11" s="27">
        <v>1.0</v>
      </c>
      <c r="G11" s="26" t="s">
        <v>71</v>
      </c>
      <c r="H11" s="26"/>
      <c r="I11" s="6"/>
      <c r="J11" s="6"/>
      <c r="K11" s="6"/>
      <c r="L11" s="6"/>
      <c r="M11" s="26"/>
      <c r="N11" s="26"/>
      <c r="O11" s="26"/>
      <c r="P11" s="26"/>
      <c r="Q11" s="26"/>
      <c r="R11" s="26"/>
      <c r="S11" s="26"/>
      <c r="T11" s="26"/>
      <c r="U11" s="26"/>
      <c r="V11" s="26"/>
      <c r="W11" s="6"/>
      <c r="X11" s="6"/>
      <c r="Y11" s="6"/>
      <c r="Z11" s="6"/>
      <c r="AA11" s="6"/>
    </row>
    <row r="12" ht="14.25" customHeight="1">
      <c r="A12" s="19" t="s">
        <v>22</v>
      </c>
      <c r="B12" s="26"/>
      <c r="C12" s="6" t="s">
        <v>73</v>
      </c>
      <c r="D12" s="6"/>
      <c r="E12" s="6"/>
      <c r="F12" s="27">
        <v>8.0</v>
      </c>
      <c r="G12" s="6" t="s">
        <v>71</v>
      </c>
      <c r="H12" s="6"/>
      <c r="I12" s="27">
        <v>6.0</v>
      </c>
      <c r="J12" s="27">
        <v>13.0</v>
      </c>
      <c r="K12" s="26"/>
      <c r="L12" s="6"/>
      <c r="M12" s="26"/>
      <c r="N12" s="26"/>
      <c r="O12" s="26"/>
      <c r="P12" s="26"/>
      <c r="Q12" s="26"/>
      <c r="R12" s="26"/>
      <c r="S12" s="26"/>
      <c r="T12" s="26"/>
      <c r="U12" s="26"/>
      <c r="V12" s="26"/>
      <c r="W12" s="6"/>
      <c r="X12" s="6"/>
      <c r="Y12" s="6"/>
      <c r="Z12" s="6"/>
      <c r="AA12" s="6"/>
    </row>
    <row r="13" ht="14.25" customHeight="1">
      <c r="A13" s="12"/>
      <c r="B13" s="26"/>
      <c r="C13" s="26" t="s">
        <v>74</v>
      </c>
      <c r="D13" s="26"/>
      <c r="E13" s="26"/>
      <c r="F13" s="27">
        <v>10.6</v>
      </c>
      <c r="G13" s="26" t="s">
        <v>34</v>
      </c>
      <c r="H13" s="26"/>
      <c r="I13" s="26"/>
      <c r="J13" s="26"/>
      <c r="K13" s="26"/>
      <c r="L13" s="26"/>
      <c r="M13" s="26"/>
      <c r="N13" s="26"/>
      <c r="O13" s="26"/>
      <c r="P13" s="26"/>
      <c r="Q13" s="26"/>
      <c r="R13" s="26"/>
      <c r="S13" s="26"/>
      <c r="T13" s="26"/>
      <c r="U13" s="26"/>
      <c r="V13" s="26"/>
      <c r="W13" s="6"/>
      <c r="X13" s="6"/>
      <c r="Y13" s="6"/>
      <c r="Z13" s="6"/>
      <c r="AA13" s="6"/>
    </row>
    <row r="14" ht="14.25" customHeight="1">
      <c r="A14" s="19" t="s">
        <v>43</v>
      </c>
      <c r="B14" s="26"/>
      <c r="C14" s="6" t="s">
        <v>75</v>
      </c>
      <c r="D14" s="6"/>
      <c r="E14" s="6"/>
      <c r="F14" s="27">
        <v>8.0</v>
      </c>
      <c r="G14" s="6" t="s">
        <v>71</v>
      </c>
      <c r="H14" s="6"/>
      <c r="I14" s="27">
        <v>6.0</v>
      </c>
      <c r="J14" s="27">
        <v>13.0</v>
      </c>
      <c r="K14" s="6"/>
      <c r="L14" s="6"/>
      <c r="M14" s="6"/>
      <c r="N14" s="26"/>
      <c r="O14" s="26"/>
      <c r="P14" s="26"/>
      <c r="Q14" s="26"/>
      <c r="R14" s="26"/>
      <c r="S14" s="26"/>
      <c r="T14" s="26"/>
      <c r="U14" s="26"/>
      <c r="V14" s="26"/>
      <c r="W14" s="6"/>
      <c r="X14" s="6"/>
      <c r="Y14" s="6"/>
      <c r="Z14" s="6"/>
      <c r="AA14" s="6"/>
    </row>
    <row r="15" ht="14.25" customHeight="1">
      <c r="A15" s="12"/>
      <c r="B15" s="26"/>
      <c r="C15" s="6"/>
      <c r="D15" s="6"/>
      <c r="E15" s="6"/>
      <c r="F15" s="6"/>
      <c r="G15" s="6"/>
      <c r="H15" s="6"/>
      <c r="I15" s="6"/>
      <c r="J15" s="6"/>
      <c r="K15" s="6"/>
      <c r="L15" s="6"/>
      <c r="M15" s="6"/>
      <c r="N15" s="6"/>
      <c r="O15" s="26"/>
      <c r="P15" s="26"/>
      <c r="Q15" s="26"/>
      <c r="R15" s="26"/>
      <c r="S15" s="26"/>
      <c r="T15" s="26"/>
      <c r="U15" s="26"/>
      <c r="V15" s="26"/>
      <c r="W15" s="6"/>
      <c r="X15" s="6"/>
      <c r="Y15" s="6"/>
      <c r="Z15" s="6"/>
      <c r="AA15" s="6"/>
    </row>
    <row r="16" ht="14.25" customHeight="1">
      <c r="A16" s="19" t="s">
        <v>35</v>
      </c>
      <c r="B16" s="26"/>
      <c r="C16" s="26" t="s">
        <v>76</v>
      </c>
      <c r="D16" s="26"/>
      <c r="E16" s="26"/>
      <c r="F16" s="27">
        <v>74.5</v>
      </c>
      <c r="G16" s="26" t="s">
        <v>34</v>
      </c>
      <c r="H16" s="44">
        <v>0.1690540528572076</v>
      </c>
      <c r="I16" s="26"/>
      <c r="J16" s="26"/>
      <c r="K16" s="26"/>
      <c r="L16" s="26"/>
      <c r="M16" s="26"/>
      <c r="N16" s="26"/>
      <c r="O16" s="26"/>
      <c r="P16" s="26"/>
      <c r="Q16" s="26"/>
      <c r="R16" s="26"/>
      <c r="S16" s="26"/>
      <c r="T16" s="26"/>
      <c r="U16" s="26"/>
      <c r="V16" s="26"/>
      <c r="W16" s="6"/>
      <c r="X16" s="6"/>
      <c r="Y16" s="6"/>
      <c r="Z16" s="6"/>
      <c r="AA16" s="6"/>
    </row>
    <row r="17" ht="14.25" customHeight="1">
      <c r="A17" s="12"/>
      <c r="B17" s="26"/>
      <c r="C17" s="6" t="s">
        <v>78</v>
      </c>
      <c r="D17" s="6"/>
      <c r="E17" s="6"/>
      <c r="F17" s="32">
        <f>100-F16</f>
        <v>25.5</v>
      </c>
      <c r="G17" s="26" t="s">
        <v>34</v>
      </c>
      <c r="H17" s="6"/>
      <c r="I17" s="26"/>
      <c r="J17" s="26"/>
      <c r="K17" s="26"/>
      <c r="L17" s="26"/>
      <c r="M17" s="26"/>
      <c r="N17" s="26"/>
      <c r="O17" s="26"/>
      <c r="P17" s="26"/>
      <c r="Q17" s="26"/>
      <c r="R17" s="26"/>
      <c r="S17" s="26"/>
      <c r="T17" s="26"/>
      <c r="U17" s="26"/>
      <c r="V17" s="26"/>
      <c r="W17" s="6"/>
      <c r="X17" s="6"/>
      <c r="Y17" s="6"/>
      <c r="Z17" s="6"/>
      <c r="AA17" s="6"/>
    </row>
    <row r="18" ht="14.25" customHeight="1">
      <c r="A18" s="19" t="s">
        <v>38</v>
      </c>
      <c r="B18" s="26"/>
      <c r="C18" s="6" t="s">
        <v>79</v>
      </c>
      <c r="D18" s="6"/>
      <c r="E18" s="6"/>
      <c r="F18" s="27">
        <v>27.0</v>
      </c>
      <c r="G18" s="6" t="s">
        <v>71</v>
      </c>
      <c r="H18" s="6"/>
      <c r="I18" s="27">
        <v>13.3</v>
      </c>
      <c r="J18" s="27">
        <v>60.0</v>
      </c>
      <c r="K18" s="26"/>
      <c r="L18" s="26"/>
      <c r="M18" s="26"/>
      <c r="N18" s="26"/>
      <c r="O18" s="26"/>
      <c r="P18" s="26"/>
      <c r="Q18" s="26"/>
      <c r="R18" s="26"/>
      <c r="S18" s="26"/>
      <c r="T18" s="26"/>
      <c r="U18" s="26"/>
      <c r="V18" s="26"/>
      <c r="W18" s="6"/>
      <c r="X18" s="6"/>
      <c r="Y18" s="6"/>
      <c r="Z18" s="6"/>
      <c r="AA18" s="6"/>
    </row>
    <row r="19" ht="14.25" customHeight="1">
      <c r="A19" s="12"/>
      <c r="B19" s="26"/>
      <c r="C19" s="26" t="s">
        <v>80</v>
      </c>
      <c r="D19" s="26"/>
      <c r="E19" s="26"/>
      <c r="F19" s="27">
        <v>5.0</v>
      </c>
      <c r="G19" s="26" t="s">
        <v>81</v>
      </c>
      <c r="H19" s="27">
        <v>1.97</v>
      </c>
      <c r="I19" s="6"/>
      <c r="K19" s="6"/>
      <c r="L19" s="6"/>
      <c r="M19" s="26"/>
      <c r="N19" s="26"/>
      <c r="O19" s="26"/>
      <c r="P19" s="26"/>
      <c r="Q19" s="26"/>
      <c r="R19" s="26"/>
      <c r="S19" s="26"/>
      <c r="T19" s="26"/>
      <c r="U19" s="26"/>
      <c r="V19" s="26"/>
      <c r="W19" s="6"/>
      <c r="X19" s="6"/>
      <c r="Y19" s="6"/>
      <c r="Z19" s="6"/>
      <c r="AA19" s="6"/>
    </row>
    <row r="20" ht="14.25" customHeight="1">
      <c r="A20" s="19" t="s">
        <v>42</v>
      </c>
      <c r="B20" s="26"/>
      <c r="C20" s="6"/>
      <c r="D20" s="6"/>
      <c r="E20" s="6"/>
      <c r="F20" s="6"/>
      <c r="G20" s="6"/>
      <c r="H20" s="6"/>
      <c r="I20" s="6"/>
      <c r="J20" s="6"/>
      <c r="K20" s="6"/>
      <c r="L20" s="6"/>
      <c r="M20" s="6"/>
      <c r="N20" s="26"/>
      <c r="O20" s="26"/>
      <c r="P20" s="26"/>
      <c r="Q20" s="26"/>
      <c r="R20" s="26"/>
      <c r="S20" s="26"/>
      <c r="T20" s="26"/>
      <c r="U20" s="26"/>
      <c r="V20" s="26"/>
      <c r="W20" s="6"/>
      <c r="X20" s="6"/>
      <c r="Y20" s="6"/>
      <c r="Z20" s="6"/>
      <c r="AA20" s="6"/>
    </row>
    <row r="21" ht="14.25" customHeight="1">
      <c r="A21" s="12"/>
      <c r="B21" s="26"/>
      <c r="C21" s="6"/>
      <c r="D21" s="6"/>
      <c r="E21" s="6"/>
      <c r="F21" s="6"/>
      <c r="G21" s="6"/>
      <c r="H21" s="6"/>
      <c r="I21" s="6"/>
      <c r="J21" s="6"/>
      <c r="K21" s="6"/>
      <c r="L21" s="6"/>
      <c r="M21" s="6"/>
      <c r="N21" s="26"/>
      <c r="O21" s="26"/>
      <c r="P21" s="26"/>
      <c r="Q21" s="26"/>
      <c r="R21" s="26"/>
      <c r="S21" s="26"/>
      <c r="T21" s="26"/>
      <c r="U21" s="26"/>
      <c r="V21" s="26"/>
      <c r="W21" s="6"/>
      <c r="X21" s="6"/>
      <c r="Y21" s="6"/>
      <c r="Z21" s="6"/>
      <c r="AA21" s="6"/>
    </row>
    <row r="22" ht="14.25" customHeight="1">
      <c r="A22" s="12"/>
      <c r="B22" s="26"/>
      <c r="C22" s="6"/>
      <c r="D22" s="6"/>
      <c r="E22" s="6"/>
      <c r="F22" s="6"/>
      <c r="G22" s="6"/>
      <c r="H22" s="6"/>
      <c r="I22" s="6"/>
      <c r="J22" s="6"/>
      <c r="K22" s="6"/>
      <c r="L22" s="6"/>
      <c r="M22" s="6"/>
      <c r="N22" s="26"/>
      <c r="O22" s="26"/>
      <c r="P22" s="26"/>
      <c r="Q22" s="26"/>
      <c r="R22" s="26"/>
      <c r="S22" s="26"/>
      <c r="T22" s="26"/>
      <c r="U22" s="26"/>
      <c r="V22" s="26"/>
      <c r="W22" s="6"/>
      <c r="X22" s="6"/>
      <c r="Y22" s="6"/>
      <c r="Z22" s="6"/>
      <c r="AA22" s="6"/>
    </row>
    <row r="23" ht="14.25" customHeight="1">
      <c r="A23" s="12"/>
      <c r="B23" s="26"/>
      <c r="C23" s="6"/>
      <c r="D23" s="6"/>
      <c r="E23" s="6"/>
      <c r="F23" s="6"/>
      <c r="G23" s="6"/>
      <c r="H23" s="6"/>
      <c r="I23" s="6"/>
      <c r="J23" s="6"/>
      <c r="K23" s="6"/>
      <c r="L23" s="6"/>
      <c r="M23" s="6"/>
      <c r="N23" s="26"/>
      <c r="O23" s="26"/>
      <c r="P23" s="26"/>
      <c r="Q23" s="26"/>
      <c r="R23" s="26"/>
      <c r="S23" s="26"/>
      <c r="T23" s="26"/>
      <c r="U23" s="26"/>
      <c r="V23" s="26"/>
      <c r="W23" s="6"/>
      <c r="X23" s="6"/>
      <c r="Y23" s="6"/>
      <c r="Z23" s="6"/>
      <c r="AA23" s="6"/>
    </row>
    <row r="24" ht="14.25" customHeight="1">
      <c r="A24" s="12"/>
      <c r="B24" s="6"/>
      <c r="C24" s="6"/>
      <c r="D24" s="6"/>
      <c r="E24" s="6"/>
      <c r="F24" s="6"/>
      <c r="G24" s="6"/>
      <c r="H24" s="6"/>
      <c r="I24" s="6"/>
      <c r="J24" s="6"/>
      <c r="K24" s="6"/>
      <c r="L24" s="6"/>
      <c r="M24" s="6"/>
      <c r="N24" s="2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26"/>
      <c r="D28" s="26"/>
      <c r="E28" s="26"/>
      <c r="F28" s="26"/>
      <c r="G28" s="26"/>
      <c r="H28" s="26"/>
      <c r="I28" s="26"/>
      <c r="J28" s="26"/>
      <c r="K28" s="6"/>
      <c r="L28" s="6"/>
      <c r="M28" s="6"/>
      <c r="N28" s="6"/>
      <c r="O28" s="6"/>
      <c r="P28" s="6"/>
      <c r="Q28" s="6"/>
      <c r="R28" s="6"/>
      <c r="S28" s="6"/>
      <c r="T28" s="6"/>
      <c r="U28" s="6"/>
      <c r="V28" s="6"/>
      <c r="W28" s="6"/>
      <c r="X28" s="6"/>
      <c r="Y28" s="6"/>
      <c r="Z28" s="6"/>
      <c r="AA28" s="6"/>
    </row>
    <row r="29" ht="14.25" customHeight="1">
      <c r="A29" s="12"/>
      <c r="B29" s="6"/>
      <c r="C29" s="6"/>
      <c r="D29" s="6"/>
      <c r="E29" s="6"/>
      <c r="F29" s="6"/>
      <c r="G29" s="26"/>
      <c r="H29" s="2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26"/>
      <c r="D31" s="26"/>
      <c r="E31" s="26"/>
      <c r="F31" s="2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6">
    <mergeCell ref="C1:U1"/>
    <mergeCell ref="C2:U2"/>
    <mergeCell ref="F4:V4"/>
    <mergeCell ref="C6:D6"/>
    <mergeCell ref="F6:G6"/>
    <mergeCell ref="I6:J6"/>
  </mergeCells>
  <conditionalFormatting sqref="C9">
    <cfRule type="expression" dxfId="0" priority="1">
      <formula>$D$9</formula>
    </cfRule>
  </conditionalFormatting>
  <conditionalFormatting sqref="C6:D6">
    <cfRule type="expression" dxfId="1" priority="2">
      <formula>FIND(C6,F4,1)</formula>
    </cfRule>
  </conditionalFormatting>
  <conditionalFormatting sqref="F6:G6">
    <cfRule type="expression" dxfId="1" priority="3">
      <formula>FIND(F6,F4,1)</formula>
    </cfRule>
  </conditionalFormatting>
  <conditionalFormatting sqref="I6:J6">
    <cfRule type="expression" dxfId="1" priority="4">
      <formula>FIND($I$6,$F$4,1)</formula>
    </cfRule>
  </conditionalFormatting>
  <dataValidations>
    <dataValidation type="decimal" allowBlank="1" showInputMessage="1" showErrorMessage="1" prompt="Decimal value - between 0 and 100" sqref="F13 F16 F19">
      <formula1>0.0</formula1>
      <formula2>100.0</formula2>
    </dataValidation>
    <dataValidation type="decimal" allowBlank="1" showInputMessage="1" showErrorMessage="1" prompt="Value between - Time on MV and Time in hospital minus time on MV" sqref="F11">
      <formula1>F10</formula1>
      <formula2>F12-F10</formula2>
    </dataValidation>
    <dataValidation type="decimal" allowBlank="1" showInputMessage="1" showErrorMessage="1" prompt="Positive value - between the mean value entered and 100" sqref="J12 J14 J18">
      <formula1>F12</formula1>
      <formula2>100.0</formula2>
    </dataValidation>
    <dataValidation type="decimal" operator="greaterThan" allowBlank="1" showInputMessage="1" showErrorMessage="1" prompt="Must be greater than - Time in ICU plus time on MV" sqref="F12">
      <formula1>F10+F11</formula1>
    </dataValidation>
    <dataValidation type="decimal" allowBlank="1" showInputMessage="1" showErrorMessage="1" prompt="Integer value - between 1 and 365" sqref="F18">
      <formula1>1.0</formula1>
      <formula2>365.0</formula2>
    </dataValidation>
    <dataValidation type="decimal" allowBlank="1" showInputMessage="1" showErrorMessage="1" prompt="Value between - 0.2 and time in ICU, assumes MV only in the ICU" sqref="F10">
      <formula1>0.25</formula1>
      <formula2>F11</formula2>
    </dataValidation>
    <dataValidation type="decimal" allowBlank="1" showInputMessage="1" showErrorMessage="1" prompt="Value between - 1 and days in hospital" sqref="F14">
      <formula1>1.0</formula1>
      <formula2>F12</formula2>
    </dataValidation>
    <dataValidation type="decimal" operator="greaterThan" allowBlank="1" showInputMessage="1" showErrorMessage="1" prompt="Positive value - Greater than 0" sqref="H16 H19">
      <formula1>0.0</formula1>
    </dataValidation>
    <dataValidation type="decimal" allowBlank="1" showInputMessage="1" showErrorMessage="1" prompt="Positive value - Between 0 and the mean value entered" sqref="I12 I14 I18">
      <formula1>0.0</formula1>
      <formula2>F12</formula2>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5" width="8.63"/>
    <col customWidth="1" min="6" max="6" width="9.0"/>
    <col customWidth="1" min="7"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6"/>
      <c r="X2" s="6"/>
      <c r="Y2" s="6"/>
      <c r="Z2" s="6"/>
      <c r="AA2" s="6"/>
    </row>
    <row r="3" ht="14.25" customHeight="1">
      <c r="A3" s="12"/>
      <c r="W3" s="6"/>
      <c r="X3" s="6"/>
      <c r="Y3" s="6"/>
      <c r="Z3" s="6"/>
      <c r="AA3" s="6"/>
    </row>
    <row r="4" ht="21.0" customHeight="1">
      <c r="A4" s="13" t="s">
        <v>2</v>
      </c>
      <c r="B4" s="14"/>
      <c r="C4" s="15" t="s">
        <v>43</v>
      </c>
      <c r="D4" s="15"/>
      <c r="E4" s="15"/>
      <c r="F4" s="16" t="s">
        <v>77</v>
      </c>
      <c r="G4" s="17"/>
      <c r="H4" s="17"/>
      <c r="I4" s="17"/>
      <c r="J4" s="17"/>
      <c r="K4" s="17"/>
      <c r="L4" s="17"/>
      <c r="M4" s="17"/>
      <c r="N4" s="17"/>
      <c r="O4" s="17"/>
      <c r="P4" s="17"/>
      <c r="Q4" s="17"/>
      <c r="R4" s="17"/>
      <c r="S4" s="17"/>
      <c r="T4" s="17"/>
      <c r="U4" s="17"/>
      <c r="V4" s="18"/>
      <c r="W4" s="6"/>
      <c r="X4" s="6"/>
      <c r="Y4" s="6"/>
      <c r="Z4" s="6"/>
      <c r="AA4" s="6"/>
    </row>
    <row r="5" ht="14.25" customHeight="1">
      <c r="A5" s="12"/>
      <c r="W5" s="6"/>
      <c r="X5" s="6"/>
      <c r="Y5" s="6"/>
      <c r="Z5" s="6"/>
      <c r="AA5" s="6"/>
    </row>
    <row r="6" ht="14.25" customHeight="1">
      <c r="A6" s="19" t="s">
        <v>7</v>
      </c>
      <c r="B6" s="26"/>
      <c r="C6" s="42" t="s">
        <v>64</v>
      </c>
      <c r="D6" s="43"/>
      <c r="E6" s="26"/>
      <c r="F6" s="42" t="s">
        <v>27</v>
      </c>
      <c r="G6" s="43"/>
      <c r="H6" s="26"/>
      <c r="I6" s="42" t="s">
        <v>69</v>
      </c>
      <c r="J6" s="43"/>
      <c r="W6" s="6"/>
      <c r="X6" s="6"/>
      <c r="Y6" s="6"/>
      <c r="Z6" s="6"/>
      <c r="AA6" s="6"/>
    </row>
    <row r="7" ht="14.25" customHeight="1">
      <c r="A7" s="12"/>
      <c r="W7" s="6"/>
      <c r="X7" s="6"/>
      <c r="Y7" s="6"/>
      <c r="Z7" s="6"/>
      <c r="AA7" s="6"/>
    </row>
    <row r="8" ht="14.25" customHeight="1">
      <c r="A8" s="19" t="s">
        <v>4</v>
      </c>
      <c r="C8" s="22" t="s">
        <v>9</v>
      </c>
      <c r="D8" s="22"/>
      <c r="E8" s="22"/>
      <c r="F8" s="23" t="s">
        <v>12</v>
      </c>
      <c r="G8" s="23" t="s">
        <v>13</v>
      </c>
      <c r="H8" s="23" t="s">
        <v>14</v>
      </c>
      <c r="I8" s="23" t="s">
        <v>15</v>
      </c>
      <c r="J8" s="23" t="s">
        <v>16</v>
      </c>
      <c r="K8" s="22" t="s">
        <v>17</v>
      </c>
      <c r="L8" s="22" t="s">
        <v>18</v>
      </c>
      <c r="W8" s="6"/>
      <c r="X8" s="6"/>
      <c r="Y8" s="6"/>
      <c r="Z8" s="6"/>
      <c r="AA8" s="6"/>
    </row>
    <row r="9" ht="14.25" customHeight="1">
      <c r="A9" s="12"/>
      <c r="C9" s="21"/>
      <c r="D9" s="26"/>
      <c r="E9" s="26"/>
      <c r="F9" s="6"/>
      <c r="G9" s="25"/>
      <c r="H9" s="6"/>
      <c r="I9" s="6"/>
      <c r="J9" s="6"/>
      <c r="K9" s="6"/>
      <c r="L9" s="6"/>
      <c r="W9" s="6"/>
      <c r="X9" s="6"/>
      <c r="Y9" s="6"/>
      <c r="Z9" s="6"/>
      <c r="AA9" s="6"/>
    </row>
    <row r="10" ht="14.25" customHeight="1">
      <c r="A10" s="19" t="s">
        <v>3</v>
      </c>
      <c r="C10" s="26" t="s">
        <v>82</v>
      </c>
      <c r="D10" s="26"/>
      <c r="E10" s="26"/>
      <c r="F10" s="27">
        <v>2.7</v>
      </c>
      <c r="G10" s="26" t="s">
        <v>34</v>
      </c>
      <c r="H10" s="44">
        <v>0.06286597601550309</v>
      </c>
      <c r="I10" s="26"/>
      <c r="J10" s="26"/>
      <c r="K10" s="26"/>
      <c r="L10" s="26"/>
      <c r="M10" s="26"/>
      <c r="W10" s="6"/>
      <c r="X10" s="6"/>
      <c r="Y10" s="6"/>
      <c r="Z10" s="6"/>
      <c r="AA10" s="6"/>
    </row>
    <row r="11" ht="14.25" customHeight="1">
      <c r="A11" s="12"/>
      <c r="C11" s="6" t="s">
        <v>83</v>
      </c>
      <c r="D11" s="6"/>
      <c r="E11" s="6"/>
      <c r="F11" s="27">
        <v>13.0</v>
      </c>
      <c r="G11" s="6" t="s">
        <v>71</v>
      </c>
      <c r="H11" s="6"/>
      <c r="I11" s="6"/>
      <c r="J11" s="6"/>
      <c r="K11" s="26"/>
      <c r="L11" s="26"/>
      <c r="M11" s="26"/>
      <c r="W11" s="6"/>
      <c r="X11" s="6"/>
      <c r="Y11" s="6"/>
      <c r="Z11" s="6"/>
      <c r="AA11" s="6"/>
    </row>
    <row r="12" ht="14.25" customHeight="1">
      <c r="A12" s="19" t="s">
        <v>22</v>
      </c>
      <c r="C12" s="6"/>
      <c r="D12" s="6"/>
      <c r="E12" s="6"/>
      <c r="F12" s="6"/>
      <c r="G12" s="6"/>
      <c r="H12" s="6"/>
      <c r="I12" s="6"/>
      <c r="J12" s="6"/>
      <c r="K12" s="26"/>
      <c r="L12" s="26"/>
      <c r="M12" s="26"/>
      <c r="W12" s="6"/>
      <c r="X12" s="6"/>
      <c r="Y12" s="6"/>
      <c r="Z12" s="6"/>
      <c r="AA12" s="6"/>
    </row>
    <row r="13" ht="14.25" customHeight="1">
      <c r="A13" s="12"/>
      <c r="C13" s="26" t="s">
        <v>84</v>
      </c>
      <c r="D13" s="26"/>
      <c r="E13" s="26"/>
      <c r="F13" s="27">
        <v>5.49</v>
      </c>
      <c r="G13" s="25" t="s">
        <v>34</v>
      </c>
      <c r="H13" s="28">
        <v>0.5</v>
      </c>
      <c r="I13" s="6"/>
      <c r="J13" s="6"/>
      <c r="K13" s="26"/>
      <c r="L13" s="26"/>
      <c r="M13" s="26"/>
      <c r="W13" s="6"/>
      <c r="X13" s="6"/>
      <c r="Y13" s="6"/>
      <c r="Z13" s="6"/>
      <c r="AA13" s="6"/>
    </row>
    <row r="14" ht="14.25" customHeight="1">
      <c r="A14" s="19" t="s">
        <v>43</v>
      </c>
      <c r="C14" s="26" t="s">
        <v>83</v>
      </c>
      <c r="D14" s="26"/>
      <c r="E14" s="26"/>
      <c r="F14" s="27">
        <v>90.0</v>
      </c>
      <c r="G14" s="25" t="s">
        <v>71</v>
      </c>
      <c r="I14" s="6"/>
      <c r="J14" s="6"/>
      <c r="K14" s="26"/>
      <c r="L14" s="26"/>
      <c r="M14" s="26"/>
      <c r="W14" s="6"/>
      <c r="X14" s="6"/>
      <c r="Y14" s="6"/>
      <c r="Z14" s="6"/>
      <c r="AA14" s="6"/>
    </row>
    <row r="15" ht="20.25" customHeight="1">
      <c r="A15" s="12"/>
      <c r="C15" s="6" t="s">
        <v>85</v>
      </c>
      <c r="D15" s="6"/>
      <c r="E15" s="6"/>
      <c r="F15" s="27">
        <v>40.75</v>
      </c>
      <c r="G15" s="25" t="s">
        <v>34</v>
      </c>
      <c r="H15" s="44">
        <v>2.641617508948601</v>
      </c>
      <c r="I15" s="6"/>
      <c r="J15" s="6"/>
      <c r="K15" s="45" t="s">
        <v>86</v>
      </c>
      <c r="L15" s="26"/>
      <c r="M15" s="6"/>
      <c r="W15" s="6"/>
      <c r="X15" s="6"/>
      <c r="Y15" s="6"/>
      <c r="Z15" s="6"/>
      <c r="AA15" s="6"/>
    </row>
    <row r="16" ht="14.25" customHeight="1">
      <c r="A16" s="19" t="s">
        <v>35</v>
      </c>
      <c r="W16" s="6"/>
      <c r="X16" s="6"/>
      <c r="Y16" s="6"/>
      <c r="Z16" s="6"/>
      <c r="AA16" s="6"/>
    </row>
    <row r="17" ht="14.25" customHeight="1">
      <c r="A17" s="12"/>
      <c r="C17" t="s">
        <v>87</v>
      </c>
      <c r="F17" s="6"/>
      <c r="G17" s="6"/>
      <c r="W17" s="6"/>
      <c r="X17" s="6"/>
      <c r="Y17" s="6"/>
      <c r="Z17" s="6"/>
      <c r="AA17" s="6"/>
    </row>
    <row r="18" ht="14.25" customHeight="1">
      <c r="A18" s="19" t="s">
        <v>38</v>
      </c>
      <c r="C18" t="s">
        <v>88</v>
      </c>
      <c r="F18" s="27">
        <v>97.9</v>
      </c>
      <c r="G18" s="25" t="s">
        <v>89</v>
      </c>
      <c r="W18" s="6"/>
      <c r="X18" s="6"/>
      <c r="Y18" s="6"/>
      <c r="Z18" s="6"/>
      <c r="AA18" s="6"/>
    </row>
    <row r="19" ht="14.25" customHeight="1">
      <c r="A19" s="12"/>
      <c r="C19" t="s">
        <v>90</v>
      </c>
      <c r="F19" s="27">
        <v>40.9</v>
      </c>
      <c r="G19" s="25" t="s">
        <v>89</v>
      </c>
      <c r="W19" s="6"/>
      <c r="X19" s="6"/>
      <c r="Y19" s="6"/>
      <c r="Z19" s="6"/>
      <c r="AA19" s="6"/>
    </row>
    <row r="20" ht="14.25" customHeight="1">
      <c r="A20" s="19" t="s">
        <v>42</v>
      </c>
      <c r="C20" s="26" t="s">
        <v>91</v>
      </c>
      <c r="F20" s="27">
        <v>100.0</v>
      </c>
      <c r="G20" s="46" t="s">
        <v>92</v>
      </c>
      <c r="W20" s="6"/>
      <c r="X20" s="6"/>
      <c r="Y20" s="6"/>
      <c r="Z20" s="6"/>
      <c r="AA20" s="6"/>
    </row>
    <row r="21" ht="14.25" customHeight="1">
      <c r="A21" s="12"/>
      <c r="W21" s="6"/>
      <c r="X21" s="6"/>
      <c r="Y21" s="6"/>
      <c r="Z21" s="6"/>
      <c r="AA21" s="6"/>
    </row>
    <row r="22" ht="14.25" customHeight="1">
      <c r="A22" s="12"/>
      <c r="W22" s="6"/>
      <c r="X22" s="6"/>
      <c r="Y22" s="6"/>
      <c r="Z22" s="6"/>
      <c r="AA22" s="6"/>
    </row>
    <row r="23" ht="14.25" customHeight="1">
      <c r="A23" s="12"/>
      <c r="C23" t="s">
        <v>93</v>
      </c>
      <c r="W23" s="6"/>
      <c r="X23" s="6"/>
      <c r="Y23" s="6"/>
      <c r="Z23" s="6"/>
      <c r="AA23" s="6"/>
    </row>
    <row r="24" ht="14.25" customHeight="1">
      <c r="A24" s="12"/>
      <c r="B24" s="6"/>
      <c r="C24" s="6"/>
      <c r="D24" s="6"/>
      <c r="E24" s="6"/>
      <c r="F24" s="6"/>
      <c r="G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6">
    <mergeCell ref="C1:U1"/>
    <mergeCell ref="C2:U2"/>
    <mergeCell ref="F4:V4"/>
    <mergeCell ref="C6:D6"/>
    <mergeCell ref="F6:G6"/>
    <mergeCell ref="I6:J6"/>
  </mergeCells>
  <conditionalFormatting sqref="C9">
    <cfRule type="expression" dxfId="0" priority="1">
      <formula>$D$9</formula>
    </cfRule>
  </conditionalFormatting>
  <conditionalFormatting sqref="C6:D6">
    <cfRule type="expression" dxfId="1" priority="2">
      <formula>FIND(C6,F4,1)</formula>
    </cfRule>
  </conditionalFormatting>
  <conditionalFormatting sqref="F6:G6">
    <cfRule type="expression" dxfId="1" priority="3">
      <formula>FIND(F6,F4,1)</formula>
    </cfRule>
  </conditionalFormatting>
  <conditionalFormatting sqref="I6:J6">
    <cfRule type="expression" dxfId="1" priority="4">
      <formula>FIND($I$6,$F$4,1)</formula>
    </cfRule>
  </conditionalFormatting>
  <dataValidations>
    <dataValidation type="decimal" allowBlank="1" showInputMessage="1" showErrorMessage="1" prompt="Decimal value - between 0 and 100" sqref="F10 F13 F15">
      <formula1>0.0</formula1>
      <formula2>100.0</formula2>
    </dataValidation>
    <dataValidation type="decimal" operator="greaterThan" allowBlank="1" showInputMessage="1" showErrorMessage="1" prompt="Integer number of days - Greater than 0 (zero)" sqref="F11 F14 F20">
      <formula1>0.0</formula1>
    </dataValidation>
    <dataValidation type="decimal" operator="greaterThanOrEqual" allowBlank="1" showInputMessage="1" showErrorMessage="1" prompt="Value error - Must be greater than or equal to zero" sqref="F18:F19">
      <formula1>0.0</formula1>
    </dataValidation>
    <dataValidation type="decimal" operator="greaterThan" allowBlank="1" showInputMessage="1" showErrorMessage="1" prompt="Positive value - Greater than 0" sqref="H10 H13 H15">
      <formula1>0.0</formula1>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4" width="8.63"/>
    <col customWidth="1" min="5" max="5" width="7.63"/>
    <col customWidth="1" min="6" max="6" width="13.38"/>
    <col customWidth="1" min="7" max="7" width="8.63"/>
    <col customWidth="1" min="8" max="8" width="7.38"/>
    <col customWidth="1" min="9" max="10" width="9.25"/>
    <col customWidth="1" min="11"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6"/>
      <c r="Y2" s="6"/>
      <c r="Z2" s="6"/>
      <c r="AA2" s="6"/>
    </row>
    <row r="3" ht="14.25" customHeight="1">
      <c r="A3" s="12"/>
      <c r="X3" s="6"/>
      <c r="Y3" s="6"/>
      <c r="Z3" s="6"/>
      <c r="AA3" s="6"/>
    </row>
    <row r="4" ht="21.0" customHeight="1">
      <c r="A4" s="13" t="s">
        <v>2</v>
      </c>
      <c r="B4" s="14"/>
      <c r="C4" s="15" t="s">
        <v>94</v>
      </c>
      <c r="D4" s="15"/>
      <c r="E4" s="15"/>
      <c r="F4" s="16" t="s">
        <v>95</v>
      </c>
      <c r="G4" s="17"/>
      <c r="H4" s="17"/>
      <c r="I4" s="17"/>
      <c r="J4" s="17"/>
      <c r="K4" s="17"/>
      <c r="L4" s="17"/>
      <c r="M4" s="17"/>
      <c r="N4" s="17"/>
      <c r="O4" s="17"/>
      <c r="P4" s="17"/>
      <c r="Q4" s="17"/>
      <c r="R4" s="17"/>
      <c r="S4" s="17"/>
      <c r="T4" s="17"/>
      <c r="U4" s="17"/>
      <c r="V4" s="18"/>
      <c r="W4" s="14"/>
      <c r="X4" s="6"/>
      <c r="Y4" s="6"/>
      <c r="Z4" s="6"/>
      <c r="AA4" s="6"/>
    </row>
    <row r="5" ht="14.25" customHeight="1">
      <c r="A5" s="12"/>
      <c r="C5" s="6"/>
      <c r="D5" s="6"/>
      <c r="E5" s="6"/>
      <c r="F5" s="6"/>
      <c r="G5" s="6"/>
      <c r="H5" s="6"/>
      <c r="I5" s="6"/>
      <c r="J5" s="6"/>
      <c r="K5" s="6"/>
      <c r="L5" s="6"/>
      <c r="M5" s="6"/>
      <c r="N5" s="6"/>
      <c r="O5" s="6"/>
      <c r="P5" s="6"/>
      <c r="Q5" s="6"/>
      <c r="R5" s="6"/>
      <c r="S5" s="6"/>
      <c r="T5" s="6"/>
      <c r="U5" s="6"/>
      <c r="V5" s="6"/>
      <c r="X5" s="6"/>
      <c r="Y5" s="6"/>
      <c r="Z5" s="6"/>
      <c r="AA5" s="6"/>
    </row>
    <row r="6" ht="14.25" customHeight="1">
      <c r="A6" s="19" t="s">
        <v>7</v>
      </c>
      <c r="B6" s="26"/>
      <c r="C6" s="42" t="s">
        <v>64</v>
      </c>
      <c r="D6" s="43"/>
      <c r="E6" s="26"/>
      <c r="F6" s="42" t="s">
        <v>27</v>
      </c>
      <c r="G6" s="43"/>
      <c r="H6" s="26"/>
      <c r="I6" s="42" t="s">
        <v>69</v>
      </c>
      <c r="J6" s="43"/>
      <c r="X6" s="6"/>
      <c r="Y6" s="6"/>
      <c r="Z6" s="6"/>
      <c r="AA6" s="6"/>
    </row>
    <row r="7" ht="14.25" customHeight="1">
      <c r="A7" s="12"/>
      <c r="X7" s="6"/>
      <c r="Y7" s="6"/>
      <c r="Z7" s="6"/>
      <c r="AA7" s="6"/>
    </row>
    <row r="8" ht="14.25" customHeight="1">
      <c r="A8" s="19" t="s">
        <v>4</v>
      </c>
      <c r="C8" s="22" t="s">
        <v>9</v>
      </c>
      <c r="D8" s="22"/>
      <c r="E8" s="22"/>
      <c r="F8" s="23" t="s">
        <v>12</v>
      </c>
      <c r="G8" s="23" t="s">
        <v>13</v>
      </c>
      <c r="H8" s="23" t="s">
        <v>14</v>
      </c>
      <c r="I8" s="23" t="s">
        <v>15</v>
      </c>
      <c r="J8" s="23" t="s">
        <v>16</v>
      </c>
      <c r="K8" s="22" t="s">
        <v>17</v>
      </c>
      <c r="L8" s="22" t="s">
        <v>18</v>
      </c>
      <c r="X8" s="6"/>
      <c r="Y8" s="6"/>
      <c r="Z8" s="6"/>
      <c r="AA8" s="6"/>
    </row>
    <row r="9" ht="14.25" customHeight="1">
      <c r="A9" s="12"/>
      <c r="C9" s="21"/>
      <c r="D9" s="26"/>
      <c r="E9" s="26"/>
      <c r="F9" s="6"/>
      <c r="G9" s="25"/>
      <c r="H9" s="6"/>
      <c r="I9" s="6"/>
      <c r="J9" s="6"/>
      <c r="K9" s="6"/>
      <c r="L9" s="6"/>
      <c r="X9" s="6"/>
      <c r="Y9" s="6"/>
      <c r="Z9" s="6"/>
      <c r="AA9" s="6"/>
    </row>
    <row r="10" ht="14.25" customHeight="1">
      <c r="A10" s="19" t="s">
        <v>3</v>
      </c>
      <c r="C10" s="20" t="s">
        <v>97</v>
      </c>
      <c r="D10" s="6"/>
      <c r="E10" s="6"/>
      <c r="H10" s="6"/>
      <c r="I10" s="6"/>
      <c r="J10" s="6"/>
      <c r="K10" s="6"/>
      <c r="L10" s="6"/>
      <c r="X10" s="6"/>
      <c r="Y10" s="6"/>
      <c r="Z10" s="6"/>
      <c r="AA10" s="6"/>
    </row>
    <row r="11" ht="14.25" customHeight="1">
      <c r="A11" s="12"/>
      <c r="C11" s="20" t="s">
        <v>98</v>
      </c>
      <c r="D11" s="6"/>
      <c r="E11" s="6"/>
      <c r="F11" s="30" t="s">
        <v>99</v>
      </c>
      <c r="H11" s="6"/>
      <c r="I11" s="6"/>
      <c r="J11" s="6"/>
      <c r="K11" s="6"/>
      <c r="L11" s="6" t="s">
        <v>101</v>
      </c>
      <c r="X11" s="6"/>
      <c r="Y11" s="6"/>
      <c r="Z11" s="6"/>
      <c r="AA11" s="6"/>
    </row>
    <row r="12" ht="14.25" customHeight="1">
      <c r="A12" s="19" t="s">
        <v>22</v>
      </c>
      <c r="C12" s="6"/>
      <c r="D12" s="6"/>
      <c r="E12" s="6"/>
      <c r="F12" s="6"/>
      <c r="G12" s="25"/>
      <c r="H12" s="6"/>
      <c r="I12" s="6"/>
      <c r="J12" s="6"/>
      <c r="K12" s="6"/>
      <c r="L12" s="6"/>
      <c r="X12" s="6"/>
      <c r="Y12" s="6"/>
      <c r="Z12" s="6"/>
      <c r="AA12" s="6"/>
    </row>
    <row r="13" ht="14.25" customHeight="1">
      <c r="A13" s="12"/>
      <c r="C13" s="20" t="s">
        <v>103</v>
      </c>
      <c r="D13" s="6"/>
      <c r="E13" s="6"/>
      <c r="F13" s="26"/>
      <c r="X13" s="6"/>
      <c r="Y13" s="6"/>
      <c r="Z13" s="6"/>
      <c r="AA13" s="6"/>
    </row>
    <row r="14" ht="14.25" customHeight="1">
      <c r="A14" s="19" t="s">
        <v>43</v>
      </c>
      <c r="C14" s="20" t="s">
        <v>98</v>
      </c>
      <c r="D14" s="6"/>
      <c r="E14" s="6"/>
      <c r="F14" s="30" t="s">
        <v>99</v>
      </c>
      <c r="L14" s="6" t="s">
        <v>104</v>
      </c>
      <c r="X14" s="6"/>
      <c r="Y14" s="6"/>
      <c r="Z14" s="6"/>
      <c r="AA14" s="6"/>
    </row>
    <row r="15" ht="14.25" customHeight="1">
      <c r="A15" s="12"/>
      <c r="X15" s="6"/>
      <c r="Y15" s="6"/>
      <c r="Z15" s="6"/>
      <c r="AA15" s="6"/>
    </row>
    <row r="16" ht="14.25" customHeight="1">
      <c r="A16" s="19" t="s">
        <v>35</v>
      </c>
      <c r="C16" s="20" t="s">
        <v>105</v>
      </c>
      <c r="X16" s="6"/>
      <c r="Y16" s="6"/>
      <c r="Z16" s="6"/>
      <c r="AA16" s="6"/>
    </row>
    <row r="17" ht="14.25" customHeight="1">
      <c r="A17" s="12"/>
      <c r="C17" s="20" t="s">
        <v>106</v>
      </c>
      <c r="D17" s="6"/>
      <c r="E17" s="6"/>
      <c r="F17" s="27">
        <v>4.0</v>
      </c>
      <c r="G17" t="s">
        <v>108</v>
      </c>
      <c r="I17" s="27">
        <v>2.0</v>
      </c>
      <c r="J17" s="27">
        <v>22.0</v>
      </c>
      <c r="K17" s="26" t="s">
        <v>109</v>
      </c>
      <c r="L17" s="6"/>
      <c r="M17" s="6"/>
      <c r="N17" s="6"/>
      <c r="X17" s="6"/>
      <c r="Y17" s="6"/>
      <c r="Z17" s="6"/>
      <c r="AA17" s="6"/>
    </row>
    <row r="18" ht="14.25" customHeight="1">
      <c r="A18" s="19" t="s">
        <v>38</v>
      </c>
      <c r="C18" s="20" t="s">
        <v>110</v>
      </c>
      <c r="D18" s="26"/>
      <c r="E18" s="26"/>
      <c r="F18" s="27">
        <v>6.45</v>
      </c>
      <c r="G18" s="26" t="s">
        <v>65</v>
      </c>
      <c r="H18" s="26"/>
      <c r="I18" s="27">
        <v>2.92</v>
      </c>
      <c r="J18" s="27">
        <v>14.25</v>
      </c>
      <c r="K18" t="s">
        <v>109</v>
      </c>
      <c r="X18" s="6"/>
      <c r="Y18" s="6"/>
      <c r="Z18" s="6"/>
      <c r="AA18" s="6"/>
    </row>
    <row r="19" ht="14.25" customHeight="1">
      <c r="A19" s="12"/>
      <c r="C19" s="20" t="s">
        <v>111</v>
      </c>
      <c r="F19" s="27">
        <v>1.73</v>
      </c>
      <c r="G19" s="26" t="s">
        <v>65</v>
      </c>
      <c r="I19" s="27">
        <v>1.42</v>
      </c>
      <c r="J19" s="27">
        <v>2.12</v>
      </c>
      <c r="K19" s="26" t="s">
        <v>109</v>
      </c>
      <c r="X19" s="6"/>
      <c r="Y19" s="6"/>
      <c r="Z19" s="6"/>
      <c r="AA19" s="6"/>
    </row>
    <row r="20" ht="14.25" customHeight="1">
      <c r="A20" s="19" t="s">
        <v>42</v>
      </c>
      <c r="C20" s="20" t="s">
        <v>112</v>
      </c>
      <c r="F20" s="27">
        <v>1.64</v>
      </c>
      <c r="G20" s="26" t="s">
        <v>65</v>
      </c>
      <c r="I20" s="27">
        <v>1.15</v>
      </c>
      <c r="J20" s="27">
        <v>2.35</v>
      </c>
      <c r="K20" s="26" t="s">
        <v>109</v>
      </c>
      <c r="X20" s="6"/>
      <c r="Y20" s="6"/>
      <c r="Z20" s="6"/>
      <c r="AA20" s="6"/>
    </row>
    <row r="21" ht="14.25" customHeight="1">
      <c r="A21" s="12"/>
      <c r="C21" s="20" t="s">
        <v>114</v>
      </c>
      <c r="F21" s="27" t="s">
        <v>115</v>
      </c>
      <c r="X21" s="6"/>
      <c r="Y21" s="6"/>
      <c r="Z21" s="6"/>
      <c r="AA21" s="6"/>
    </row>
    <row r="22" ht="14.25" customHeight="1">
      <c r="A22" s="12"/>
      <c r="B22" s="6"/>
      <c r="C22" s="6"/>
      <c r="D22" s="6"/>
      <c r="E22" s="6"/>
      <c r="F22" s="6"/>
      <c r="G22" s="6"/>
      <c r="H22" s="6"/>
      <c r="I22" s="6"/>
      <c r="J22" s="6"/>
      <c r="K22" s="6"/>
      <c r="L22" s="6"/>
      <c r="M22" s="6"/>
      <c r="N22" s="6"/>
      <c r="O22" s="6"/>
      <c r="P22" s="6"/>
      <c r="Q22" s="6"/>
      <c r="R22" s="6"/>
      <c r="S22" s="6"/>
      <c r="T22" s="6"/>
      <c r="U22" s="6"/>
      <c r="V22" s="6"/>
      <c r="W22" s="6"/>
      <c r="X22" s="6"/>
      <c r="Y22" s="6"/>
      <c r="Z22" s="6"/>
      <c r="AA22" s="6"/>
    </row>
    <row r="23" ht="14.25" customHeight="1">
      <c r="A23" s="12"/>
      <c r="B23" s="6"/>
      <c r="C23" s="20" t="s">
        <v>116</v>
      </c>
      <c r="D23" s="26"/>
      <c r="E23" s="26"/>
      <c r="F23" s="26"/>
      <c r="G23" s="26"/>
      <c r="H23" s="26"/>
      <c r="I23" s="26"/>
      <c r="J23" s="26"/>
      <c r="K23" s="26"/>
      <c r="L23" s="26"/>
      <c r="M23" s="26"/>
      <c r="N23" s="26"/>
      <c r="O23" s="6"/>
      <c r="P23" s="6"/>
      <c r="Q23" s="6"/>
      <c r="R23" s="6"/>
      <c r="S23" s="6"/>
      <c r="T23" s="6"/>
      <c r="U23" s="6"/>
      <c r="V23" s="6"/>
      <c r="W23" s="6"/>
      <c r="X23" s="6"/>
      <c r="Y23" s="6"/>
      <c r="Z23" s="6"/>
      <c r="AA23" s="6"/>
    </row>
    <row r="24" ht="14.25" customHeight="1">
      <c r="A24" s="12"/>
      <c r="B24" s="6"/>
      <c r="C24" s="20" t="s">
        <v>110</v>
      </c>
      <c r="D24" s="26"/>
      <c r="E24" s="26"/>
      <c r="F24" s="27">
        <v>1.71</v>
      </c>
      <c r="G24" s="26" t="s">
        <v>65</v>
      </c>
      <c r="H24" s="26"/>
      <c r="I24" s="28">
        <v>1.36</v>
      </c>
      <c r="J24" s="28">
        <v>2.16</v>
      </c>
      <c r="K24" s="26" t="s">
        <v>118</v>
      </c>
      <c r="L24" s="26" t="s">
        <v>119</v>
      </c>
      <c r="M24" s="26" t="s">
        <v>120</v>
      </c>
      <c r="N24" s="26"/>
      <c r="O24" s="6"/>
      <c r="P24" s="6"/>
      <c r="Q24" s="6"/>
      <c r="R24" s="6"/>
      <c r="S24" s="6"/>
      <c r="T24" s="6"/>
      <c r="U24" s="6"/>
      <c r="V24" s="6"/>
      <c r="W24" s="6"/>
      <c r="X24" s="6"/>
      <c r="Y24" s="6"/>
      <c r="Z24" s="6"/>
      <c r="AA24" s="6"/>
    </row>
    <row r="25" ht="14.25" customHeight="1">
      <c r="A25" s="12"/>
      <c r="B25" s="6"/>
      <c r="L25" s="26"/>
      <c r="M25" s="26"/>
      <c r="N25" s="26"/>
      <c r="O25" s="6"/>
      <c r="P25" s="6"/>
      <c r="Q25" s="6"/>
      <c r="R25" s="6"/>
      <c r="S25" s="6"/>
      <c r="T25" s="6"/>
      <c r="U25" s="6"/>
      <c r="V25" s="6"/>
      <c r="W25" s="6"/>
      <c r="X25" s="6"/>
      <c r="Y25" s="6"/>
      <c r="Z25" s="6"/>
      <c r="AA25" s="6"/>
    </row>
    <row r="26" ht="14.25" customHeight="1">
      <c r="A26" s="12"/>
      <c r="B26" s="6"/>
      <c r="L26" s="26"/>
      <c r="M26" s="26"/>
      <c r="N26" s="26"/>
      <c r="O26" s="6"/>
      <c r="P26" s="6"/>
      <c r="Q26" s="6"/>
      <c r="R26" s="6"/>
      <c r="S26" s="6"/>
      <c r="T26" s="6"/>
      <c r="U26" s="6"/>
      <c r="V26" s="6"/>
      <c r="W26" s="6"/>
      <c r="X26" s="6"/>
      <c r="Y26" s="6"/>
      <c r="Z26" s="6"/>
      <c r="AA26" s="6"/>
    </row>
    <row r="27" ht="14.25" customHeight="1">
      <c r="A27" s="12"/>
      <c r="B27" s="6"/>
      <c r="L27" s="26"/>
      <c r="M27" s="26"/>
      <c r="N27" s="2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6">
    <mergeCell ref="C1:U1"/>
    <mergeCell ref="C2:U2"/>
    <mergeCell ref="F4:V4"/>
    <mergeCell ref="C6:D6"/>
    <mergeCell ref="F6:G6"/>
    <mergeCell ref="I6:J6"/>
  </mergeCells>
  <conditionalFormatting sqref="C9">
    <cfRule type="expression" dxfId="0" priority="1">
      <formula>$D$9</formula>
    </cfRule>
  </conditionalFormatting>
  <conditionalFormatting sqref="C6:D6">
    <cfRule type="expression" dxfId="1" priority="2">
      <formula>FIND(C6,F4,1)</formula>
    </cfRule>
  </conditionalFormatting>
  <conditionalFormatting sqref="F6:G6">
    <cfRule type="expression" dxfId="1" priority="3">
      <formula>FIND(F6,F4,1)</formula>
    </cfRule>
  </conditionalFormatting>
  <conditionalFormatting sqref="I6:J6">
    <cfRule type="expression" dxfId="1" priority="4">
      <formula>FIND($I$6,$F$4,1)</formula>
    </cfRule>
  </conditionalFormatting>
  <dataValidations>
    <dataValidation type="decimal" allowBlank="1" showInputMessage="1" showErrorMessage="1" prompt="Positive value - between the mean value entered and 100" sqref="J17:J20 J24">
      <formula1>F17</formula1>
      <formula2>100.0</formula2>
    </dataValidation>
    <dataValidation type="decimal" allowBlank="1" showInputMessage="1" showErrorMessage="1" prompt="Value error - Range allowed is 0.01 to 20" sqref="F18:F20 F24">
      <formula1>0.01</formula1>
      <formula2>20.0</formula2>
    </dataValidation>
    <dataValidation type="decimal" operator="greaterThanOrEqual" allowBlank="1" showInputMessage="1" showErrorMessage="1" prompt="Value error - Must be greater than or equal to zero" sqref="F17">
      <formula1>0.0</formula1>
    </dataValidation>
    <dataValidation type="decimal" allowBlank="1" showInputMessage="1" showErrorMessage="1" prompt="Positive value - Between 0 and the mean value entered" sqref="I17:I20 I24">
      <formula1>0.0</formula1>
      <formula2>F17</formula2>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3" width="8.63"/>
    <col customWidth="1" min="4" max="4" width="10.13"/>
    <col customWidth="1" min="5" max="6" width="8.63"/>
    <col customWidth="1" min="7" max="7" width="16.63"/>
    <col customWidth="1" min="8" max="10" width="9.63"/>
    <col customWidth="1" min="11"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6"/>
      <c r="X2" s="6"/>
      <c r="Y2" s="6"/>
      <c r="Z2" s="6"/>
      <c r="AA2" s="6"/>
    </row>
    <row r="3" ht="14.25" customHeight="1">
      <c r="A3" s="12"/>
      <c r="W3" s="6"/>
      <c r="X3" s="6"/>
      <c r="Y3" s="6"/>
      <c r="Z3" s="6"/>
      <c r="AA3" s="6"/>
    </row>
    <row r="4" ht="21.0" customHeight="1">
      <c r="A4" s="13" t="s">
        <v>2</v>
      </c>
      <c r="B4" s="14"/>
      <c r="C4" s="15" t="s">
        <v>35</v>
      </c>
      <c r="D4" s="15"/>
      <c r="E4" s="15"/>
      <c r="F4" s="16" t="s">
        <v>96</v>
      </c>
      <c r="G4" s="17"/>
      <c r="H4" s="17"/>
      <c r="I4" s="17"/>
      <c r="J4" s="17"/>
      <c r="K4" s="17"/>
      <c r="L4" s="17"/>
      <c r="M4" s="17"/>
      <c r="N4" s="17"/>
      <c r="O4" s="17"/>
      <c r="P4" s="17"/>
      <c r="Q4" s="17"/>
      <c r="R4" s="17"/>
      <c r="S4" s="17"/>
      <c r="T4" s="17"/>
      <c r="U4" s="17"/>
      <c r="V4" s="18"/>
      <c r="W4" s="6"/>
      <c r="X4" s="6"/>
      <c r="Y4" s="6"/>
      <c r="Z4" s="6"/>
      <c r="AA4" s="6"/>
    </row>
    <row r="5" ht="14.25" customHeight="1">
      <c r="A5" s="12"/>
      <c r="W5" s="6"/>
      <c r="X5" s="6"/>
      <c r="Y5" s="6"/>
      <c r="Z5" s="6"/>
      <c r="AA5" s="6"/>
    </row>
    <row r="6" ht="14.25" customHeight="1">
      <c r="A6" s="19" t="s">
        <v>7</v>
      </c>
      <c r="C6" s="42" t="s">
        <v>100</v>
      </c>
      <c r="D6" s="43"/>
      <c r="E6" s="26"/>
      <c r="F6" s="42" t="s">
        <v>102</v>
      </c>
      <c r="G6" s="43"/>
      <c r="V6" s="6"/>
      <c r="W6" s="6"/>
      <c r="X6" s="6"/>
      <c r="Y6" s="6"/>
      <c r="Z6" s="6"/>
      <c r="AA6" s="6"/>
    </row>
    <row r="7" ht="14.25" customHeight="1">
      <c r="A7" s="12"/>
      <c r="V7" s="6"/>
      <c r="W7" s="6"/>
      <c r="X7" s="6"/>
      <c r="Y7" s="6"/>
      <c r="Z7" s="6"/>
      <c r="AA7" s="6"/>
    </row>
    <row r="8" ht="14.25" customHeight="1">
      <c r="A8" s="19" t="s">
        <v>4</v>
      </c>
      <c r="C8" s="22" t="s">
        <v>9</v>
      </c>
      <c r="D8" s="22"/>
      <c r="E8" s="22"/>
      <c r="F8" s="23" t="s">
        <v>12</v>
      </c>
      <c r="G8" s="23" t="s">
        <v>13</v>
      </c>
      <c r="H8" s="23" t="s">
        <v>14</v>
      </c>
      <c r="I8" s="23" t="s">
        <v>15</v>
      </c>
      <c r="J8" s="23" t="s">
        <v>16</v>
      </c>
      <c r="K8" s="22" t="s">
        <v>17</v>
      </c>
      <c r="L8" s="22" t="s">
        <v>18</v>
      </c>
      <c r="V8" s="6"/>
      <c r="W8" s="6"/>
      <c r="X8" s="6"/>
      <c r="Y8" s="6"/>
      <c r="Z8" s="6"/>
      <c r="AA8" s="6"/>
    </row>
    <row r="9" ht="14.25" customHeight="1">
      <c r="A9" s="12"/>
      <c r="C9" s="21"/>
      <c r="D9" s="26"/>
      <c r="E9" s="26"/>
      <c r="F9" s="6"/>
      <c r="G9" s="25"/>
      <c r="H9" s="6"/>
      <c r="I9" s="6"/>
      <c r="J9" s="6"/>
      <c r="K9" s="6"/>
      <c r="L9" s="6"/>
      <c r="V9" s="6"/>
      <c r="W9" s="6"/>
      <c r="X9" s="6"/>
      <c r="Y9" s="6"/>
      <c r="Z9" s="6"/>
      <c r="AA9" s="6"/>
    </row>
    <row r="10" ht="14.25" customHeight="1">
      <c r="A10" s="19" t="s">
        <v>3</v>
      </c>
      <c r="C10" s="20" t="s">
        <v>107</v>
      </c>
      <c r="D10" s="6"/>
      <c r="E10" s="6"/>
      <c r="F10" s="47">
        <v>10244.05</v>
      </c>
      <c r="G10" s="46" t="str">
        <f>Currency&amp;" per procedure"</f>
        <v>USD per procedure</v>
      </c>
      <c r="H10" s="48">
        <v>2663.69</v>
      </c>
      <c r="I10" s="6"/>
      <c r="J10" s="6"/>
      <c r="K10" s="6"/>
      <c r="L10" s="6"/>
      <c r="V10" s="6"/>
      <c r="W10" s="6"/>
      <c r="X10" s="6"/>
      <c r="Y10" s="6"/>
      <c r="Z10" s="6"/>
      <c r="AA10" s="6"/>
    </row>
    <row r="11" ht="14.25" customHeight="1">
      <c r="A11" s="12"/>
      <c r="C11" s="20" t="s">
        <v>113</v>
      </c>
      <c r="D11" s="6"/>
      <c r="E11" s="6"/>
      <c r="F11" s="47">
        <v>755.75</v>
      </c>
      <c r="G11" s="46" t="str">
        <f>Currency&amp;" per day"</f>
        <v>USD per day</v>
      </c>
      <c r="I11" s="48">
        <v>210.48</v>
      </c>
      <c r="J11" s="48">
        <v>906.25</v>
      </c>
      <c r="K11" s="6"/>
      <c r="L11" s="6"/>
      <c r="V11" s="6"/>
      <c r="W11" s="6"/>
      <c r="X11" s="6"/>
      <c r="Y11" s="6"/>
      <c r="Z11" s="6"/>
      <c r="AA11" s="6"/>
    </row>
    <row r="12" ht="14.25" customHeight="1">
      <c r="A12" s="19" t="s">
        <v>22</v>
      </c>
      <c r="C12" s="20" t="s">
        <v>117</v>
      </c>
      <c r="D12" s="6"/>
      <c r="E12" s="6"/>
      <c r="F12" s="47">
        <v>2535.52</v>
      </c>
      <c r="G12" s="46" t="str">
        <f>Currency&amp;" per day"</f>
        <v>USD per day</v>
      </c>
      <c r="I12" s="48">
        <v>2197.45</v>
      </c>
      <c r="J12" s="48">
        <v>3066.62</v>
      </c>
      <c r="K12" s="6"/>
      <c r="L12" s="6"/>
      <c r="V12" s="6"/>
      <c r="W12" s="6"/>
      <c r="X12" s="6"/>
      <c r="Y12" s="6"/>
      <c r="Z12" s="6"/>
      <c r="AA12" s="6"/>
    </row>
    <row r="13" ht="14.25" customHeight="1">
      <c r="A13" s="12"/>
      <c r="C13" s="26" t="s">
        <v>121</v>
      </c>
      <c r="D13" s="6"/>
      <c r="E13" s="6"/>
      <c r="F13" s="47">
        <v>2357.3</v>
      </c>
      <c r="G13" s="46" t="str">
        <f>Currency&amp;" per day"</f>
        <v>USD per day</v>
      </c>
      <c r="H13" s="48">
        <v>235.73000000000002</v>
      </c>
      <c r="V13" s="6"/>
      <c r="W13" s="6"/>
      <c r="X13" s="6"/>
      <c r="Y13" s="6"/>
      <c r="Z13" s="6"/>
      <c r="AA13" s="6"/>
    </row>
    <row r="14" ht="14.25" customHeight="1">
      <c r="A14" s="19" t="s">
        <v>43</v>
      </c>
      <c r="V14" s="6"/>
      <c r="W14" s="6"/>
      <c r="X14" s="6"/>
      <c r="Y14" s="6"/>
      <c r="Z14" s="6"/>
      <c r="AA14" s="6"/>
    </row>
    <row r="15" ht="14.25" customHeight="1">
      <c r="A15" s="12"/>
      <c r="C15" s="20" t="s">
        <v>122</v>
      </c>
      <c r="F15" s="47">
        <v>57.93</v>
      </c>
      <c r="G15" s="46" t="str">
        <f>Currency&amp;" per hour"</f>
        <v>USD per hour</v>
      </c>
      <c r="I15" s="48">
        <v>48.97</v>
      </c>
      <c r="J15" s="48">
        <v>66.9</v>
      </c>
      <c r="V15" s="6"/>
      <c r="W15" s="6"/>
      <c r="X15" s="6"/>
      <c r="Y15" s="6"/>
      <c r="Z15" s="6"/>
      <c r="AA15" s="6"/>
    </row>
    <row r="16" ht="14.25" customHeight="1">
      <c r="A16" s="19" t="s">
        <v>35</v>
      </c>
      <c r="V16" s="6"/>
      <c r="W16" s="6"/>
      <c r="X16" s="6"/>
      <c r="Y16" s="6"/>
      <c r="Z16" s="6"/>
      <c r="AA16" s="6"/>
    </row>
    <row r="17" ht="14.25" customHeight="1">
      <c r="A17" s="12"/>
      <c r="C17" t="s">
        <v>123</v>
      </c>
      <c r="F17" s="47">
        <v>420.43</v>
      </c>
      <c r="G17" s="46" t="str">
        <f>Currency&amp;" per day"</f>
        <v>USD per day</v>
      </c>
      <c r="H17" s="6"/>
      <c r="I17" s="48">
        <v>59.37</v>
      </c>
      <c r="J17" s="48">
        <v>1679.64</v>
      </c>
      <c r="V17" s="6"/>
      <c r="W17" s="6"/>
      <c r="X17" s="6"/>
      <c r="Y17" s="6"/>
      <c r="Z17" s="6"/>
      <c r="AA17" s="6"/>
    </row>
    <row r="18" ht="14.25" customHeight="1">
      <c r="A18" s="19" t="s">
        <v>38</v>
      </c>
      <c r="C18" t="s">
        <v>124</v>
      </c>
      <c r="F18" s="47">
        <v>0.0</v>
      </c>
      <c r="G18" s="46" t="str">
        <f>Currency&amp;" per day"</f>
        <v>USD per day</v>
      </c>
      <c r="H18" s="28">
        <v>5.0</v>
      </c>
      <c r="L18" s="26"/>
      <c r="V18" s="6"/>
      <c r="W18" s="6"/>
      <c r="X18" s="6"/>
      <c r="Y18" s="6"/>
      <c r="Z18" s="6"/>
      <c r="AA18" s="6"/>
    </row>
    <row r="19" ht="14.25" customHeight="1">
      <c r="A19" s="12"/>
      <c r="C19" t="s">
        <v>125</v>
      </c>
      <c r="F19" s="47">
        <v>0.0</v>
      </c>
      <c r="G19" t="s">
        <v>71</v>
      </c>
      <c r="H19" s="28">
        <v>5.0</v>
      </c>
      <c r="L19" s="26"/>
      <c r="V19" s="6"/>
      <c r="W19" s="6"/>
      <c r="X19" s="6"/>
      <c r="Y19" s="6"/>
      <c r="Z19" s="6"/>
      <c r="AA19" s="6"/>
    </row>
    <row r="20" ht="14.25" customHeight="1">
      <c r="A20" s="19" t="s">
        <v>42</v>
      </c>
      <c r="V20" s="6"/>
      <c r="W20" s="6"/>
      <c r="X20" s="6"/>
      <c r="Y20" s="6"/>
      <c r="Z20" s="6"/>
      <c r="AA20" s="6"/>
    </row>
    <row r="21" ht="14.25" customHeight="1">
      <c r="A21" s="12"/>
      <c r="C21" s="6"/>
      <c r="D21" s="6"/>
      <c r="E21" s="6"/>
      <c r="F21" s="6"/>
      <c r="G21" s="6"/>
      <c r="V21" s="6"/>
      <c r="W21" s="6"/>
      <c r="X21" s="6"/>
      <c r="Y21" s="6"/>
      <c r="Z21" s="6"/>
      <c r="AA21" s="6"/>
    </row>
    <row r="22" ht="14.25" customHeight="1">
      <c r="A22" s="12"/>
      <c r="B22" s="6"/>
      <c r="C22" s="6"/>
      <c r="D22" s="6"/>
      <c r="E22" s="6"/>
      <c r="F22" s="6"/>
      <c r="G22" s="6"/>
      <c r="H22" s="6"/>
      <c r="I22" s="6"/>
      <c r="J22" s="6"/>
      <c r="K22" s="6"/>
      <c r="L22" s="6"/>
      <c r="M22" s="6"/>
      <c r="N22" s="6"/>
      <c r="O22" s="6"/>
      <c r="P22" s="6"/>
      <c r="Q22" s="6"/>
      <c r="R22" s="6"/>
      <c r="S22" s="6"/>
      <c r="T22" s="6"/>
      <c r="U22" s="6"/>
      <c r="V22" s="6"/>
      <c r="W22" s="6"/>
      <c r="X22" s="6"/>
      <c r="Y22" s="6"/>
      <c r="Z22" s="6"/>
      <c r="AA22" s="6"/>
    </row>
    <row r="23" ht="14.25" customHeight="1">
      <c r="A23" s="12"/>
      <c r="B23" s="6"/>
      <c r="C23" s="6"/>
      <c r="D23" s="6"/>
      <c r="E23" s="6"/>
      <c r="F23" s="6"/>
      <c r="G23" s="6"/>
      <c r="H23" s="6"/>
      <c r="I23" s="6"/>
      <c r="J23" s="6"/>
      <c r="K23" s="6"/>
      <c r="L23" s="6"/>
      <c r="M23" s="6"/>
      <c r="N23" s="6"/>
      <c r="O23" s="6"/>
      <c r="P23" s="6"/>
      <c r="Q23" s="6"/>
      <c r="R23" s="6"/>
      <c r="S23" s="6"/>
      <c r="T23" s="6"/>
      <c r="U23" s="6"/>
      <c r="V23" s="6"/>
      <c r="W23" s="6"/>
      <c r="X23" s="6"/>
      <c r="Y23" s="6"/>
      <c r="Z23" s="6"/>
      <c r="AA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5">
    <mergeCell ref="C1:U1"/>
    <mergeCell ref="C2:U2"/>
    <mergeCell ref="F4:V4"/>
    <mergeCell ref="C6:D6"/>
    <mergeCell ref="F6:G6"/>
  </mergeCells>
  <conditionalFormatting sqref="C9">
    <cfRule type="expression" dxfId="0" priority="1">
      <formula>$D$9</formula>
    </cfRule>
  </conditionalFormatting>
  <conditionalFormatting sqref="C6:D6">
    <cfRule type="expression" dxfId="1" priority="2">
      <formula>FIND(C6,F4,1)</formula>
    </cfRule>
  </conditionalFormatting>
  <conditionalFormatting sqref="F6:G6">
    <cfRule type="expression" dxfId="1" priority="3">
      <formula>FIND(F6,F4,1)</formula>
    </cfRule>
  </conditionalFormatting>
  <dataValidations>
    <dataValidation type="decimal" allowBlank="1" showInputMessage="1" showErrorMessage="1" prompt="Positive value - between the mean value entered and the mean value multiplied by 5 (i.e. up to a five-fold increase in costs)" sqref="J11:J12 J15 J17">
      <formula1>F11</formula1>
      <formula2>F11*5</formula2>
    </dataValidation>
    <dataValidation type="decimal" operator="greaterThan" allowBlank="1" showInputMessage="1" showErrorMessage="1" prompt="Positive value - Greater than 0" sqref="H10 H13 H18:H19">
      <formula1>0.0</formula1>
    </dataValidation>
    <dataValidation type="decimal" operator="greaterThanOrEqual" allowBlank="1" showErrorMessage="1" sqref="F10:F13 F15 F17:F19">
      <formula1>0.0</formula1>
    </dataValidation>
    <dataValidation type="decimal" allowBlank="1" showInputMessage="1" showErrorMessage="1" prompt="Positive value - Between 0 and the mean value entered" sqref="I11:I12 I15 I17">
      <formula1>0.0</formula1>
      <formula2>F11</formula2>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3" width="8.63"/>
    <col customWidth="1" min="4" max="4" width="10.13"/>
    <col customWidth="1" min="5" max="5" width="9.25"/>
    <col customWidth="1" min="6" max="6" width="8.63"/>
    <col customWidth="1" min="7" max="7" width="17.5"/>
    <col customWidth="1" min="8"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6"/>
      <c r="X2" s="6"/>
      <c r="Y2" s="6"/>
      <c r="Z2" s="6"/>
      <c r="AA2" s="6"/>
    </row>
    <row r="3" ht="14.25" customHeight="1">
      <c r="A3" s="12"/>
      <c r="W3" s="6"/>
      <c r="X3" s="6"/>
      <c r="Y3" s="6"/>
      <c r="Z3" s="6"/>
      <c r="AA3" s="6"/>
    </row>
    <row r="4" ht="21.0" customHeight="1">
      <c r="A4" s="13" t="s">
        <v>2</v>
      </c>
      <c r="B4" s="14"/>
      <c r="C4" s="15" t="s">
        <v>35</v>
      </c>
      <c r="D4" s="15"/>
      <c r="E4" s="15"/>
      <c r="F4" s="16" t="s">
        <v>126</v>
      </c>
      <c r="G4" s="17"/>
      <c r="H4" s="17"/>
      <c r="I4" s="17"/>
      <c r="J4" s="17"/>
      <c r="K4" s="17"/>
      <c r="L4" s="17"/>
      <c r="M4" s="17"/>
      <c r="N4" s="17"/>
      <c r="O4" s="17"/>
      <c r="P4" s="17"/>
      <c r="Q4" s="17"/>
      <c r="R4" s="17"/>
      <c r="S4" s="17"/>
      <c r="T4" s="17"/>
      <c r="U4" s="17"/>
      <c r="V4" s="18"/>
      <c r="W4" s="6"/>
      <c r="X4" s="6"/>
      <c r="Y4" s="6"/>
      <c r="Z4" s="6"/>
      <c r="AA4" s="6"/>
    </row>
    <row r="5" ht="14.25" customHeight="1">
      <c r="A5" s="12"/>
      <c r="W5" s="6"/>
      <c r="X5" s="6"/>
      <c r="Y5" s="6"/>
      <c r="Z5" s="6"/>
      <c r="AA5" s="6"/>
    </row>
    <row r="6" ht="14.25" customHeight="1">
      <c r="A6" s="19" t="s">
        <v>7</v>
      </c>
      <c r="B6" s="26"/>
      <c r="C6" s="42" t="s">
        <v>100</v>
      </c>
      <c r="D6" s="43"/>
      <c r="E6" s="26"/>
      <c r="F6" s="42" t="s">
        <v>102</v>
      </c>
      <c r="G6" s="43"/>
      <c r="R6" s="6"/>
      <c r="S6" s="6"/>
      <c r="T6" s="6"/>
      <c r="U6" s="6"/>
      <c r="V6" s="6"/>
      <c r="W6" s="6"/>
      <c r="X6" s="6"/>
      <c r="Y6" s="6"/>
      <c r="Z6" s="6"/>
      <c r="AA6" s="6"/>
    </row>
    <row r="7" ht="14.25" customHeight="1">
      <c r="A7" s="12"/>
      <c r="R7" s="6"/>
      <c r="S7" s="6"/>
      <c r="T7" s="6"/>
      <c r="U7" s="6"/>
      <c r="V7" s="6"/>
      <c r="W7" s="6"/>
      <c r="X7" s="6"/>
      <c r="Y7" s="6"/>
      <c r="Z7" s="6"/>
      <c r="AA7" s="6"/>
    </row>
    <row r="8" ht="14.25" customHeight="1">
      <c r="A8" s="19" t="s">
        <v>4</v>
      </c>
      <c r="C8" s="22" t="s">
        <v>9</v>
      </c>
      <c r="D8" s="22"/>
      <c r="E8" s="22"/>
      <c r="F8" s="23" t="s">
        <v>12</v>
      </c>
      <c r="G8" s="23" t="s">
        <v>13</v>
      </c>
      <c r="H8" s="23" t="s">
        <v>14</v>
      </c>
      <c r="I8" s="23" t="s">
        <v>15</v>
      </c>
      <c r="J8" s="23" t="s">
        <v>16</v>
      </c>
      <c r="K8" s="22" t="s">
        <v>17</v>
      </c>
      <c r="L8" s="22" t="s">
        <v>18</v>
      </c>
      <c r="T8" s="6"/>
      <c r="U8" s="6"/>
      <c r="V8" s="6"/>
      <c r="W8" s="6"/>
      <c r="X8" s="6"/>
      <c r="Y8" s="6"/>
      <c r="Z8" s="6"/>
      <c r="AA8" s="6"/>
    </row>
    <row r="9" ht="14.25" customHeight="1">
      <c r="A9" s="12"/>
      <c r="C9" s="21"/>
      <c r="D9" s="26"/>
      <c r="E9" s="26"/>
      <c r="F9" s="6"/>
      <c r="G9" s="25"/>
      <c r="H9" s="6"/>
      <c r="I9" s="6"/>
      <c r="J9" s="6"/>
      <c r="K9" s="6"/>
      <c r="L9" s="6"/>
      <c r="T9" s="6"/>
      <c r="U9" s="6"/>
      <c r="V9" s="6"/>
      <c r="W9" s="6"/>
      <c r="X9" s="6"/>
      <c r="Y9" s="6"/>
      <c r="Z9" s="6"/>
      <c r="AA9" s="6"/>
    </row>
    <row r="10" ht="14.25" customHeight="1">
      <c r="A10" s="19" t="s">
        <v>3</v>
      </c>
      <c r="C10" s="20" t="s">
        <v>127</v>
      </c>
      <c r="D10" s="6"/>
      <c r="E10" s="6"/>
      <c r="F10" s="47">
        <v>-157.6</v>
      </c>
      <c r="G10" s="46" t="str">
        <f>Currency&amp;" per day"</f>
        <v>USD per day</v>
      </c>
      <c r="H10" s="26"/>
      <c r="I10" s="47">
        <v>-568.32</v>
      </c>
      <c r="J10" s="47">
        <v>253.12</v>
      </c>
      <c r="K10" s="6"/>
      <c r="L10" s="6"/>
      <c r="T10" s="6"/>
      <c r="U10" s="6"/>
      <c r="V10" s="6"/>
      <c r="W10" s="6"/>
      <c r="X10" s="6"/>
      <c r="Y10" s="6"/>
      <c r="Z10" s="6"/>
      <c r="AA10" s="6"/>
    </row>
    <row r="11" ht="14.25" customHeight="1">
      <c r="A11" s="12"/>
      <c r="C11" s="20" t="s">
        <v>128</v>
      </c>
      <c r="D11" s="6"/>
      <c r="E11" s="6"/>
      <c r="F11" s="47">
        <v>2582.6</v>
      </c>
      <c r="G11" s="46" t="str">
        <f>Currency&amp;" per event"</f>
        <v>USD per event</v>
      </c>
      <c r="I11" s="47">
        <v>629.41</v>
      </c>
      <c r="J11" s="47">
        <v>3915.96</v>
      </c>
      <c r="K11" s="6"/>
      <c r="L11" s="6"/>
      <c r="T11" s="6"/>
      <c r="U11" s="6"/>
      <c r="V11" s="6"/>
      <c r="W11" s="6"/>
      <c r="X11" s="6"/>
      <c r="Y11" s="6"/>
      <c r="Z11" s="6"/>
      <c r="AA11" s="6"/>
    </row>
    <row r="12" ht="14.25" customHeight="1">
      <c r="A12" s="19" t="s">
        <v>22</v>
      </c>
      <c r="C12" s="20" t="s">
        <v>129</v>
      </c>
      <c r="D12" s="6"/>
      <c r="E12" s="6"/>
      <c r="F12" s="47">
        <v>-157.6</v>
      </c>
      <c r="G12" s="46" t="str">
        <f>Currency&amp;" per day"</f>
        <v>USD per day</v>
      </c>
      <c r="H12" s="26"/>
      <c r="I12" s="47">
        <v>-568.32</v>
      </c>
      <c r="J12" s="47">
        <v>253.12</v>
      </c>
      <c r="K12" s="6"/>
      <c r="L12" s="6"/>
      <c r="T12" s="6"/>
      <c r="U12" s="6"/>
      <c r="V12" s="6"/>
      <c r="W12" s="6"/>
      <c r="X12" s="6"/>
      <c r="Y12" s="6"/>
      <c r="Z12" s="6"/>
      <c r="AA12" s="6"/>
    </row>
    <row r="13" ht="14.25" customHeight="1">
      <c r="A13" s="12"/>
      <c r="C13" s="20" t="s">
        <v>130</v>
      </c>
      <c r="D13" s="6"/>
      <c r="E13" s="6"/>
      <c r="F13" s="47">
        <v>23585.82</v>
      </c>
      <c r="G13" s="46" t="str">
        <f>Currency&amp;" per event"</f>
        <v>USD per event</v>
      </c>
      <c r="H13" s="26"/>
      <c r="I13" s="47">
        <v>15090.45</v>
      </c>
      <c r="J13" s="47">
        <v>41806.15</v>
      </c>
      <c r="T13" s="6"/>
      <c r="U13" s="6"/>
      <c r="V13" s="6"/>
      <c r="W13" s="6"/>
      <c r="X13" s="6"/>
      <c r="Y13" s="6"/>
      <c r="Z13" s="6"/>
      <c r="AA13" s="6"/>
    </row>
    <row r="14" ht="14.25" customHeight="1">
      <c r="A14" s="19" t="s">
        <v>43</v>
      </c>
      <c r="H14" s="49"/>
      <c r="T14" s="6"/>
      <c r="U14" s="6"/>
      <c r="V14" s="6"/>
      <c r="W14" s="6"/>
      <c r="X14" s="6"/>
      <c r="Y14" s="6"/>
      <c r="Z14" s="6"/>
      <c r="AA14" s="6"/>
    </row>
    <row r="15" ht="14.25" customHeight="1">
      <c r="A15" s="12"/>
      <c r="C15" s="20" t="s">
        <v>131</v>
      </c>
      <c r="F15" s="47">
        <v>2.0</v>
      </c>
      <c r="G15" t="s">
        <v>132</v>
      </c>
      <c r="H15" s="50">
        <v>0.2</v>
      </c>
      <c r="T15" s="6"/>
      <c r="U15" s="6"/>
      <c r="V15" s="6"/>
      <c r="W15" s="6"/>
      <c r="X15" s="6"/>
      <c r="Y15" s="6"/>
      <c r="Z15" s="6"/>
      <c r="AA15" s="6"/>
    </row>
    <row r="16" ht="14.25" customHeight="1">
      <c r="A16" s="19" t="s">
        <v>35</v>
      </c>
      <c r="C16" s="20" t="s">
        <v>133</v>
      </c>
      <c r="F16" s="47">
        <v>1.0</v>
      </c>
      <c r="G16" s="26" t="s">
        <v>132</v>
      </c>
      <c r="H16" s="50">
        <v>0.1</v>
      </c>
      <c r="T16" s="6"/>
      <c r="U16" s="6"/>
      <c r="V16" s="6"/>
      <c r="W16" s="6"/>
      <c r="X16" s="6"/>
      <c r="Y16" s="6"/>
      <c r="Z16" s="6"/>
      <c r="AA16" s="6"/>
    </row>
    <row r="17" ht="14.25" customHeight="1">
      <c r="A17" s="12"/>
      <c r="H17" s="51"/>
      <c r="T17" s="6"/>
      <c r="U17" s="6"/>
      <c r="V17" s="6"/>
      <c r="W17" s="6"/>
      <c r="X17" s="6"/>
      <c r="Y17" s="6"/>
      <c r="Z17" s="6"/>
      <c r="AA17" s="6"/>
    </row>
    <row r="18" ht="14.25" customHeight="1">
      <c r="A18" s="19" t="s">
        <v>38</v>
      </c>
      <c r="C18" s="20" t="s">
        <v>134</v>
      </c>
      <c r="H18" s="52"/>
      <c r="T18" s="6"/>
      <c r="U18" s="6"/>
      <c r="V18" s="6"/>
      <c r="W18" s="6"/>
      <c r="X18" s="6"/>
      <c r="Y18" s="6"/>
      <c r="Z18" s="6"/>
      <c r="AA18" s="6"/>
    </row>
    <row r="19" ht="14.25" customHeight="1">
      <c r="A19" s="12"/>
      <c r="C19" s="26" t="s">
        <v>135</v>
      </c>
      <c r="F19" s="27">
        <v>13.3</v>
      </c>
      <c r="G19" t="s">
        <v>71</v>
      </c>
      <c r="H19" s="50">
        <v>20.8</v>
      </c>
      <c r="R19" s="6"/>
      <c r="S19" s="6"/>
      <c r="T19" s="6"/>
      <c r="U19" s="6"/>
      <c r="V19" s="6"/>
      <c r="W19" s="6"/>
      <c r="X19" s="6"/>
      <c r="Y19" s="6"/>
      <c r="Z19" s="6"/>
      <c r="AA19" s="6"/>
    </row>
    <row r="20" ht="14.25" customHeight="1">
      <c r="A20" s="19" t="s">
        <v>42</v>
      </c>
      <c r="C20" s="26" t="s">
        <v>136</v>
      </c>
      <c r="D20" s="26"/>
      <c r="E20" s="26"/>
      <c r="F20" s="27">
        <v>24.0</v>
      </c>
      <c r="G20" s="26" t="s">
        <v>71</v>
      </c>
      <c r="H20" s="50">
        <v>5.0</v>
      </c>
      <c r="R20" s="6"/>
      <c r="S20" s="6"/>
      <c r="T20" s="6"/>
      <c r="U20" s="6"/>
      <c r="V20" s="6"/>
      <c r="W20" s="6"/>
      <c r="X20" s="6"/>
      <c r="Y20" s="6"/>
      <c r="Z20" s="6"/>
      <c r="AA20" s="6"/>
    </row>
    <row r="21" ht="14.25" customHeight="1">
      <c r="A21" s="12"/>
      <c r="B21" s="6"/>
      <c r="C21" s="6"/>
      <c r="D21" s="6"/>
      <c r="E21" s="6"/>
      <c r="F21" s="25"/>
      <c r="G21" s="6"/>
      <c r="H21" s="51"/>
      <c r="I21" s="6"/>
      <c r="J21" s="6"/>
      <c r="K21" s="6"/>
      <c r="L21" s="6"/>
      <c r="M21" s="6"/>
      <c r="N21" s="6"/>
      <c r="O21" s="6"/>
      <c r="P21" s="6"/>
      <c r="Q21" s="6"/>
      <c r="R21" s="6"/>
      <c r="S21" s="6"/>
      <c r="T21" s="6"/>
      <c r="U21" s="6"/>
      <c r="V21" s="6"/>
      <c r="W21" s="6"/>
      <c r="X21" s="6"/>
      <c r="Y21" s="6"/>
      <c r="Z21" s="6"/>
      <c r="AA21" s="6"/>
    </row>
    <row r="22" ht="14.25" customHeight="1">
      <c r="A22" s="12"/>
      <c r="B22" s="6"/>
      <c r="C22" s="6" t="s">
        <v>137</v>
      </c>
      <c r="D22" s="6"/>
      <c r="E22" s="6"/>
      <c r="F22" s="47">
        <v>0.0</v>
      </c>
      <c r="G22" s="46" t="str">
        <f>Currency&amp;" per event"</f>
        <v>USD per event</v>
      </c>
      <c r="H22" s="47">
        <v>100.0</v>
      </c>
      <c r="I22" s="6"/>
      <c r="J22" s="6"/>
      <c r="K22" s="6"/>
      <c r="L22" s="6"/>
      <c r="M22" s="6"/>
      <c r="N22" s="6"/>
      <c r="O22" s="6"/>
      <c r="P22" s="6"/>
      <c r="Q22" s="6"/>
      <c r="R22" s="6"/>
      <c r="S22" s="6"/>
      <c r="T22" s="6"/>
      <c r="U22" s="6"/>
      <c r="V22" s="6"/>
      <c r="W22" s="6"/>
      <c r="X22" s="6"/>
      <c r="Y22" s="6"/>
      <c r="Z22" s="6"/>
      <c r="AA22" s="6"/>
    </row>
    <row r="23" ht="14.25" customHeight="1">
      <c r="A23" s="12"/>
      <c r="B23" s="6"/>
      <c r="C23" s="6"/>
      <c r="D23" s="6"/>
      <c r="E23" s="6"/>
      <c r="F23" s="6"/>
      <c r="G23" s="6"/>
      <c r="H23" s="6"/>
      <c r="I23" s="6"/>
      <c r="J23" s="6"/>
      <c r="K23" s="6"/>
      <c r="L23" s="6"/>
      <c r="M23" s="6"/>
      <c r="N23" s="6"/>
      <c r="O23" s="6"/>
      <c r="P23" s="6"/>
      <c r="Q23" s="6"/>
      <c r="R23" s="6"/>
      <c r="S23" s="6"/>
      <c r="T23" s="6"/>
      <c r="U23" s="6"/>
      <c r="V23" s="6"/>
      <c r="W23" s="6"/>
      <c r="X23" s="6"/>
      <c r="Y23" s="6"/>
      <c r="Z23" s="6"/>
      <c r="AA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5">
    <mergeCell ref="C1:U1"/>
    <mergeCell ref="C2:U2"/>
    <mergeCell ref="F4:V4"/>
    <mergeCell ref="C6:D6"/>
    <mergeCell ref="F6:G6"/>
  </mergeCells>
  <conditionalFormatting sqref="C9">
    <cfRule type="expression" dxfId="0" priority="1">
      <formula>$D$9</formula>
    </cfRule>
  </conditionalFormatting>
  <conditionalFormatting sqref="C6:D6">
    <cfRule type="expression" dxfId="1" priority="2">
      <formula>FIND(C6,F4,1)</formula>
    </cfRule>
  </conditionalFormatting>
  <conditionalFormatting sqref="F6:G6">
    <cfRule type="expression" dxfId="1" priority="3">
      <formula>FIND(F6,F4,1)</formula>
    </cfRule>
  </conditionalFormatting>
  <dataValidations>
    <dataValidation type="decimal" allowBlank="1" showInputMessage="1" showErrorMessage="1" prompt="Value restriction - to between the mean value entered and 2,000" sqref="J10 J12">
      <formula1>F10</formula1>
      <formula2>2000.0</formula2>
    </dataValidation>
    <dataValidation type="decimal" allowBlank="1" showInputMessage="1" showErrorMessage="1" prompt="Positive value - between the mean value entered and the mean value multiplied by 5 (i.e. up to a five-fold increase in costs)" sqref="J11 J13">
      <formula1>F11</formula1>
      <formula2>F11*5</formula2>
    </dataValidation>
    <dataValidation type="decimal" allowBlank="1" showInputMessage="1" showErrorMessage="1" prompt="Value restriction - to between -2,000 and the mean value entered" sqref="I10 I12">
      <formula1>-2000.0</formula1>
      <formula2>F10</formula2>
    </dataValidation>
    <dataValidation type="decimal" operator="greaterThan" allowBlank="1" showInputMessage="1" showErrorMessage="1" prompt="Positive value - Greater than 0" sqref="H15:H16 H19:H20 H22">
      <formula1>0.0</formula1>
    </dataValidation>
    <dataValidation type="decimal" operator="greaterThanOrEqual" allowBlank="1" showErrorMessage="1" sqref="F11 F13 F15:F16 F19:F20 F22">
      <formula1>0.0</formula1>
    </dataValidation>
    <dataValidation type="decimal" allowBlank="1" showInputMessage="1" showErrorMessage="1" prompt="Positive value - Between 0 and the mean value entered" sqref="I11 I13">
      <formula1>0.0</formula1>
      <formula2>F11</formula2>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2" width="7.75"/>
    <col customWidth="1" min="3" max="4" width="8.63"/>
    <col customWidth="1" min="5" max="5" width="3.0"/>
    <col customWidth="1" min="6" max="6" width="18.25"/>
    <col customWidth="1" min="7" max="7" width="8.63"/>
    <col customWidth="1" min="8" max="8" width="18.88"/>
    <col customWidth="1" min="9" max="9" width="8.63"/>
    <col customWidth="1" min="10" max="10" width="16.5"/>
    <col customWidth="1" min="11" max="11" width="8.63"/>
    <col customWidth="1" min="12" max="12" width="11.13"/>
    <col customWidth="1" min="13" max="17" width="3.63"/>
    <col customWidth="1" min="18" max="18" width="4.63"/>
    <col customWidth="1" min="19" max="19" width="11.13"/>
    <col customWidth="1" min="20" max="20" width="4.63"/>
    <col customWidth="1" min="21" max="21" width="13.13"/>
    <col customWidth="1" min="22" max="22" width="2.63"/>
    <col customWidth="1" min="23"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2"/>
      <c r="Y1" s="2"/>
      <c r="Z1" s="2"/>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8"/>
      <c r="Y2" s="8"/>
      <c r="Z2" s="8"/>
      <c r="AA2" s="6"/>
    </row>
    <row r="3" ht="14.25" customHeight="1">
      <c r="A3" s="12"/>
      <c r="B3" s="26"/>
      <c r="C3" s="26"/>
      <c r="D3" s="26"/>
      <c r="E3" s="26"/>
      <c r="F3" s="26"/>
      <c r="G3" s="26"/>
      <c r="H3" s="26"/>
      <c r="I3" s="26"/>
      <c r="J3" s="26"/>
      <c r="K3" s="26"/>
      <c r="L3" s="26"/>
      <c r="M3" s="26"/>
      <c r="N3" s="26"/>
      <c r="O3" s="26"/>
      <c r="P3" s="26"/>
      <c r="Q3" s="26"/>
      <c r="R3" s="26"/>
      <c r="S3" s="26"/>
      <c r="T3" s="26"/>
      <c r="U3" s="26"/>
      <c r="V3" s="26"/>
      <c r="W3" s="26"/>
      <c r="X3" s="26"/>
      <c r="Y3" s="26"/>
      <c r="Z3" s="26"/>
      <c r="AA3" s="6"/>
    </row>
    <row r="4" ht="21.0" customHeight="1">
      <c r="A4" s="13" t="s">
        <v>2</v>
      </c>
      <c r="B4" s="14"/>
      <c r="C4" s="15" t="s">
        <v>38</v>
      </c>
      <c r="D4" s="15"/>
      <c r="E4" s="15"/>
      <c r="F4" s="16" t="str">
        <f>"Base case: "&amp;i_Set_Time&amp;" year"</f>
        <v>Base case: 1 year</v>
      </c>
      <c r="G4" s="17"/>
      <c r="H4" s="17"/>
      <c r="I4" s="17"/>
      <c r="J4" s="17"/>
      <c r="K4" s="17"/>
      <c r="L4" s="17"/>
      <c r="M4" s="17"/>
      <c r="N4" s="17"/>
      <c r="O4" s="17"/>
      <c r="P4" s="17"/>
      <c r="Q4" s="17"/>
      <c r="R4" s="17"/>
      <c r="S4" s="17"/>
      <c r="T4" s="17"/>
      <c r="U4" s="17"/>
      <c r="V4" s="18"/>
      <c r="W4" s="14"/>
      <c r="X4" s="14"/>
      <c r="Y4" s="14"/>
      <c r="Z4" s="14"/>
      <c r="AA4" s="6"/>
    </row>
    <row r="5" ht="14.25" customHeight="1">
      <c r="A5" s="12"/>
      <c r="B5" s="26"/>
      <c r="C5" s="26"/>
      <c r="D5" s="26"/>
      <c r="E5" s="26"/>
      <c r="F5" s="26"/>
      <c r="G5" s="26"/>
      <c r="H5" s="26"/>
      <c r="I5" s="26"/>
      <c r="J5" s="26"/>
      <c r="K5" s="26"/>
      <c r="L5" s="26"/>
      <c r="M5" s="26"/>
      <c r="N5" s="26"/>
      <c r="O5" s="26"/>
      <c r="P5" s="26"/>
      <c r="Q5" s="26"/>
      <c r="R5" s="26"/>
      <c r="S5" s="26"/>
      <c r="T5" s="26"/>
      <c r="U5" s="26"/>
      <c r="V5" s="26"/>
      <c r="W5" s="26"/>
      <c r="X5" s="26"/>
      <c r="Y5" s="26"/>
      <c r="Z5" s="26"/>
      <c r="AA5" s="6"/>
    </row>
    <row r="6" ht="14.25" customHeight="1">
      <c r="A6" s="19" t="s">
        <v>7</v>
      </c>
      <c r="B6" s="6"/>
      <c r="C6" s="6"/>
      <c r="D6" s="6"/>
      <c r="E6" s="6"/>
      <c r="F6" s="6"/>
      <c r="G6" s="6"/>
      <c r="H6" s="6"/>
      <c r="I6" s="6"/>
      <c r="J6" s="6"/>
      <c r="K6" s="6"/>
      <c r="L6" s="6"/>
      <c r="M6" s="6"/>
      <c r="N6" s="6"/>
      <c r="O6" s="6"/>
      <c r="P6" s="6"/>
      <c r="Q6" s="6"/>
      <c r="R6" s="6"/>
      <c r="S6" s="6"/>
      <c r="U6" s="6"/>
      <c r="V6" s="6"/>
      <c r="W6" s="6"/>
      <c r="X6" s="6"/>
      <c r="Y6" s="6"/>
      <c r="Z6" s="6"/>
      <c r="AA6" s="6"/>
    </row>
    <row r="7" ht="14.25" customHeight="1">
      <c r="A7" s="12"/>
      <c r="B7" s="6"/>
      <c r="C7" s="6"/>
      <c r="D7" s="6"/>
      <c r="E7" s="6"/>
      <c r="F7" s="6"/>
      <c r="G7" s="6"/>
      <c r="H7" s="6"/>
      <c r="I7" s="6"/>
      <c r="J7" s="6"/>
      <c r="K7" s="6"/>
      <c r="L7" s="6"/>
      <c r="M7" s="6"/>
      <c r="N7" s="6"/>
      <c r="O7" s="6"/>
      <c r="P7" s="6"/>
      <c r="Q7" s="6"/>
      <c r="R7" s="6"/>
      <c r="S7" s="6"/>
      <c r="U7" s="26">
        <v>5.0</v>
      </c>
      <c r="V7" s="6"/>
      <c r="W7" s="6"/>
      <c r="X7" s="6"/>
      <c r="Y7" s="6"/>
      <c r="Z7" s="6"/>
      <c r="AA7" s="6"/>
    </row>
    <row r="8" ht="14.25" customHeight="1">
      <c r="A8" s="19" t="s">
        <v>4</v>
      </c>
      <c r="B8" s="6"/>
      <c r="C8" s="22" t="s">
        <v>9</v>
      </c>
      <c r="D8" s="22"/>
      <c r="E8" s="22"/>
      <c r="F8" s="22" t="s">
        <v>138</v>
      </c>
      <c r="G8" s="22"/>
      <c r="H8" s="22" t="s">
        <v>139</v>
      </c>
      <c r="I8" s="22"/>
      <c r="J8" s="22" t="s">
        <v>140</v>
      </c>
      <c r="K8" s="6"/>
      <c r="U8" s="28">
        <v>41.0</v>
      </c>
      <c r="V8" s="6"/>
      <c r="W8" s="6"/>
      <c r="X8" s="6"/>
      <c r="Y8" s="6"/>
      <c r="Z8" s="6"/>
      <c r="AA8" s="6"/>
    </row>
    <row r="9" ht="14.25" customHeight="1">
      <c r="A9" s="12"/>
      <c r="B9" s="6"/>
      <c r="C9" s="6"/>
      <c r="D9" s="6"/>
      <c r="E9" s="6"/>
      <c r="F9" s="6"/>
      <c r="G9" s="6"/>
      <c r="H9" s="6"/>
      <c r="I9" s="6"/>
      <c r="J9" s="6"/>
      <c r="K9" s="6"/>
      <c r="L9" s="6"/>
      <c r="M9" s="6"/>
      <c r="N9" s="6"/>
      <c r="O9" s="6"/>
      <c r="P9" s="6"/>
      <c r="Q9" s="6"/>
      <c r="U9" s="6"/>
      <c r="V9" s="6"/>
      <c r="W9" s="6"/>
      <c r="X9" s="6"/>
      <c r="Y9" s="6"/>
      <c r="Z9" s="6"/>
      <c r="AA9" s="6"/>
    </row>
    <row r="10" ht="14.25" customHeight="1">
      <c r="A10" s="19" t="s">
        <v>3</v>
      </c>
      <c r="B10" s="6"/>
      <c r="C10" s="21" t="s">
        <v>57</v>
      </c>
      <c r="D10" s="26"/>
      <c r="E10" s="26"/>
      <c r="F10" s="32" t="str">
        <f>ROUND(i_Int_Kend_MS,2)&amp;"% of patients"</f>
        <v>0% of patients</v>
      </c>
      <c r="G10" s="6"/>
      <c r="H10" s="32" t="str">
        <f>ROUND(i_Int_Kend_MS+i_Int_Kend_MS_inc,2)&amp;"% of patients"</f>
        <v>100% of patients</v>
      </c>
      <c r="I10" s="6"/>
      <c r="L10" s="53"/>
      <c r="U10" s="28">
        <v>10.0</v>
      </c>
      <c r="V10" s="6"/>
      <c r="W10" s="6"/>
      <c r="X10" s="6"/>
      <c r="Y10" s="6"/>
      <c r="Z10" s="6"/>
      <c r="AA10" s="6"/>
    </row>
    <row r="11" ht="14.25" customHeight="1">
      <c r="A11" s="12"/>
      <c r="B11" s="6"/>
      <c r="C11" s="20" t="s">
        <v>141</v>
      </c>
      <c r="D11" s="6"/>
      <c r="E11" s="6"/>
      <c r="F11" s="54" t="str">
        <f>'Results summary'!N7</f>
        <v>#VALUE!</v>
      </c>
      <c r="G11" s="6" t="str">
        <f>Currency</f>
        <v>USD</v>
      </c>
      <c r="H11" s="54" t="str">
        <f>'Results summary'!O7</f>
        <v>#VALUE!</v>
      </c>
      <c r="I11" s="6" t="str">
        <f>Currency</f>
        <v>USD</v>
      </c>
      <c r="J11" s="54" t="str">
        <f>H11-F11</f>
        <v>#VALUE!</v>
      </c>
      <c r="K11" t="str">
        <f>IF(J11&lt;0,"Scenario 2 is cost saving",IF(J11&gt;0,"Scenario 1 is cost saving","cost equivalence"))</f>
        <v>#VALUE!</v>
      </c>
      <c r="L11" s="6"/>
      <c r="M11" s="6"/>
      <c r="N11" s="6"/>
      <c r="O11" s="6"/>
      <c r="P11" s="6"/>
      <c r="S11" s="53" t="str">
        <f>F11/200</f>
        <v>#VALUE!</v>
      </c>
      <c r="U11" s="53" t="str">
        <f>H11/200</f>
        <v>#VALUE!</v>
      </c>
      <c r="V11" s="6"/>
      <c r="W11" s="55"/>
      <c r="X11" s="6"/>
      <c r="Y11" s="6"/>
      <c r="Z11" s="6"/>
      <c r="AA11" s="6"/>
    </row>
    <row r="12" ht="14.25" customHeight="1">
      <c r="A12" s="19" t="s">
        <v>22</v>
      </c>
      <c r="B12" s="6"/>
      <c r="C12" s="6"/>
      <c r="D12" s="6"/>
      <c r="E12" s="6"/>
      <c r="F12" s="6"/>
      <c r="G12" s="6"/>
      <c r="H12" s="6"/>
      <c r="I12" s="6"/>
      <c r="J12" s="6"/>
      <c r="K12" s="6"/>
      <c r="N12" s="56"/>
      <c r="S12" s="53"/>
      <c r="U12" s="53"/>
      <c r="V12" s="6"/>
      <c r="W12" s="6"/>
      <c r="X12" s="6"/>
      <c r="Y12" s="6"/>
      <c r="Z12" s="6"/>
      <c r="AA12" s="6"/>
    </row>
    <row r="13" ht="14.25" customHeight="1">
      <c r="A13" s="12"/>
      <c r="B13" s="6"/>
      <c r="C13" s="57" t="s">
        <v>142</v>
      </c>
      <c r="D13" s="6"/>
      <c r="E13" s="6"/>
      <c r="F13" s="6"/>
      <c r="G13" s="6"/>
      <c r="H13" s="6"/>
      <c r="I13" s="6"/>
      <c r="J13" s="6"/>
      <c r="K13" s="6"/>
      <c r="L13" s="6"/>
      <c r="U13" s="6"/>
      <c r="V13" s="6"/>
      <c r="W13" s="6"/>
      <c r="X13" s="6"/>
      <c r="Y13" s="6"/>
      <c r="Z13" s="6"/>
      <c r="AA13" s="6"/>
    </row>
    <row r="14" ht="14.25" customHeight="1">
      <c r="A14" s="19" t="s">
        <v>43</v>
      </c>
      <c r="B14" s="6"/>
      <c r="C14" s="21" t="s">
        <v>143</v>
      </c>
      <c r="D14" s="6"/>
      <c r="E14" s="6"/>
      <c r="F14" s="54">
        <f>'Results summary'!N8</f>
        <v>471.756562</v>
      </c>
      <c r="G14" s="6" t="s">
        <v>71</v>
      </c>
      <c r="H14" s="54">
        <f>'Results summary'!O8</f>
        <v>467.5611237</v>
      </c>
      <c r="I14" s="6" t="s">
        <v>71</v>
      </c>
      <c r="J14" s="58">
        <f t="shared" ref="J14:J15" si="1">H14-F14</f>
        <v>-4.195438255</v>
      </c>
      <c r="K14" s="26" t="str">
        <f>IF(J14&lt;0,"Scenario 2 reduces resource use associated with "&amp;C14,IF(J14&gt;0,"Scenario 1 reduces resource use  associated with "&amp;C14,"Equivalence"))</f>
        <v>Scenario 2 reduces resource use associated with ICU days</v>
      </c>
      <c r="L14" s="6"/>
      <c r="M14" s="26"/>
      <c r="S14" s="53">
        <f t="shared" ref="S14:S15" si="2">F14/200</f>
        <v>2.35878281</v>
      </c>
      <c r="T14" s="26"/>
      <c r="U14" s="53">
        <f t="shared" ref="U14:U15" si="3">H14/200</f>
        <v>2.337805619</v>
      </c>
      <c r="V14" s="6"/>
      <c r="W14" s="6"/>
      <c r="X14" s="6"/>
      <c r="Y14" s="6"/>
      <c r="Z14" s="6"/>
      <c r="AA14" s="6"/>
    </row>
    <row r="15" ht="14.25" customHeight="1">
      <c r="A15" s="12"/>
      <c r="B15" s="6"/>
      <c r="C15" s="21" t="s">
        <v>144</v>
      </c>
      <c r="D15" s="6"/>
      <c r="E15" s="6"/>
      <c r="F15" s="54">
        <f>'Results summary'!N10</f>
        <v>2061.632993</v>
      </c>
      <c r="G15" s="6" t="s">
        <v>71</v>
      </c>
      <c r="H15" s="54">
        <f>'Results summary'!O10</f>
        <v>2036.012615</v>
      </c>
      <c r="I15" s="6" t="s">
        <v>71</v>
      </c>
      <c r="J15" s="58">
        <f t="shared" si="1"/>
        <v>-25.62037823</v>
      </c>
      <c r="K15" s="26" t="str">
        <f>IF(J15&lt;0,"Scenario 2 reduces resource use  associated with "&amp;C15,IF(J15&gt;0,"Scenario 1 reduces resource use associated with "&amp;C15,"Equivalence"))</f>
        <v>Scenario 2 reduces resource use  associated with Hospital days</v>
      </c>
      <c r="L15" s="6"/>
      <c r="M15" s="6"/>
      <c r="N15" s="6"/>
      <c r="O15" s="6"/>
      <c r="S15" s="53">
        <f t="shared" si="2"/>
        <v>10.30816496</v>
      </c>
      <c r="T15" s="26"/>
      <c r="U15" s="53">
        <f t="shared" si="3"/>
        <v>10.18006307</v>
      </c>
      <c r="V15" s="6"/>
      <c r="W15" s="6"/>
      <c r="X15" s="6"/>
      <c r="Y15" s="6"/>
      <c r="Z15" s="6"/>
      <c r="AA15" s="6"/>
    </row>
    <row r="16" ht="14.25" customHeight="1">
      <c r="A16" s="19" t="s">
        <v>35</v>
      </c>
      <c r="B16" s="6"/>
      <c r="C16" s="6"/>
      <c r="D16" s="6"/>
      <c r="E16" s="6"/>
      <c r="F16" s="6"/>
      <c r="G16" s="6"/>
      <c r="H16" s="6"/>
      <c r="I16" s="6"/>
      <c r="J16" s="6"/>
      <c r="K16" s="6"/>
      <c r="L16" s="6"/>
      <c r="M16" s="6"/>
      <c r="N16" s="6"/>
      <c r="O16" s="6"/>
      <c r="P16" s="6"/>
      <c r="Q16" s="6"/>
      <c r="R16" s="6"/>
      <c r="S16" s="53"/>
      <c r="T16" s="26"/>
      <c r="U16" s="53"/>
      <c r="V16" s="6"/>
      <c r="W16" s="6"/>
      <c r="X16" s="6"/>
      <c r="Y16" s="6"/>
      <c r="Z16" s="6"/>
      <c r="AA16" s="6"/>
    </row>
    <row r="17" ht="14.25" customHeight="1">
      <c r="A17" s="12"/>
      <c r="B17" s="6"/>
      <c r="C17" s="57" t="s">
        <v>145</v>
      </c>
      <c r="D17" s="6"/>
      <c r="E17" s="6"/>
      <c r="F17" s="6"/>
      <c r="G17" s="6"/>
      <c r="H17" s="6"/>
      <c r="I17" s="6"/>
      <c r="J17" s="6"/>
      <c r="K17" s="6"/>
      <c r="L17" s="6"/>
      <c r="M17" s="6"/>
      <c r="N17" s="6"/>
      <c r="U17" s="6"/>
      <c r="V17" s="6"/>
      <c r="W17" s="6"/>
      <c r="X17" s="6"/>
      <c r="Y17" s="6"/>
      <c r="Z17" s="6"/>
      <c r="AA17" s="6"/>
    </row>
    <row r="18" ht="14.25" customHeight="1">
      <c r="A18" s="19" t="s">
        <v>38</v>
      </c>
      <c r="B18" s="6"/>
      <c r="C18" s="21" t="s">
        <v>146</v>
      </c>
      <c r="D18" s="6"/>
      <c r="E18" s="6"/>
      <c r="F18" s="58">
        <f>'Results summary'!N9</f>
        <v>4.920613921</v>
      </c>
      <c r="G18" s="6" t="s">
        <v>89</v>
      </c>
      <c r="H18" s="58">
        <f>'Results summary'!O9</f>
        <v>3.6535426</v>
      </c>
      <c r="I18" s="6" t="s">
        <v>89</v>
      </c>
      <c r="J18" s="58">
        <f>H18-F18</f>
        <v>-1.267071321</v>
      </c>
      <c r="K18" s="26" t="str">
        <f>IF(J18&lt;0,"Scenario 2 increases patient safety associated with "&amp;C18,IF(J18&gt;0,"Scenario 1 increases patient safety associated with "&amp;C18,"Equivalence"))</f>
        <v>Scenario 2 increases patient safety associated with Readmissions</v>
      </c>
      <c r="O18" s="6"/>
      <c r="P18" s="6"/>
      <c r="S18" s="53">
        <f>F18/200</f>
        <v>0.0246030696</v>
      </c>
      <c r="T18" s="26"/>
      <c r="U18" s="53">
        <f>H18/200</f>
        <v>0.018267713</v>
      </c>
      <c r="V18" s="6"/>
      <c r="W18" s="6"/>
      <c r="X18" s="6"/>
      <c r="Y18" s="6"/>
      <c r="Z18" s="6"/>
      <c r="AA18" s="6"/>
    </row>
    <row r="19" ht="14.25" customHeight="1">
      <c r="A19" s="12"/>
      <c r="B19" s="6"/>
      <c r="C19" s="6"/>
      <c r="D19" s="6"/>
      <c r="E19" s="6"/>
      <c r="F19" s="6"/>
      <c r="G19" s="6"/>
      <c r="H19" s="6"/>
      <c r="I19" s="6"/>
      <c r="J19" s="6"/>
      <c r="K19" s="6"/>
      <c r="L19" s="6"/>
      <c r="M19" s="6"/>
      <c r="N19" s="6"/>
      <c r="U19" s="6"/>
      <c r="V19" s="6"/>
      <c r="W19" s="6"/>
      <c r="X19" s="6"/>
      <c r="Y19" s="6"/>
      <c r="Z19" s="6"/>
      <c r="AA19" s="6"/>
    </row>
    <row r="20" ht="14.25" customHeight="1">
      <c r="A20" s="19" t="s">
        <v>42</v>
      </c>
      <c r="B20" s="6"/>
      <c r="C20" s="26"/>
      <c r="J20" s="53"/>
      <c r="U20" s="6"/>
      <c r="V20" s="6"/>
      <c r="W20" s="6"/>
      <c r="X20" s="6"/>
      <c r="Y20" s="6"/>
      <c r="Z20" s="6"/>
      <c r="AA20" s="6"/>
    </row>
    <row r="21" ht="14.25" customHeight="1">
      <c r="A21" s="12"/>
      <c r="B21" s="6"/>
      <c r="U21" s="6"/>
      <c r="V21" s="6"/>
      <c r="W21" s="6"/>
      <c r="X21" s="6"/>
      <c r="Y21" s="6"/>
      <c r="Z21" s="6"/>
      <c r="AA21" s="6"/>
    </row>
    <row r="22" ht="14.25" customHeight="1">
      <c r="A22" s="12"/>
      <c r="B22" s="6"/>
      <c r="I22" s="26"/>
      <c r="J22" s="26"/>
      <c r="K22" s="26"/>
      <c r="L22" s="26"/>
      <c r="M22" s="26"/>
      <c r="N22" s="26"/>
      <c r="O22" s="26"/>
      <c r="P22" s="26"/>
      <c r="Q22" s="26"/>
      <c r="U22" s="6"/>
      <c r="V22" s="6"/>
      <c r="W22" s="6"/>
      <c r="X22" s="6"/>
      <c r="Y22" s="6"/>
      <c r="Z22" s="6"/>
      <c r="AA22" s="6"/>
    </row>
    <row r="23" ht="14.25" customHeight="1">
      <c r="A23" s="12"/>
      <c r="B23" s="6"/>
      <c r="C23" s="6"/>
      <c r="D23" s="6"/>
      <c r="E23" s="6"/>
      <c r="F23" s="6"/>
      <c r="G23" s="6"/>
      <c r="H23" s="6"/>
      <c r="I23" s="6"/>
      <c r="J23" s="6"/>
      <c r="K23" s="6"/>
      <c r="L23" s="6"/>
      <c r="M23" s="6"/>
      <c r="N23" s="6"/>
      <c r="O23" s="6"/>
      <c r="P23" s="6"/>
      <c r="Q23" s="6"/>
      <c r="R23" s="6"/>
      <c r="S23" s="6"/>
      <c r="T23" s="6"/>
      <c r="U23" s="6"/>
      <c r="V23" s="6"/>
      <c r="W23" s="6"/>
      <c r="X23" s="6"/>
      <c r="Y23" s="6"/>
      <c r="Z23" s="6"/>
      <c r="AA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conditionalFormatting sqref="C10">
    <cfRule type="expression" dxfId="0" priority="1">
      <formula>$D$10</formula>
    </cfRule>
  </conditionalFormatting>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4" width="8.63"/>
    <col customWidth="1" min="5" max="6" width="16.5"/>
    <col customWidth="1" min="7" max="7" width="15.13"/>
    <col customWidth="1" min="8" max="8" width="14.5"/>
    <col customWidth="1" min="9"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2"/>
      <c r="Y1" s="2"/>
      <c r="Z1" s="2"/>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8"/>
      <c r="Y2" s="8"/>
      <c r="Z2" s="8"/>
      <c r="AA2" s="6"/>
    </row>
    <row r="3" ht="14.25" customHeight="1">
      <c r="A3" s="12"/>
      <c r="B3" s="26"/>
      <c r="C3" s="26"/>
      <c r="D3" s="26"/>
      <c r="E3" s="26"/>
      <c r="F3" s="26"/>
      <c r="G3" s="26"/>
      <c r="H3" s="26"/>
      <c r="I3" s="26"/>
      <c r="J3" s="26"/>
      <c r="K3" s="26"/>
      <c r="L3" s="26"/>
      <c r="M3" s="26"/>
      <c r="N3" s="26"/>
      <c r="O3" s="26"/>
      <c r="P3" s="26"/>
      <c r="Q3" s="26"/>
      <c r="R3" s="26"/>
      <c r="S3" s="26"/>
      <c r="T3" s="26"/>
      <c r="U3" s="26"/>
      <c r="V3" s="26"/>
      <c r="W3" s="26"/>
      <c r="X3" s="26"/>
      <c r="Y3" s="26"/>
      <c r="Z3" s="26"/>
      <c r="AA3" s="6"/>
    </row>
    <row r="4" ht="21.0" customHeight="1">
      <c r="A4" s="13" t="s">
        <v>2</v>
      </c>
      <c r="B4" s="14"/>
      <c r="C4" s="15" t="s">
        <v>42</v>
      </c>
      <c r="D4" s="15"/>
      <c r="E4" s="15"/>
      <c r="F4" s="16" t="s">
        <v>147</v>
      </c>
      <c r="G4" s="17"/>
      <c r="H4" s="17"/>
      <c r="I4" s="17"/>
      <c r="J4" s="17"/>
      <c r="K4" s="17"/>
      <c r="L4" s="17"/>
      <c r="M4" s="17"/>
      <c r="N4" s="17"/>
      <c r="O4" s="17"/>
      <c r="P4" s="17"/>
      <c r="Q4" s="17"/>
      <c r="R4" s="17"/>
      <c r="S4" s="17"/>
      <c r="T4" s="17"/>
      <c r="U4" s="17"/>
      <c r="V4" s="18"/>
      <c r="W4" s="14"/>
      <c r="X4" s="14"/>
      <c r="Y4" s="14"/>
      <c r="Z4" s="14"/>
      <c r="AA4" s="6"/>
    </row>
    <row r="5" ht="14.25" customHeight="1">
      <c r="A5" s="12"/>
      <c r="B5" s="26"/>
      <c r="C5" s="26"/>
      <c r="D5" s="26"/>
      <c r="E5" s="26"/>
      <c r="F5" s="26"/>
      <c r="G5" s="26"/>
      <c r="H5" s="26"/>
      <c r="I5" s="26"/>
      <c r="J5" s="26"/>
      <c r="K5" s="26"/>
      <c r="L5" s="26"/>
      <c r="M5" s="26"/>
      <c r="N5" s="26"/>
      <c r="O5" s="26"/>
      <c r="P5" s="26"/>
      <c r="Q5" s="26"/>
      <c r="R5" s="26"/>
      <c r="S5" s="26"/>
      <c r="T5" s="26"/>
      <c r="U5" s="26"/>
      <c r="V5" s="26"/>
      <c r="W5" s="26"/>
      <c r="X5" s="26"/>
      <c r="Y5" s="26"/>
      <c r="Z5" s="26"/>
      <c r="AA5" s="6"/>
    </row>
    <row r="6" ht="14.25" customHeight="1">
      <c r="A6" s="19" t="s">
        <v>7</v>
      </c>
      <c r="B6" s="6"/>
      <c r="C6" s="20"/>
      <c r="D6" s="6"/>
      <c r="E6" s="6"/>
      <c r="F6" s="20"/>
      <c r="G6" s="20"/>
      <c r="H6" s="20"/>
      <c r="I6" s="6"/>
      <c r="J6" s="26"/>
      <c r="K6" s="26"/>
      <c r="L6" s="26"/>
      <c r="M6" s="26"/>
      <c r="N6" s="26"/>
      <c r="O6" s="26"/>
      <c r="P6" s="26"/>
      <c r="Q6" s="26"/>
      <c r="R6" s="26"/>
      <c r="S6" s="26"/>
      <c r="T6" s="26"/>
      <c r="U6" s="6"/>
      <c r="V6" s="6"/>
      <c r="W6" s="6"/>
      <c r="X6" s="6"/>
      <c r="Y6" s="6"/>
      <c r="Z6" s="6"/>
      <c r="AA6" s="6"/>
    </row>
    <row r="7" ht="14.25" customHeight="1">
      <c r="A7" s="12"/>
      <c r="B7" s="6"/>
      <c r="C7" s="21"/>
      <c r="D7" s="26"/>
      <c r="E7" s="26"/>
      <c r="F7" s="6"/>
      <c r="G7" s="6"/>
      <c r="H7" s="6"/>
      <c r="I7" s="6"/>
      <c r="J7" s="26"/>
      <c r="K7" s="26"/>
      <c r="L7" s="26"/>
      <c r="M7" s="26"/>
      <c r="N7" s="26"/>
      <c r="O7" s="26"/>
      <c r="P7" s="26"/>
      <c r="Q7" s="26"/>
      <c r="R7" s="26"/>
      <c r="S7" s="26"/>
      <c r="T7" s="26"/>
      <c r="U7" s="26">
        <v>5.0</v>
      </c>
      <c r="V7" s="6"/>
      <c r="W7" s="6"/>
      <c r="X7" s="6"/>
      <c r="Y7" s="6"/>
      <c r="Z7" s="6"/>
      <c r="AA7" s="6"/>
    </row>
    <row r="8" ht="14.25" customHeight="1">
      <c r="A8" s="19" t="s">
        <v>4</v>
      </c>
      <c r="B8" s="6"/>
      <c r="C8" s="22" t="s">
        <v>9</v>
      </c>
      <c r="D8" s="22"/>
      <c r="E8" s="22"/>
      <c r="F8" s="23" t="s">
        <v>12</v>
      </c>
      <c r="G8" s="23" t="s">
        <v>13</v>
      </c>
      <c r="K8" s="26"/>
      <c r="L8" s="26"/>
      <c r="M8" s="26"/>
      <c r="N8" s="26"/>
      <c r="O8" s="26"/>
      <c r="P8" s="26"/>
      <c r="Q8" s="26"/>
      <c r="R8" s="26"/>
      <c r="S8" s="26"/>
      <c r="T8" s="26"/>
      <c r="U8" s="28">
        <v>41.0</v>
      </c>
      <c r="V8" s="6"/>
      <c r="W8" s="6"/>
      <c r="X8" s="6"/>
      <c r="Y8" s="6"/>
      <c r="Z8" s="6"/>
      <c r="AA8" s="6"/>
    </row>
    <row r="9" ht="14.25" customHeight="1">
      <c r="A9" s="12"/>
      <c r="B9" s="6"/>
      <c r="C9" s="21"/>
      <c r="D9" s="26"/>
      <c r="E9" s="26"/>
      <c r="F9" s="6"/>
      <c r="G9" s="25"/>
      <c r="H9" s="6"/>
      <c r="I9" s="6"/>
      <c r="J9" s="6"/>
      <c r="K9" s="26"/>
      <c r="L9" s="26"/>
      <c r="M9" s="26"/>
      <c r="N9" s="26"/>
      <c r="O9" s="26"/>
      <c r="P9" s="26"/>
      <c r="Q9" s="26"/>
      <c r="R9" s="26"/>
      <c r="S9" s="26"/>
      <c r="T9" s="26"/>
      <c r="U9" s="6"/>
      <c r="V9" s="6"/>
      <c r="W9" s="6"/>
      <c r="X9" s="6"/>
      <c r="Y9" s="6"/>
      <c r="Z9" s="6"/>
      <c r="AA9" s="6"/>
    </row>
    <row r="10" ht="14.25" customHeight="1">
      <c r="A10" s="19" t="s">
        <v>3</v>
      </c>
      <c r="B10" s="6"/>
      <c r="C10" s="26" t="s">
        <v>148</v>
      </c>
      <c r="D10" s="26"/>
      <c r="E10" s="26"/>
      <c r="F10" s="27">
        <v>2000.0</v>
      </c>
      <c r="G10" s="6" t="s">
        <v>149</v>
      </c>
      <c r="H10" s="6"/>
      <c r="I10" s="6"/>
      <c r="J10" s="6"/>
      <c r="K10" s="26"/>
      <c r="L10" s="26"/>
      <c r="M10" s="26"/>
      <c r="N10" s="26"/>
      <c r="O10" s="26"/>
      <c r="P10" s="26"/>
      <c r="Q10" s="26"/>
      <c r="R10" s="26"/>
      <c r="S10" s="26"/>
      <c r="T10" s="26"/>
      <c r="U10" s="28">
        <v>10.0</v>
      </c>
      <c r="V10" s="6"/>
      <c r="W10" s="6"/>
      <c r="X10" s="6"/>
      <c r="Y10" s="6"/>
      <c r="Z10" s="6"/>
      <c r="AA10" s="6"/>
    </row>
    <row r="11" ht="14.25" customHeight="1">
      <c r="A11" s="12"/>
      <c r="B11" s="6"/>
      <c r="C11" s="6" t="s">
        <v>150</v>
      </c>
      <c r="D11" s="6"/>
      <c r="E11" s="6"/>
      <c r="F11" s="27">
        <v>5.0</v>
      </c>
      <c r="G11" s="26" t="s">
        <v>151</v>
      </c>
      <c r="H11" s="26"/>
      <c r="I11" s="26"/>
      <c r="J11" s="26"/>
      <c r="K11" s="26"/>
      <c r="L11" s="26"/>
      <c r="M11" s="26"/>
      <c r="N11" s="26"/>
      <c r="O11" s="26"/>
      <c r="P11" s="26"/>
      <c r="Q11" s="26"/>
      <c r="R11" s="26"/>
      <c r="S11" s="26"/>
      <c r="T11" s="26"/>
      <c r="U11" s="6"/>
      <c r="V11" s="6"/>
      <c r="W11" s="6"/>
      <c r="X11" s="6"/>
      <c r="Y11" s="6"/>
      <c r="Z11" s="6"/>
      <c r="AA11" s="6"/>
    </row>
    <row r="12" ht="14.25" customHeight="1">
      <c r="A12" s="19" t="s">
        <v>22</v>
      </c>
      <c r="B12" s="6"/>
      <c r="L12" s="26"/>
      <c r="M12" s="26"/>
      <c r="N12" s="26"/>
      <c r="O12" s="26"/>
      <c r="P12" s="26"/>
      <c r="Q12" s="26"/>
      <c r="R12" s="26"/>
      <c r="S12" s="26"/>
      <c r="T12" s="26"/>
      <c r="U12" s="28">
        <v>12.0</v>
      </c>
      <c r="V12" s="6"/>
      <c r="W12" s="6"/>
      <c r="X12" s="6"/>
      <c r="Y12" s="6"/>
      <c r="Z12" s="6"/>
      <c r="AA12" s="6"/>
    </row>
    <row r="13" ht="14.25" customHeight="1">
      <c r="A13" s="12"/>
      <c r="B13" s="6"/>
      <c r="C13" s="22" t="s">
        <v>152</v>
      </c>
      <c r="D13" s="22"/>
      <c r="E13" s="22"/>
      <c r="F13" s="22"/>
      <c r="G13" s="22"/>
      <c r="H13" s="26"/>
      <c r="I13" s="6"/>
      <c r="J13" s="6"/>
      <c r="L13" s="26"/>
      <c r="M13" s="26"/>
      <c r="N13" s="26"/>
      <c r="O13" s="26"/>
      <c r="P13" s="26"/>
      <c r="Q13" s="26"/>
      <c r="R13" s="26"/>
      <c r="S13" s="26"/>
      <c r="T13" s="26"/>
      <c r="U13" s="6"/>
      <c r="V13" s="6"/>
      <c r="W13" s="6"/>
      <c r="X13" s="6"/>
      <c r="Y13" s="6"/>
      <c r="Z13" s="6"/>
      <c r="AA13" s="6"/>
    </row>
    <row r="14" ht="14.25" customHeight="1">
      <c r="A14" s="19" t="s">
        <v>43</v>
      </c>
      <c r="B14" s="6"/>
      <c r="C14" s="22" t="s">
        <v>153</v>
      </c>
      <c r="D14" s="22"/>
      <c r="E14" s="22" t="s">
        <v>154</v>
      </c>
      <c r="F14" s="23" t="s">
        <v>155</v>
      </c>
      <c r="G14" s="23" t="s">
        <v>156</v>
      </c>
      <c r="H14" s="6"/>
      <c r="I14" s="6"/>
      <c r="J14" s="6"/>
      <c r="L14" s="26"/>
      <c r="M14" s="26"/>
      <c r="N14" s="26"/>
      <c r="O14" s="26"/>
      <c r="P14" s="26"/>
      <c r="Q14" s="26"/>
      <c r="R14" s="26"/>
      <c r="S14" s="26"/>
      <c r="T14" s="26"/>
      <c r="U14" s="28">
        <v>12.0</v>
      </c>
      <c r="V14" s="6"/>
      <c r="W14" s="6"/>
      <c r="X14" s="6"/>
      <c r="Y14" s="6"/>
      <c r="Z14" s="6"/>
      <c r="AA14" s="6"/>
    </row>
    <row r="15" ht="14.25" customHeight="1">
      <c r="A15" s="12"/>
      <c r="B15" s="6"/>
      <c r="C15" s="6"/>
      <c r="H15" s="6"/>
      <c r="I15" s="6"/>
      <c r="J15" s="6"/>
      <c r="L15" s="26"/>
      <c r="M15" s="26"/>
      <c r="N15" s="26"/>
      <c r="O15" s="26"/>
      <c r="P15" s="26"/>
      <c r="Q15" s="26"/>
      <c r="R15" s="26"/>
      <c r="S15" s="26"/>
      <c r="T15" s="26"/>
      <c r="U15" s="6"/>
      <c r="V15" s="6"/>
      <c r="W15" s="6"/>
      <c r="X15" s="6"/>
      <c r="Y15" s="6"/>
      <c r="Z15" s="6"/>
      <c r="AA15" s="6"/>
    </row>
    <row r="16" ht="14.25" customHeight="1">
      <c r="A16" s="19" t="s">
        <v>35</v>
      </c>
      <c r="B16" s="6"/>
      <c r="C16" t="s">
        <v>157</v>
      </c>
      <c r="E16" s="59">
        <f>'Sensitivity results'!S8</f>
        <v>-103597.1903</v>
      </c>
      <c r="F16" s="59">
        <f>'Sensitivity results'!S9</f>
        <v>-212694.0275</v>
      </c>
      <c r="G16" s="59">
        <f>'Sensitivity results'!S10</f>
        <v>-42794.79531</v>
      </c>
      <c r="H16" s="6"/>
      <c r="I16" s="6"/>
      <c r="J16" s="6"/>
      <c r="K16" s="6"/>
      <c r="L16" s="26"/>
      <c r="M16" s="26"/>
      <c r="N16" s="26"/>
      <c r="O16" s="26"/>
      <c r="P16" s="26"/>
      <c r="Q16" s="26"/>
      <c r="R16" s="26"/>
      <c r="S16" s="26"/>
      <c r="T16" s="26"/>
      <c r="U16" s="28">
        <v>25.0</v>
      </c>
      <c r="V16" s="6"/>
      <c r="W16" s="6"/>
      <c r="X16" s="6"/>
      <c r="Y16" s="6"/>
      <c r="Z16" s="6"/>
      <c r="AA16" s="6"/>
    </row>
    <row r="17" ht="14.25" customHeight="1">
      <c r="A17" s="12"/>
      <c r="B17" s="6"/>
      <c r="C17" t="s">
        <v>143</v>
      </c>
      <c r="E17" s="59">
        <f>'Sensitivity results'!T8</f>
        <v>-4.091789066</v>
      </c>
      <c r="F17" s="59">
        <f>'Sensitivity results'!T9</f>
        <v>-9.607935809</v>
      </c>
      <c r="G17" s="59">
        <f>'Sensitivity results'!T10</f>
        <v>-1.538624588</v>
      </c>
      <c r="H17" s="6"/>
      <c r="I17" s="6"/>
      <c r="J17" s="6"/>
      <c r="L17" s="26"/>
      <c r="M17" s="26"/>
      <c r="N17" s="26"/>
      <c r="O17" s="26"/>
      <c r="P17" s="26"/>
      <c r="Q17" s="26"/>
      <c r="R17" s="26"/>
      <c r="S17" s="26"/>
      <c r="T17" s="26"/>
      <c r="U17" s="6"/>
      <c r="V17" s="6"/>
      <c r="W17" s="6"/>
      <c r="X17" s="6"/>
      <c r="Y17" s="6"/>
      <c r="Z17" s="6"/>
      <c r="AA17" s="6"/>
    </row>
    <row r="18" ht="14.25" customHeight="1">
      <c r="A18" s="19" t="s">
        <v>38</v>
      </c>
      <c r="B18" s="6"/>
      <c r="C18" t="s">
        <v>146</v>
      </c>
      <c r="E18" s="59">
        <f>'Sensitivity results'!U8</f>
        <v>-1.283548797</v>
      </c>
      <c r="F18" s="59">
        <f>'Sensitivity results'!U9</f>
        <v>-2.069004233</v>
      </c>
      <c r="G18" s="59">
        <f>'Sensitivity results'!U10</f>
        <v>-0.6029150051</v>
      </c>
      <c r="H18" s="6"/>
      <c r="L18" s="26"/>
      <c r="M18" s="26"/>
      <c r="N18" s="26"/>
      <c r="O18" s="26"/>
      <c r="P18" s="26"/>
      <c r="Q18" s="26"/>
      <c r="R18" s="26"/>
      <c r="S18" s="26"/>
      <c r="T18" s="26"/>
      <c r="U18" s="30">
        <f>SUMIF($F$8:$F$13,"=Yes",U8:U16)</f>
        <v>0</v>
      </c>
      <c r="V18" s="6"/>
      <c r="W18" s="6"/>
      <c r="X18" s="6"/>
      <c r="Y18" s="6"/>
      <c r="Z18" s="6"/>
      <c r="AA18" s="6"/>
    </row>
    <row r="19" ht="14.25" customHeight="1">
      <c r="A19" s="12"/>
      <c r="B19" s="6"/>
      <c r="C19" s="6"/>
      <c r="D19" s="6"/>
      <c r="E19" s="6"/>
      <c r="F19" s="6"/>
      <c r="G19" s="6"/>
      <c r="L19" s="26"/>
      <c r="M19" s="26"/>
      <c r="N19" s="26"/>
      <c r="O19" s="26"/>
      <c r="P19" s="26"/>
      <c r="Q19" s="26"/>
      <c r="R19" s="26"/>
      <c r="S19" s="26"/>
      <c r="T19" s="26"/>
      <c r="U19" s="6"/>
      <c r="V19" s="6"/>
      <c r="W19" s="6"/>
      <c r="X19" s="6"/>
      <c r="Y19" s="6"/>
      <c r="Z19" s="6"/>
      <c r="AA19" s="6"/>
    </row>
    <row r="20" ht="14.25" customHeight="1">
      <c r="A20" s="19" t="s">
        <v>42</v>
      </c>
      <c r="B20" s="6"/>
      <c r="L20" s="26"/>
      <c r="M20" s="26"/>
      <c r="N20" s="26"/>
      <c r="O20" s="26"/>
      <c r="P20" s="26"/>
      <c r="Q20" s="26"/>
      <c r="R20" s="26"/>
      <c r="S20" s="26"/>
      <c r="T20" s="26"/>
      <c r="U20" s="6"/>
      <c r="V20" s="6"/>
      <c r="W20" s="6"/>
      <c r="X20" s="6"/>
      <c r="Y20" s="6"/>
      <c r="Z20" s="6"/>
      <c r="AA20" s="6"/>
    </row>
    <row r="21" ht="14.25" customHeight="1">
      <c r="A21" s="12"/>
      <c r="B21" s="6"/>
      <c r="C21" s="22" t="s">
        <v>158</v>
      </c>
      <c r="D21" s="22"/>
      <c r="E21" s="22"/>
      <c r="F21" s="22"/>
      <c r="G21" s="22"/>
      <c r="I21" s="26"/>
      <c r="L21" s="26"/>
      <c r="M21" s="26"/>
      <c r="N21" s="26"/>
      <c r="O21" s="26"/>
      <c r="P21" s="26"/>
      <c r="Q21" s="26"/>
      <c r="R21" s="26"/>
      <c r="S21" s="26"/>
      <c r="T21" s="26"/>
      <c r="U21" s="6"/>
      <c r="V21" s="6"/>
      <c r="W21" s="6"/>
      <c r="X21" s="6"/>
      <c r="Y21" s="6"/>
      <c r="Z21" s="6"/>
      <c r="AA21" s="6"/>
    </row>
    <row r="22" ht="14.25" customHeight="1">
      <c r="A22" s="12"/>
      <c r="B22" s="6"/>
      <c r="L22" s="26"/>
      <c r="M22" s="26"/>
      <c r="N22" s="26"/>
      <c r="O22" s="26"/>
      <c r="P22" s="26"/>
      <c r="Q22" s="26"/>
      <c r="R22" s="26"/>
      <c r="S22" s="26"/>
      <c r="T22" s="26"/>
      <c r="U22" s="6"/>
      <c r="V22" s="6"/>
      <c r="W22" s="6"/>
      <c r="X22" s="6"/>
      <c r="Y22" s="6"/>
      <c r="Z22" s="6"/>
      <c r="AA22" s="6"/>
    </row>
    <row r="23" ht="14.25" customHeight="1">
      <c r="A23" s="12"/>
      <c r="B23" s="6"/>
      <c r="C23" s="26" t="s">
        <v>159</v>
      </c>
      <c r="D23" s="26"/>
      <c r="E23" s="26"/>
      <c r="F23" s="27">
        <v>50.0</v>
      </c>
      <c r="G23" s="6" t="s">
        <v>34</v>
      </c>
      <c r="H23" s="6"/>
      <c r="I23" s="6"/>
      <c r="J23" s="6"/>
      <c r="K23" s="6"/>
      <c r="L23" s="6"/>
      <c r="M23" s="6"/>
      <c r="N23" s="6"/>
      <c r="O23" s="6"/>
      <c r="P23" s="6"/>
      <c r="Q23" s="6"/>
      <c r="R23" s="6"/>
      <c r="S23" s="6"/>
      <c r="T23" s="6"/>
      <c r="U23" s="6"/>
      <c r="V23" s="6"/>
      <c r="W23" s="6"/>
      <c r="X23" s="6"/>
      <c r="Y23" s="6"/>
      <c r="Z23" s="6"/>
      <c r="AA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conditionalFormatting sqref="C7">
    <cfRule type="expression" dxfId="0" priority="1">
      <formula>$D$7</formula>
    </cfRule>
  </conditionalFormatting>
  <conditionalFormatting sqref="C9">
    <cfRule type="expression" dxfId="0" priority="2">
      <formula>$D$9</formula>
    </cfRule>
  </conditionalFormatting>
  <dataValidations>
    <dataValidation type="decimal" allowBlank="1" showInputMessage="1" showErrorMessage="1" prompt="Integer value required - Min 1 and max 99" sqref="F23">
      <formula1>1.0</formula1>
      <formula2>99.0</formula2>
    </dataValidation>
    <dataValidation type="decimal" allowBlank="1" showInputMessage="1" showErrorMessage="1" prompt="Positive integer - Between 1 and 2000" sqref="F10:F11">
      <formula1>1.0</formula1>
      <formula2>2000.0</formula2>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0"/>
    <col customWidth="1" min="2" max="3" width="8.63"/>
    <col customWidth="1" min="4" max="4" width="10.13"/>
    <col customWidth="1" min="5" max="8" width="8.63"/>
    <col customWidth="1" min="9" max="10" width="10.13"/>
    <col customWidth="1" min="11" max="12" width="11.5"/>
    <col customWidth="1" min="13"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6"/>
      <c r="X2" s="6"/>
      <c r="Y2" s="6"/>
      <c r="Z2" s="6"/>
      <c r="AA2" s="6"/>
    </row>
    <row r="3" ht="14.25" customHeight="1">
      <c r="A3" s="12"/>
      <c r="W3" s="6"/>
      <c r="X3" s="6"/>
      <c r="Y3" s="6"/>
      <c r="Z3" s="6"/>
      <c r="AA3" s="6"/>
    </row>
    <row r="4" ht="21.0" customHeight="1">
      <c r="A4" s="13" t="s">
        <v>2</v>
      </c>
      <c r="B4" s="14"/>
      <c r="C4" s="15" t="s">
        <v>160</v>
      </c>
      <c r="D4" s="15"/>
      <c r="E4" s="15"/>
      <c r="F4" s="16" t="s">
        <v>161</v>
      </c>
      <c r="G4" s="17"/>
      <c r="H4" s="17"/>
      <c r="I4" s="17"/>
      <c r="J4" s="17"/>
      <c r="K4" s="17"/>
      <c r="L4" s="17"/>
      <c r="M4" s="17"/>
      <c r="N4" s="17"/>
      <c r="O4" s="17"/>
      <c r="P4" s="17"/>
      <c r="Q4" s="17"/>
      <c r="R4" s="17"/>
      <c r="S4" s="17"/>
      <c r="T4" s="17"/>
      <c r="U4" s="17"/>
      <c r="V4" s="18"/>
      <c r="W4" s="6"/>
      <c r="X4" s="6"/>
      <c r="Y4" s="6"/>
      <c r="Z4" s="6"/>
      <c r="AA4" s="6"/>
    </row>
    <row r="5" ht="14.25" customHeight="1">
      <c r="A5" s="12"/>
      <c r="W5" s="6"/>
      <c r="X5" s="6"/>
      <c r="Y5" s="6"/>
      <c r="Z5" s="6"/>
      <c r="AA5" s="6"/>
    </row>
    <row r="6" ht="14.25" customHeight="1">
      <c r="A6" s="19" t="s">
        <v>7</v>
      </c>
      <c r="S6" s="6"/>
      <c r="T6" s="6"/>
      <c r="U6" s="6"/>
      <c r="V6" s="6"/>
      <c r="W6" s="6"/>
      <c r="X6" s="6"/>
      <c r="Y6" s="6"/>
      <c r="Z6" s="6"/>
      <c r="AA6" s="6"/>
    </row>
    <row r="7" ht="14.25" customHeight="1">
      <c r="A7" s="12"/>
      <c r="S7" s="6"/>
      <c r="T7" s="6"/>
      <c r="U7" s="6"/>
      <c r="V7" s="6"/>
      <c r="W7" s="6"/>
      <c r="X7" s="6"/>
      <c r="Y7" s="6"/>
      <c r="Z7" s="6"/>
      <c r="AA7" s="6"/>
    </row>
    <row r="8" ht="14.25" customHeight="1">
      <c r="A8" s="19" t="s">
        <v>4</v>
      </c>
      <c r="C8" s="22" t="s">
        <v>9</v>
      </c>
      <c r="D8" s="22"/>
      <c r="E8" s="22"/>
      <c r="F8" s="23" t="s">
        <v>12</v>
      </c>
      <c r="G8" s="23" t="s">
        <v>13</v>
      </c>
      <c r="H8" s="23" t="s">
        <v>14</v>
      </c>
      <c r="I8" s="23" t="s">
        <v>15</v>
      </c>
      <c r="J8" s="23" t="s">
        <v>16</v>
      </c>
      <c r="K8" s="22" t="s">
        <v>17</v>
      </c>
      <c r="L8" s="22" t="s">
        <v>18</v>
      </c>
      <c r="T8" s="6"/>
      <c r="U8" s="6"/>
      <c r="V8" s="6"/>
      <c r="W8" s="6"/>
      <c r="X8" s="6"/>
      <c r="Y8" s="6"/>
      <c r="Z8" s="6"/>
      <c r="AA8" s="6"/>
    </row>
    <row r="9" ht="14.25" customHeight="1">
      <c r="A9" s="12"/>
      <c r="C9" s="21"/>
      <c r="D9" s="26"/>
      <c r="E9" s="26"/>
      <c r="F9" s="6"/>
      <c r="G9" s="25"/>
      <c r="H9" s="6"/>
      <c r="I9" s="6"/>
      <c r="J9" s="6"/>
      <c r="K9" s="6"/>
      <c r="L9" s="6"/>
      <c r="T9" s="6"/>
      <c r="U9" s="6"/>
      <c r="V9" s="6"/>
      <c r="W9" s="6"/>
      <c r="X9" s="6"/>
      <c r="Y9" s="6"/>
      <c r="Z9" s="6"/>
      <c r="AA9" s="6"/>
    </row>
    <row r="10" ht="14.25" customHeight="1">
      <c r="A10" s="19" t="s">
        <v>3</v>
      </c>
      <c r="C10" s="26" t="s">
        <v>162</v>
      </c>
      <c r="D10" s="26"/>
      <c r="E10" s="26"/>
      <c r="F10" s="6"/>
      <c r="G10" s="6"/>
      <c r="H10" s="6"/>
      <c r="I10" s="6"/>
      <c r="J10" s="6"/>
      <c r="K10" s="6"/>
      <c r="L10" s="6"/>
      <c r="T10" s="6"/>
      <c r="U10" s="6"/>
      <c r="V10" s="6"/>
      <c r="W10" s="6"/>
      <c r="X10" s="6"/>
      <c r="Y10" s="6"/>
      <c r="Z10" s="6"/>
      <c r="AA10" s="6"/>
    </row>
    <row r="11" ht="14.25" customHeight="1">
      <c r="A11" s="12"/>
      <c r="C11" s="6" t="s">
        <v>163</v>
      </c>
      <c r="D11" s="6"/>
      <c r="E11" s="6"/>
      <c r="F11" s="27">
        <v>1.8</v>
      </c>
      <c r="G11" s="26" t="s">
        <v>34</v>
      </c>
      <c r="H11" s="26"/>
      <c r="I11" s="26"/>
      <c r="J11" s="26"/>
      <c r="K11" s="6"/>
      <c r="L11" s="6"/>
      <c r="T11" s="6"/>
      <c r="U11" s="6"/>
      <c r="V11" s="6"/>
      <c r="W11" s="6"/>
      <c r="X11" s="6"/>
      <c r="Y11" s="6"/>
      <c r="Z11" s="6"/>
      <c r="AA11" s="6"/>
    </row>
    <row r="12" ht="14.25" customHeight="1">
      <c r="A12" s="19" t="s">
        <v>22</v>
      </c>
      <c r="C12" s="6" t="s">
        <v>164</v>
      </c>
      <c r="D12" s="6"/>
      <c r="E12" s="6"/>
      <c r="F12" s="27">
        <v>3.9</v>
      </c>
      <c r="G12" s="26" t="s">
        <v>34</v>
      </c>
      <c r="H12" s="6"/>
      <c r="I12" s="26"/>
      <c r="J12" s="26"/>
      <c r="K12" s="6"/>
      <c r="L12" s="6"/>
      <c r="T12" s="6"/>
      <c r="U12" s="6"/>
      <c r="V12" s="6"/>
      <c r="W12" s="6"/>
      <c r="X12" s="6"/>
      <c r="Y12" s="6"/>
      <c r="Z12" s="6"/>
      <c r="AA12" s="6"/>
    </row>
    <row r="13" ht="14.25" customHeight="1">
      <c r="A13" s="12"/>
      <c r="C13" s="6" t="s">
        <v>165</v>
      </c>
      <c r="D13" s="6"/>
      <c r="E13" s="6"/>
      <c r="F13" s="27">
        <v>5.6</v>
      </c>
      <c r="G13" s="26" t="s">
        <v>34</v>
      </c>
      <c r="H13" s="6"/>
      <c r="I13" s="26"/>
      <c r="J13" s="26"/>
      <c r="K13" s="6"/>
      <c r="T13" s="6"/>
      <c r="U13" s="6"/>
      <c r="V13" s="6"/>
      <c r="W13" s="6"/>
      <c r="X13" s="6"/>
      <c r="Y13" s="6"/>
      <c r="Z13" s="6"/>
      <c r="AA13" s="6"/>
    </row>
    <row r="14" ht="14.25" customHeight="1">
      <c r="A14" s="19" t="s">
        <v>43</v>
      </c>
      <c r="C14" s="6"/>
      <c r="D14" s="26"/>
      <c r="E14" s="26"/>
      <c r="F14" s="6"/>
      <c r="G14" s="6"/>
      <c r="H14" s="6"/>
      <c r="I14" s="6"/>
      <c r="J14" s="6"/>
      <c r="T14" s="6"/>
      <c r="U14" s="6"/>
      <c r="V14" s="6"/>
      <c r="W14" s="6"/>
      <c r="X14" s="6"/>
      <c r="Y14" s="6"/>
      <c r="Z14" s="6"/>
      <c r="AA14" s="6"/>
    </row>
    <row r="15" ht="14.25" customHeight="1">
      <c r="A15" s="12"/>
      <c r="C15" s="26" t="s">
        <v>166</v>
      </c>
      <c r="D15" s="26"/>
      <c r="E15" s="26"/>
      <c r="F15" s="6"/>
      <c r="G15" s="6"/>
      <c r="H15" s="6"/>
      <c r="I15" s="6"/>
      <c r="J15" s="6"/>
      <c r="T15" s="6"/>
      <c r="U15" s="6"/>
      <c r="V15" s="6"/>
      <c r="W15" s="6"/>
      <c r="X15" s="6"/>
      <c r="Y15" s="6"/>
      <c r="Z15" s="6"/>
      <c r="AA15" s="6"/>
    </row>
    <row r="16" ht="14.25" customHeight="1">
      <c r="A16" s="19" t="s">
        <v>35</v>
      </c>
      <c r="C16" s="6" t="s">
        <v>164</v>
      </c>
      <c r="D16" s="6"/>
      <c r="E16" s="6"/>
      <c r="F16" s="27">
        <v>2.68</v>
      </c>
      <c r="G16" s="6" t="s">
        <v>167</v>
      </c>
      <c r="H16" s="26"/>
      <c r="I16" s="27">
        <v>2.26</v>
      </c>
      <c r="J16" s="27">
        <v>3.17</v>
      </c>
      <c r="T16" s="6"/>
      <c r="U16" s="6"/>
      <c r="V16" s="6"/>
      <c r="W16" s="6"/>
      <c r="X16" s="6"/>
      <c r="Y16" s="6"/>
      <c r="Z16" s="6"/>
      <c r="AA16" s="6"/>
    </row>
    <row r="17" ht="14.25" customHeight="1">
      <c r="A17" s="12"/>
      <c r="C17" s="6" t="s">
        <v>165</v>
      </c>
      <c r="D17" s="6"/>
      <c r="E17" s="6"/>
      <c r="F17" s="27">
        <v>3.95</v>
      </c>
      <c r="G17" s="6" t="s">
        <v>167</v>
      </c>
      <c r="H17" s="26"/>
      <c r="I17" s="27">
        <v>3.45</v>
      </c>
      <c r="J17" s="27">
        <v>4.52</v>
      </c>
      <c r="T17" s="6"/>
      <c r="U17" s="6"/>
      <c r="V17" s="6"/>
      <c r="W17" s="6"/>
      <c r="X17" s="6"/>
      <c r="Y17" s="6"/>
      <c r="Z17" s="6"/>
      <c r="AA17" s="6"/>
    </row>
    <row r="18" ht="14.25" customHeight="1">
      <c r="A18" s="19" t="s">
        <v>38</v>
      </c>
      <c r="C18" s="6" t="s">
        <v>168</v>
      </c>
      <c r="F18" s="27">
        <v>4.67</v>
      </c>
      <c r="G18" s="6" t="s">
        <v>167</v>
      </c>
      <c r="H18" s="6"/>
      <c r="I18" s="27">
        <v>4.13</v>
      </c>
      <c r="J18" s="27">
        <v>5.28</v>
      </c>
      <c r="T18" s="6"/>
      <c r="U18" s="6"/>
      <c r="V18" s="6"/>
      <c r="W18" s="6"/>
      <c r="X18" s="6"/>
      <c r="Y18" s="6"/>
      <c r="Z18" s="6"/>
      <c r="AA18" s="6"/>
    </row>
    <row r="19" ht="14.25" customHeight="1">
      <c r="A19" s="12"/>
      <c r="S19" s="6"/>
      <c r="T19" s="6"/>
      <c r="U19" s="6"/>
      <c r="V19" s="6"/>
      <c r="W19" s="6"/>
      <c r="X19" s="6"/>
      <c r="Y19" s="6"/>
      <c r="Z19" s="6"/>
      <c r="AA19" s="6"/>
    </row>
    <row r="20" ht="14.25" customHeight="1">
      <c r="A20" s="19" t="s">
        <v>42</v>
      </c>
      <c r="C20" s="6" t="s">
        <v>169</v>
      </c>
      <c r="F20" s="27">
        <v>0.61</v>
      </c>
      <c r="G20" s="26" t="s">
        <v>34</v>
      </c>
      <c r="H20" s="28">
        <v>5.748176071474581E-4</v>
      </c>
      <c r="S20" s="6"/>
      <c r="T20" s="6"/>
      <c r="U20" s="6"/>
      <c r="V20" s="6"/>
      <c r="W20" s="6"/>
      <c r="X20" s="6"/>
      <c r="Y20" s="6"/>
      <c r="Z20" s="6"/>
      <c r="AA20" s="6"/>
    </row>
    <row r="21" ht="14.25" customHeight="1">
      <c r="A21" s="12"/>
      <c r="S21" s="6"/>
      <c r="T21" s="6"/>
      <c r="U21" s="6"/>
      <c r="V21" s="6"/>
      <c r="W21" s="6"/>
      <c r="X21" s="6"/>
      <c r="Y21" s="6"/>
      <c r="Z21" s="6"/>
      <c r="AA21" s="6"/>
    </row>
    <row r="22" ht="14.25" customHeight="1">
      <c r="A22" s="12"/>
      <c r="B22" s="6"/>
      <c r="C22" s="6" t="s">
        <v>170</v>
      </c>
      <c r="D22" s="6"/>
      <c r="E22" s="6"/>
      <c r="F22" s="28">
        <v>7.9</v>
      </c>
      <c r="G22" s="6" t="s">
        <v>71</v>
      </c>
      <c r="H22" s="28">
        <v>8.5</v>
      </c>
      <c r="I22" s="26"/>
      <c r="J22" s="26"/>
      <c r="K22" s="6"/>
      <c r="L22" s="6"/>
      <c r="M22" s="6"/>
      <c r="N22" s="6"/>
      <c r="O22" s="6"/>
      <c r="P22" s="6"/>
      <c r="Q22" s="6"/>
      <c r="R22" s="6"/>
      <c r="S22" s="6"/>
      <c r="T22" s="6"/>
      <c r="U22" s="6"/>
      <c r="V22" s="6"/>
      <c r="W22" s="6"/>
      <c r="X22" s="6"/>
      <c r="Y22" s="6"/>
      <c r="Z22" s="6"/>
      <c r="AA22" s="6"/>
    </row>
    <row r="23" ht="14.25" customHeight="1">
      <c r="A23" s="12"/>
      <c r="B23" s="6"/>
      <c r="C23" s="6"/>
      <c r="D23" s="6"/>
      <c r="E23" s="6"/>
      <c r="F23" s="6"/>
      <c r="G23" s="6"/>
      <c r="H23" s="6"/>
      <c r="I23" s="6"/>
      <c r="J23" s="6"/>
      <c r="K23" s="6"/>
      <c r="L23" s="6"/>
      <c r="M23" s="6"/>
      <c r="N23" s="6"/>
      <c r="O23" s="6"/>
      <c r="P23" s="6"/>
      <c r="Q23" s="6"/>
      <c r="R23" s="6"/>
      <c r="S23" s="6"/>
      <c r="T23" s="6"/>
      <c r="U23" s="6"/>
      <c r="V23" s="6"/>
      <c r="W23" s="6"/>
      <c r="X23" s="6"/>
      <c r="Y23" s="6"/>
      <c r="Z23" s="6"/>
      <c r="AA23" s="6"/>
    </row>
    <row r="24" ht="14.25" customHeight="1">
      <c r="A24" s="12"/>
      <c r="B24" s="6"/>
      <c r="C24" s="6" t="s">
        <v>171</v>
      </c>
      <c r="D24" s="6"/>
      <c r="E24" s="6"/>
      <c r="F24" s="28">
        <f>1.36/(6.1+1.36)</f>
        <v>0.18230563</v>
      </c>
      <c r="G24" s="6"/>
      <c r="H24" s="28">
        <f>F24/10</f>
        <v>0.018230563</v>
      </c>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t="s">
        <v>172</v>
      </c>
      <c r="D26" s="6"/>
      <c r="E26" s="6"/>
      <c r="F26" s="27">
        <v>65.0</v>
      </c>
      <c r="G26" s="6" t="s">
        <v>34</v>
      </c>
      <c r="H26" s="27">
        <f>F26/10</f>
        <v>6.5</v>
      </c>
      <c r="I26" s="6"/>
      <c r="J26" s="6"/>
      <c r="K26" s="6" t="s">
        <v>173</v>
      </c>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conditionalFormatting sqref="C9">
    <cfRule type="expression" dxfId="0" priority="1">
      <formula>$D$9</formula>
    </cfRule>
  </conditionalFormatting>
  <dataValidations>
    <dataValidation type="decimal" allowBlank="1" showInputMessage="1" showErrorMessage="1" prompt="Decimal value - between 0 and 100" sqref="F11:F13 F20 F26 H26">
      <formula1>0.0</formula1>
      <formula2>100.0</formula2>
    </dataValidation>
    <dataValidation type="decimal" allowBlank="1" showErrorMessage="1" sqref="F16:F18">
      <formula1>0.01</formula1>
      <formula2>20.0</formula2>
    </dataValidation>
    <dataValidation type="decimal" operator="greaterThan" allowBlank="1" showInputMessage="1" showErrorMessage="1" prompt="Integer number of days - Greater than 0 (zero)" sqref="F22 F24">
      <formula1>0.0</formula1>
    </dataValidation>
    <dataValidation type="decimal" allowBlank="1" showInputMessage="1" showErrorMessage="1" prompt="Positive value - between the mean value entered and 100" sqref="J16:J18">
      <formula1>F16</formula1>
      <formula2>100.0</formula2>
    </dataValidation>
    <dataValidation type="decimal" operator="greaterThan" allowBlank="1" showInputMessage="1" showErrorMessage="1" prompt="Positive value - Greater than 0" sqref="H20 H22 H24">
      <formula1>0.0</formula1>
    </dataValidation>
    <dataValidation type="decimal" allowBlank="1" showInputMessage="1" showErrorMessage="1" prompt="Positive value - Between 0 and the mean value entered" sqref="I16:I18">
      <formula1>0.0</formula1>
      <formula2>F16</formula2>
    </dataValidation>
  </dataValidations>
  <hyperlinks>
    <hyperlink display="Home" location="Home!A1" ref="A6"/>
    <hyperlink display="Model set up" location="Setup!A1" ref="A8"/>
    <hyperlink display="Population" location="Population!A1" ref="A10"/>
    <hyperlink display="Interventions" location="Interventions!A1" ref="A12"/>
    <hyperlink display="Event rates" location="Events!A1" ref="A14"/>
    <hyperlink display="Costs" location="Costs!A1" ref="A16"/>
    <hyperlink display="Results" location="Results!A1" ref="A18"/>
    <hyperlink display="Sensitivity analysis" location="Sensitivity!A1" ref="A20"/>
  </hyperlinks>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21.0"/>
    <col customWidth="1" min="2"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5"/>
      <c r="U1" s="6"/>
      <c r="V1" s="6"/>
      <c r="W1" s="6"/>
      <c r="X1" s="6"/>
      <c r="Y1" s="6"/>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1"/>
      <c r="U2" s="6"/>
      <c r="V2" s="6"/>
      <c r="W2" s="6"/>
      <c r="X2" s="6"/>
      <c r="Y2" s="6"/>
      <c r="Z2" s="6"/>
      <c r="AA2" s="6"/>
    </row>
    <row r="3" ht="14.25" customHeight="1">
      <c r="A3" s="12"/>
      <c r="U3" s="6"/>
      <c r="V3" s="6"/>
      <c r="W3" s="6"/>
      <c r="X3" s="6"/>
      <c r="Y3" s="6"/>
      <c r="Z3" s="6"/>
      <c r="AA3" s="6"/>
    </row>
    <row r="4" ht="21.0" customHeight="1">
      <c r="A4" s="13" t="s">
        <v>2</v>
      </c>
      <c r="B4" s="14"/>
      <c r="C4" s="15" t="s">
        <v>174</v>
      </c>
      <c r="D4" s="15"/>
      <c r="E4" s="15"/>
      <c r="F4" s="16" t="s">
        <v>175</v>
      </c>
      <c r="G4" s="17"/>
      <c r="H4" s="17"/>
      <c r="I4" s="17"/>
      <c r="J4" s="17"/>
      <c r="K4" s="17"/>
      <c r="L4" s="17"/>
      <c r="M4" s="17"/>
      <c r="N4" s="17"/>
      <c r="O4" s="17"/>
      <c r="P4" s="17"/>
      <c r="Q4" s="17"/>
      <c r="R4" s="17"/>
      <c r="S4" s="17"/>
      <c r="T4" s="18"/>
      <c r="U4" s="6"/>
      <c r="V4" s="6"/>
      <c r="W4" s="6"/>
      <c r="X4" s="6"/>
      <c r="Y4" s="6"/>
      <c r="Z4" s="6"/>
      <c r="AA4" s="6"/>
    </row>
    <row r="5" ht="14.25" customHeight="1">
      <c r="A5" s="12"/>
      <c r="U5" s="6"/>
      <c r="V5" s="6"/>
      <c r="W5" s="6"/>
      <c r="X5" s="6"/>
      <c r="Y5" s="6"/>
      <c r="Z5" s="6"/>
      <c r="AA5" s="6"/>
    </row>
    <row r="6" ht="14.25" customHeight="1">
      <c r="A6" s="19" t="s">
        <v>7</v>
      </c>
      <c r="B6" s="6"/>
      <c r="C6" s="21" t="s">
        <v>176</v>
      </c>
      <c r="E6" s="21" t="s">
        <v>177</v>
      </c>
      <c r="H6" t="s">
        <v>178</v>
      </c>
      <c r="J6" t="s">
        <v>179</v>
      </c>
      <c r="O6" s="6"/>
      <c r="P6" s="6"/>
      <c r="Q6" s="6"/>
      <c r="R6" s="6"/>
      <c r="S6" s="6"/>
      <c r="T6" s="6"/>
      <c r="U6" s="6"/>
      <c r="V6" s="6"/>
      <c r="W6" s="6"/>
      <c r="X6" s="6"/>
      <c r="Y6" s="6"/>
      <c r="Z6" s="6"/>
      <c r="AA6" s="6"/>
    </row>
    <row r="7" ht="14.25" customHeight="1">
      <c r="A7" s="12"/>
      <c r="B7" s="6"/>
      <c r="C7" t="s">
        <v>180</v>
      </c>
      <c r="E7">
        <v>0.5</v>
      </c>
      <c r="H7" t="s">
        <v>115</v>
      </c>
      <c r="J7">
        <v>2014.0</v>
      </c>
      <c r="O7" s="6"/>
      <c r="P7" s="6"/>
      <c r="Q7" s="6"/>
      <c r="R7" s="6"/>
      <c r="S7" s="6"/>
      <c r="T7" s="6"/>
      <c r="U7" s="6"/>
      <c r="V7" s="6"/>
      <c r="W7" s="6"/>
      <c r="X7" s="6"/>
      <c r="Y7" s="6"/>
      <c r="Z7" s="6"/>
      <c r="AA7" s="6"/>
    </row>
    <row r="8" ht="14.25" customHeight="1">
      <c r="A8" s="19" t="s">
        <v>4</v>
      </c>
      <c r="B8" s="6"/>
      <c r="C8" t="s">
        <v>181</v>
      </c>
      <c r="E8">
        <v>1.0</v>
      </c>
      <c r="H8" t="s">
        <v>182</v>
      </c>
      <c r="J8" s="26">
        <v>2015.0</v>
      </c>
      <c r="O8" s="6"/>
      <c r="P8" s="6"/>
      <c r="Q8" s="6"/>
      <c r="R8" s="6"/>
      <c r="S8" s="6"/>
      <c r="T8" s="6"/>
      <c r="U8" s="6"/>
      <c r="V8" s="6"/>
      <c r="W8" s="6"/>
      <c r="X8" s="6"/>
      <c r="Y8" s="6"/>
      <c r="Z8" s="6"/>
      <c r="AA8" s="6"/>
    </row>
    <row r="9" ht="14.25" customHeight="1">
      <c r="A9" s="12"/>
      <c r="B9" s="6"/>
      <c r="E9">
        <v>2.0</v>
      </c>
      <c r="J9" s="26">
        <v>2016.0</v>
      </c>
      <c r="O9" s="6"/>
      <c r="P9" s="6"/>
      <c r="Q9" s="6"/>
      <c r="R9" s="6"/>
      <c r="S9" s="6"/>
      <c r="T9" s="6"/>
      <c r="U9" s="6"/>
      <c r="V9" s="6"/>
      <c r="W9" s="6"/>
      <c r="X9" s="6"/>
      <c r="Y9" s="6"/>
      <c r="Z9" s="6"/>
      <c r="AA9" s="6"/>
    </row>
    <row r="10" ht="14.25" customHeight="1">
      <c r="A10" s="19" t="s">
        <v>3</v>
      </c>
      <c r="B10" s="6"/>
      <c r="E10">
        <v>3.0</v>
      </c>
      <c r="O10" s="6"/>
      <c r="P10" s="6"/>
      <c r="Q10" s="6"/>
      <c r="R10" s="6"/>
      <c r="S10" s="6"/>
      <c r="T10" s="6"/>
      <c r="U10" s="6"/>
      <c r="V10" s="6"/>
      <c r="W10" s="6"/>
      <c r="X10" s="6"/>
      <c r="Y10" s="6"/>
      <c r="Z10" s="6"/>
      <c r="AA10" s="6"/>
    </row>
    <row r="11" ht="14.25" customHeight="1">
      <c r="A11" s="12"/>
      <c r="B11" s="6"/>
      <c r="E11">
        <v>4.0</v>
      </c>
      <c r="O11" s="6"/>
      <c r="P11" s="6"/>
      <c r="Q11" s="6"/>
      <c r="R11" s="6"/>
      <c r="S11" s="6"/>
      <c r="T11" s="6"/>
      <c r="U11" s="6"/>
      <c r="V11" s="6"/>
      <c r="W11" s="6"/>
      <c r="X11" s="6"/>
      <c r="Y11" s="6"/>
      <c r="Z11" s="6"/>
      <c r="AA11" s="6"/>
    </row>
    <row r="12" ht="14.25" customHeight="1">
      <c r="A12" s="60" t="s">
        <v>22</v>
      </c>
      <c r="B12" s="6"/>
      <c r="E12">
        <v>5.0</v>
      </c>
      <c r="O12" s="6"/>
      <c r="P12" s="6"/>
      <c r="Q12" s="6"/>
      <c r="R12" s="6"/>
      <c r="S12" s="6"/>
      <c r="T12" s="6"/>
      <c r="U12" s="6"/>
      <c r="V12" s="6"/>
      <c r="W12" s="6"/>
      <c r="X12" s="6"/>
      <c r="Y12" s="6"/>
      <c r="Z12" s="6"/>
      <c r="AA12" s="6"/>
    </row>
    <row r="13" ht="14.25" customHeight="1">
      <c r="A13" s="12"/>
      <c r="B13" s="6"/>
      <c r="O13" s="6"/>
      <c r="P13" s="6"/>
      <c r="Q13" s="6"/>
      <c r="R13" s="6"/>
      <c r="S13" s="6"/>
      <c r="T13" s="6"/>
      <c r="U13" s="6"/>
      <c r="V13" s="6"/>
      <c r="W13" s="6"/>
      <c r="X13" s="6"/>
      <c r="Y13" s="6"/>
      <c r="Z13" s="6"/>
      <c r="AA13" s="6"/>
    </row>
    <row r="14" ht="14.25" customHeight="1">
      <c r="A14" s="60" t="s">
        <v>27</v>
      </c>
      <c r="B14" s="6"/>
      <c r="O14" s="6"/>
      <c r="P14" s="6"/>
      <c r="Q14" s="6"/>
      <c r="R14" s="6"/>
      <c r="S14" s="6"/>
      <c r="T14" s="6"/>
      <c r="U14" s="6"/>
      <c r="V14" s="6"/>
      <c r="W14" s="6"/>
      <c r="X14" s="6"/>
      <c r="Y14" s="6"/>
      <c r="Z14" s="6"/>
      <c r="AA14" s="6"/>
    </row>
    <row r="15" ht="14.25" customHeight="1">
      <c r="A15" s="12"/>
      <c r="B15" s="6"/>
      <c r="O15" s="6"/>
      <c r="P15" s="6"/>
      <c r="Q15" s="6"/>
      <c r="R15" s="6"/>
      <c r="S15" s="6"/>
      <c r="T15" s="6"/>
      <c r="U15" s="6"/>
      <c r="V15" s="6"/>
      <c r="W15" s="6"/>
      <c r="X15" s="6"/>
      <c r="Y15" s="6"/>
      <c r="Z15" s="6"/>
      <c r="AA15" s="6"/>
    </row>
    <row r="16" ht="14.25" customHeight="1">
      <c r="A16" s="60" t="s">
        <v>35</v>
      </c>
      <c r="B16" s="6"/>
      <c r="O16" s="6"/>
      <c r="P16" s="6"/>
      <c r="Q16" s="6"/>
      <c r="R16" s="6"/>
      <c r="S16" s="6"/>
      <c r="T16" s="6"/>
      <c r="U16" s="6"/>
      <c r="V16" s="6"/>
      <c r="W16" s="6"/>
      <c r="X16" s="6"/>
      <c r="Y16" s="6"/>
      <c r="Z16" s="6"/>
      <c r="AA16" s="6"/>
    </row>
    <row r="17" ht="14.25" customHeight="1">
      <c r="A17" s="12"/>
      <c r="B17" s="6"/>
      <c r="O17" s="6"/>
      <c r="P17" s="6"/>
      <c r="Q17" s="6"/>
      <c r="R17" s="6"/>
      <c r="S17" s="6"/>
      <c r="T17" s="6"/>
      <c r="U17" s="6"/>
      <c r="V17" s="6"/>
      <c r="W17" s="6"/>
      <c r="X17" s="6"/>
      <c r="Y17" s="6"/>
      <c r="Z17" s="6"/>
      <c r="AA17" s="6"/>
    </row>
    <row r="18" ht="14.25" customHeight="1">
      <c r="A18" s="60" t="s">
        <v>38</v>
      </c>
      <c r="B18" s="6"/>
      <c r="O18" s="6"/>
      <c r="P18" s="6"/>
      <c r="Q18" s="6"/>
      <c r="R18" s="6"/>
      <c r="S18" s="6"/>
      <c r="T18" s="6"/>
      <c r="U18" s="6"/>
      <c r="V18" s="6"/>
      <c r="W18" s="6"/>
      <c r="X18" s="6"/>
      <c r="Y18" s="6"/>
      <c r="Z18" s="6"/>
      <c r="AA18" s="6"/>
    </row>
    <row r="19" ht="14.25" customHeight="1">
      <c r="A19" s="12"/>
      <c r="B19" s="6"/>
      <c r="O19" s="6"/>
      <c r="P19" s="6"/>
      <c r="Q19" s="6"/>
      <c r="R19" s="6"/>
      <c r="S19" s="6"/>
      <c r="T19" s="6"/>
      <c r="U19" s="6"/>
      <c r="V19" s="6"/>
      <c r="W19" s="6"/>
      <c r="X19" s="6"/>
      <c r="Y19" s="6"/>
      <c r="Z19" s="6"/>
      <c r="AA19" s="6"/>
    </row>
    <row r="20" ht="14.25" customHeight="1">
      <c r="A20" s="60" t="s">
        <v>183</v>
      </c>
      <c r="B20" s="6"/>
      <c r="O20" s="6"/>
      <c r="P20" s="6"/>
      <c r="Q20" s="6"/>
      <c r="R20" s="6"/>
      <c r="S20" s="6"/>
      <c r="T20" s="6"/>
      <c r="U20" s="6"/>
      <c r="V20" s="6"/>
      <c r="W20" s="6"/>
      <c r="X20" s="6"/>
      <c r="Y20" s="6"/>
      <c r="Z20" s="6"/>
      <c r="AA20" s="6"/>
    </row>
    <row r="21" ht="14.25" customHeight="1">
      <c r="A21" s="12"/>
      <c r="B21" s="6"/>
      <c r="O21" s="6"/>
      <c r="P21" s="6"/>
      <c r="Q21" s="6"/>
      <c r="R21" s="6"/>
      <c r="S21" s="6"/>
      <c r="T21" s="6"/>
      <c r="U21" s="6"/>
      <c r="V21" s="6"/>
      <c r="W21" s="6"/>
      <c r="X21" s="6"/>
      <c r="Y21" s="6"/>
      <c r="Z21" s="6"/>
      <c r="AA21" s="6"/>
    </row>
    <row r="22" ht="14.25" customHeight="1">
      <c r="A22" s="12"/>
      <c r="B22" s="6"/>
      <c r="O22" s="6"/>
      <c r="P22" s="6"/>
      <c r="Q22" s="6"/>
      <c r="R22" s="6"/>
      <c r="S22" s="6"/>
      <c r="T22" s="6"/>
      <c r="U22" s="6"/>
      <c r="V22" s="6"/>
      <c r="W22" s="6"/>
      <c r="X22" s="6"/>
      <c r="Y22" s="6"/>
      <c r="Z22" s="6"/>
      <c r="AA22" s="6"/>
    </row>
    <row r="23" ht="14.25" customHeight="1">
      <c r="A23" s="12"/>
      <c r="B23" s="6"/>
      <c r="O23" s="6"/>
      <c r="P23" s="6"/>
      <c r="Q23" s="6"/>
      <c r="R23" s="6"/>
      <c r="S23" s="6"/>
      <c r="T23" s="6"/>
      <c r="U23" s="6"/>
      <c r="V23" s="6"/>
      <c r="W23" s="6"/>
      <c r="X23" s="6"/>
      <c r="Y23" s="6"/>
      <c r="Z23" s="6"/>
      <c r="AA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6"/>
      <c r="D28" s="6"/>
      <c r="E28" s="6"/>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6"/>
      <c r="D29" s="6"/>
      <c r="E29" s="6"/>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6"/>
      <c r="D30" s="6"/>
      <c r="E30" s="6"/>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6"/>
      <c r="D31" s="6"/>
      <c r="E31" s="6"/>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6"/>
      <c r="D32" s="6"/>
      <c r="E32" s="6"/>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6"/>
      <c r="D33" s="6"/>
      <c r="E33" s="6"/>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6"/>
      <c r="D34" s="6"/>
      <c r="E34" s="6"/>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6"/>
      <c r="D35" s="6"/>
      <c r="E35" s="6"/>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6"/>
      <c r="D36" s="6"/>
      <c r="E36" s="6"/>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6"/>
      <c r="D37" s="6"/>
      <c r="E37" s="6"/>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6"/>
      <c r="D38" s="6"/>
      <c r="E38" s="6"/>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T1"/>
    <mergeCell ref="C2:T2"/>
    <mergeCell ref="F4:T4"/>
  </mergeCells>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21.0"/>
    <col customWidth="1" min="2" max="3" width="8.63"/>
    <col customWidth="1" min="4" max="4" width="24.0"/>
    <col customWidth="1" min="5" max="7" width="11.13"/>
    <col customWidth="1" min="8" max="8" width="18.5"/>
    <col customWidth="1" min="9" max="9" width="11.88"/>
    <col customWidth="1" min="10" max="10" width="11.25"/>
    <col customWidth="1" min="11" max="11" width="17.5"/>
    <col customWidth="1" min="12" max="12" width="13.88"/>
    <col customWidth="1" min="13" max="13" width="11.0"/>
    <col customWidth="1" min="14" max="14" width="8.63"/>
    <col customWidth="1" min="15" max="15" width="16.25"/>
    <col customWidth="1" min="16" max="16" width="15.75"/>
    <col customWidth="1" min="17" max="17" width="13.5"/>
    <col customWidth="1" min="18" max="18" width="10.0"/>
    <col customWidth="1" min="19" max="21" width="8.63"/>
    <col customWidth="1" min="22" max="22" width="13.88"/>
    <col customWidth="1" min="23"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2"/>
      <c r="Y1" s="2"/>
      <c r="Z1" s="2"/>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8"/>
      <c r="Y2" s="8"/>
      <c r="Z2" s="8"/>
      <c r="AA2" s="6"/>
    </row>
    <row r="3" ht="14.25" customHeight="1">
      <c r="A3" s="12"/>
      <c r="AA3" s="6"/>
    </row>
    <row r="4" ht="21.0" customHeight="1">
      <c r="A4" s="13" t="s">
        <v>2</v>
      </c>
      <c r="B4" s="14"/>
      <c r="C4" s="15" t="s">
        <v>184</v>
      </c>
      <c r="D4" s="15"/>
      <c r="E4" s="15"/>
      <c r="F4" s="16" t="s">
        <v>185</v>
      </c>
      <c r="G4" s="17"/>
      <c r="H4" s="17"/>
      <c r="I4" s="17"/>
      <c r="J4" s="17"/>
      <c r="K4" s="17"/>
      <c r="L4" s="17"/>
      <c r="M4" s="17"/>
      <c r="N4" s="17"/>
      <c r="O4" s="17"/>
      <c r="P4" s="17"/>
      <c r="Q4" s="17"/>
      <c r="R4" s="17"/>
      <c r="S4" s="17"/>
      <c r="T4" s="17"/>
      <c r="U4" s="17"/>
      <c r="V4" s="18"/>
      <c r="W4" s="14"/>
      <c r="X4" s="14"/>
      <c r="Y4" s="14"/>
      <c r="Z4" s="14"/>
      <c r="AA4" s="6"/>
    </row>
    <row r="5" ht="14.25" customHeight="1">
      <c r="A5" s="12"/>
      <c r="AA5" s="6"/>
    </row>
    <row r="6" ht="14.25" customHeight="1">
      <c r="A6" s="19" t="s">
        <v>7</v>
      </c>
      <c r="B6" s="6"/>
      <c r="C6" s="61" t="s">
        <v>186</v>
      </c>
      <c r="D6" s="61" t="s">
        <v>9</v>
      </c>
      <c r="E6" s="62" t="s">
        <v>187</v>
      </c>
      <c r="F6" s="61" t="s">
        <v>188</v>
      </c>
      <c r="G6" s="62" t="s">
        <v>189</v>
      </c>
      <c r="H6" s="63" t="s">
        <v>190</v>
      </c>
      <c r="I6" s="63" t="s">
        <v>191</v>
      </c>
      <c r="J6" s="63" t="s">
        <v>192</v>
      </c>
      <c r="K6" s="63" t="s">
        <v>193</v>
      </c>
      <c r="L6" s="63" t="s">
        <v>194</v>
      </c>
      <c r="M6" s="63" t="s">
        <v>195</v>
      </c>
      <c r="N6" s="63" t="s">
        <v>196</v>
      </c>
      <c r="O6" s="63" t="s">
        <v>197</v>
      </c>
      <c r="P6" s="63" t="s">
        <v>198</v>
      </c>
      <c r="Q6" s="63" t="s">
        <v>199</v>
      </c>
      <c r="R6" s="63" t="s">
        <v>200</v>
      </c>
      <c r="S6" s="63" t="s">
        <v>201</v>
      </c>
      <c r="T6" s="63" t="s">
        <v>202</v>
      </c>
      <c r="U6" s="63" t="s">
        <v>203</v>
      </c>
      <c r="V6" s="63" t="s">
        <v>204</v>
      </c>
      <c r="W6" s="6" t="s">
        <v>205</v>
      </c>
      <c r="X6" s="6"/>
      <c r="Y6" s="6" t="s">
        <v>206</v>
      </c>
      <c r="Z6" s="28" t="b">
        <v>0</v>
      </c>
      <c r="AA6" s="6"/>
    </row>
    <row r="7" ht="14.25" customHeight="1">
      <c r="A7" s="12"/>
      <c r="B7" s="6"/>
      <c r="C7" s="64">
        <v>1.0</v>
      </c>
      <c r="D7" s="65" t="s">
        <v>21</v>
      </c>
      <c r="E7" s="63" t="s">
        <v>207</v>
      </c>
      <c r="F7" s="64" t="s">
        <v>208</v>
      </c>
      <c r="G7" s="64">
        <v>10.0</v>
      </c>
      <c r="H7" s="63"/>
      <c r="I7" s="63"/>
      <c r="J7" s="63"/>
      <c r="K7" s="63" t="str">
        <f>MID(Parameters!$E7,1,3)&amp;"_"&amp;MID(Parameters!$D7,1,4)</f>
        <v>Set_Time</v>
      </c>
      <c r="L7" s="66">
        <f>Setup!F10</f>
        <v>1</v>
      </c>
      <c r="M7" s="67" t="str">
        <f>IF(Parameters!$H7&lt;1,"",Setup!M10)</f>
        <v/>
      </c>
      <c r="N7" s="67" t="str">
        <f>IF(Parameters!$I7&lt;1,"",Setup!N10)</f>
        <v/>
      </c>
      <c r="O7" s="67" t="str">
        <f>IF(Parameters!$J7&lt;1,"",Setup!O10)</f>
        <v/>
      </c>
      <c r="P7" s="63" t="str">
        <f>IF(Parameters!$Q7="None","",IF(AND(LEN(Parameters!$N7)&gt;0,LEN(Parameters!$O7)&gt;0),IF(Parameters!$Q7="Normal",
((Parameters!$O7-Parameters!$N7)/3.92),((LN(Parameters!$O7)-LN(Parameters!$N7))/3.92)),IF(LEN(Parameters!$M7)&gt;0,Parameters!$M7,0.0001)))</f>
        <v/>
      </c>
      <c r="Q7" s="63" t="s">
        <v>209</v>
      </c>
      <c r="R7" s="63"/>
      <c r="S7" s="63"/>
      <c r="T7" s="63">
        <f>IF(Parameters!$Q7="Linked",100-T6,IF(Parameters!$Q7="None",Parameters!$L7,MIN(Parameters!$S7,MAX(Parameters!$R7,IF(Parameters!$Q7="Normal",NORM.INV(W7,Parameters!$L7,Parameters!$P7),LOGNORM.INV(W7,LN(Parameters!$L7),Parameters!$P7))))))</f>
        <v>1</v>
      </c>
      <c r="U7" s="63" t="str">
        <f>"i_"&amp;Parameters!$K7</f>
        <v>i_Set_Time</v>
      </c>
      <c r="V7" s="63">
        <f>IF($Z$6=FALSE,Parameters!$L7,Parameters!$T7)</f>
        <v>1</v>
      </c>
      <c r="W7" s="28">
        <v>0.07827693223953247</v>
      </c>
      <c r="X7" s="6"/>
      <c r="Y7" s="6"/>
      <c r="Z7" s="6"/>
      <c r="AA7" s="6"/>
    </row>
    <row r="8" ht="14.25" customHeight="1">
      <c r="A8" s="19" t="s">
        <v>4</v>
      </c>
      <c r="B8" s="6"/>
      <c r="C8" s="64">
        <f t="shared" ref="C8:C81" si="1">C7+1</f>
        <v>2</v>
      </c>
      <c r="D8" s="65" t="s">
        <v>210</v>
      </c>
      <c r="E8" s="63" t="s">
        <v>207</v>
      </c>
      <c r="F8" s="62" t="s">
        <v>208</v>
      </c>
      <c r="G8" s="64">
        <v>11.0</v>
      </c>
      <c r="H8" s="63"/>
      <c r="I8" s="63"/>
      <c r="J8" s="63"/>
      <c r="K8" s="63" t="str">
        <f>MID(Parameters!$E8,1,3)&amp;"_"&amp;MID(Parameters!$D8,1,4)</f>
        <v>Set_Curr</v>
      </c>
      <c r="L8" s="68" t="str">
        <f>Setup!F11</f>
        <v>USD</v>
      </c>
      <c r="M8" s="67" t="str">
        <f>IF(Parameters!$H8&lt;1,"",Setup!M11)</f>
        <v/>
      </c>
      <c r="N8" s="67" t="str">
        <f>IF(Parameters!$I8&lt;1,"",Setup!N11)</f>
        <v/>
      </c>
      <c r="O8" s="67" t="str">
        <f>IF(Parameters!$J8&lt;1,"",Setup!O11)</f>
        <v/>
      </c>
      <c r="P8" s="63" t="str">
        <f>IF(Parameters!$Q8="None","",IF(AND(LEN(Parameters!$N8)&gt;0,LEN(Parameters!$O8)&gt;0),IF(Parameters!$Q8="Normal",
((Parameters!$O8-Parameters!$N8)/3.92),((LN(Parameters!$O8)-LN(Parameters!$N8))/3.92)),IF(LEN(Parameters!$M8)&gt;0,Parameters!$M8,0.0001)))</f>
        <v/>
      </c>
      <c r="Q8" s="63" t="s">
        <v>209</v>
      </c>
      <c r="R8" s="63"/>
      <c r="S8" s="63"/>
      <c r="T8" s="63" t="str">
        <f>IF(Parameters!$Q8="Linked",100-T7,IF(Parameters!$Q8="None",Parameters!$L8,MIN(Parameters!$S8,MAX(Parameters!$R8,IF(Parameters!$Q8="Normal",NORM.INV(W8,Parameters!$L8,Parameters!$P8),LOGNORM.INV(W8,LN(Parameters!$L8),Parameters!$P8))))))</f>
        <v>USD</v>
      </c>
      <c r="U8" s="63" t="str">
        <f>"i_"&amp;Parameters!$K8</f>
        <v>i_Set_Curr</v>
      </c>
      <c r="V8" s="63" t="str">
        <f>IF($Z$6=FALSE,Parameters!$L8,Parameters!$T8)</f>
        <v>USD</v>
      </c>
      <c r="W8" s="28">
        <v>0.3030531406402588</v>
      </c>
      <c r="X8" s="6"/>
      <c r="Y8" s="6"/>
      <c r="Z8" s="6"/>
      <c r="AA8" s="6"/>
    </row>
    <row r="9" ht="14.25" customHeight="1">
      <c r="A9" s="12"/>
      <c r="B9" s="6"/>
      <c r="C9" s="64">
        <f t="shared" si="1"/>
        <v>3</v>
      </c>
      <c r="D9" s="65" t="s">
        <v>211</v>
      </c>
      <c r="E9" s="63" t="s">
        <v>207</v>
      </c>
      <c r="F9" s="62" t="s">
        <v>212</v>
      </c>
      <c r="G9" s="64">
        <v>11.0</v>
      </c>
      <c r="H9" s="63"/>
      <c r="I9" s="63"/>
      <c r="J9" s="63"/>
      <c r="K9" s="63" t="str">
        <f>MID(Parameters!$E9,1,3)&amp;"_"&amp;MID(Parameters!$D9,1,4)</f>
        <v>Set_Year</v>
      </c>
      <c r="L9" s="66">
        <f>Setup!G11</f>
        <v>2016</v>
      </c>
      <c r="M9" s="67" t="str">
        <f>IF(Parameters!$H9&lt;1,"",Setup!M11)</f>
        <v/>
      </c>
      <c r="N9" s="67" t="str">
        <f>IF(Parameters!$I9&lt;1,"",Setup!N11)</f>
        <v/>
      </c>
      <c r="O9" s="67" t="str">
        <f>IF(Parameters!$J9&lt;1,"",Setup!O11)</f>
        <v/>
      </c>
      <c r="P9" s="63" t="str">
        <f>IF(Parameters!$Q9="None","",IF(AND(LEN(Parameters!$N9)&gt;0,LEN(Parameters!$O9)&gt;0),IF(Parameters!$Q9="Normal",
((Parameters!$O9-Parameters!$N9)/3.92),((LN(Parameters!$O9)-LN(Parameters!$N9))/3.92)),IF(LEN(Parameters!$M9)&gt;0,Parameters!$M9,0.0001)))</f>
        <v/>
      </c>
      <c r="Q9" s="63" t="s">
        <v>209</v>
      </c>
      <c r="R9" s="63"/>
      <c r="S9" s="63"/>
      <c r="T9" s="63">
        <f>IF(Parameters!$Q9="Linked",100-T8,IF(Parameters!$Q9="None",Parameters!$L9,MIN(Parameters!$S9,MAX(Parameters!$R9,IF(Parameters!$Q9="Normal",NORM.INV(W9,Parameters!$L9,Parameters!$P9),LOGNORM.INV(W9,LN(Parameters!$L9),Parameters!$P9))))))</f>
        <v>2016</v>
      </c>
      <c r="U9" s="63" t="str">
        <f>"i_"&amp;Parameters!$K9</f>
        <v>i_Set_Year</v>
      </c>
      <c r="V9" s="63">
        <f>IF($Z$6=FALSE,Parameters!$L9,Parameters!$T9)</f>
        <v>2016</v>
      </c>
      <c r="W9" s="28">
        <v>0.7321791052818298</v>
      </c>
      <c r="X9" s="6"/>
      <c r="Y9" s="6"/>
      <c r="Z9" s="6"/>
      <c r="AA9" s="6"/>
    </row>
    <row r="10" ht="14.25" customHeight="1">
      <c r="A10" s="19" t="s">
        <v>3</v>
      </c>
      <c r="B10" s="6"/>
      <c r="C10" s="62">
        <f t="shared" si="1"/>
        <v>4</v>
      </c>
      <c r="D10" s="65" t="s">
        <v>213</v>
      </c>
      <c r="E10" s="63" t="s">
        <v>207</v>
      </c>
      <c r="F10" s="62" t="s">
        <v>208</v>
      </c>
      <c r="G10" s="62">
        <v>14.0</v>
      </c>
      <c r="H10" s="63"/>
      <c r="I10" s="63"/>
      <c r="J10" s="63"/>
      <c r="K10" s="63" t="str">
        <f>MID(Parameters!$E10,1,3)&amp;"_"&amp;MID(Parameters!$D10,1,4)</f>
        <v>Set_CABG</v>
      </c>
      <c r="L10" s="66">
        <f>Setup!F14</f>
        <v>200</v>
      </c>
      <c r="M10" s="67" t="str">
        <f>IF(Parameters!$H10&lt;1,"",Setup!M14)</f>
        <v/>
      </c>
      <c r="N10" s="67" t="str">
        <f>IF(Parameters!$I10&lt;1,"",Setup!N14)</f>
        <v/>
      </c>
      <c r="O10" s="67" t="str">
        <f>IF(Parameters!$J10&lt;1,"",Setup!O14)</f>
        <v/>
      </c>
      <c r="P10" s="63" t="str">
        <f>IF(Parameters!$Q10="None","",IF(AND(LEN(Parameters!$N10)&gt;0,LEN(Parameters!$O10)&gt;0),IF(Parameters!$Q10="Normal",
((Parameters!$O10-Parameters!$N10)/3.92),((LN(Parameters!$O10)-LN(Parameters!$N10))/3.92)),IF(LEN(Parameters!$M10)&gt;0,Parameters!$M10,0.0001)))</f>
        <v/>
      </c>
      <c r="Q10" s="63" t="s">
        <v>209</v>
      </c>
      <c r="R10" s="63"/>
      <c r="S10" s="63"/>
      <c r="T10" s="63">
        <f>IF(Parameters!$Q10="Linked",100-T9,IF(Parameters!$Q10="None",Parameters!$L10,MIN(Parameters!$S10,MAX(Parameters!$R10,IF(Parameters!$Q10="Normal",NORM.INV(W10,Parameters!$L10,Parameters!$P10),LOGNORM.INV(W10,LN(Parameters!$L10),Parameters!$P10))))))</f>
        <v>200</v>
      </c>
      <c r="U10" s="63" t="str">
        <f>"i_"&amp;Parameters!$K10</f>
        <v>i_Set_CABG</v>
      </c>
      <c r="V10" s="63">
        <f>IF($Z$6=FALSE,Parameters!$L10,Parameters!$T10)</f>
        <v>200</v>
      </c>
      <c r="W10" s="28">
        <v>0.0719374418258667</v>
      </c>
      <c r="X10" s="6"/>
      <c r="Y10" s="6"/>
      <c r="Z10" s="6"/>
      <c r="AA10" s="6"/>
    </row>
    <row r="11" ht="14.25" customHeight="1">
      <c r="A11" s="12"/>
      <c r="B11" s="6"/>
      <c r="C11" s="62">
        <f t="shared" si="1"/>
        <v>5</v>
      </c>
      <c r="D11" s="65" t="s">
        <v>214</v>
      </c>
      <c r="E11" s="63" t="s">
        <v>207</v>
      </c>
      <c r="F11" s="62" t="s">
        <v>208</v>
      </c>
      <c r="G11" s="62">
        <v>12.0</v>
      </c>
      <c r="H11" s="63"/>
      <c r="I11" s="63"/>
      <c r="J11" s="63"/>
      <c r="K11" s="63" t="str">
        <f>MID(Parameters!$E11,1,3)&amp;"_"&amp;MID(Parameters!$D11,1,4)</f>
        <v>Set_Cost</v>
      </c>
      <c r="L11" s="66">
        <f>CostDiscount</f>
        <v>3.5</v>
      </c>
      <c r="M11" s="67" t="str">
        <f>IF(Parameters!$H11&lt;1,"",Setup!M12)</f>
        <v/>
      </c>
      <c r="N11" s="67" t="str">
        <f>IF(Parameters!$I11&lt;1,"",Setup!N12)</f>
        <v/>
      </c>
      <c r="O11" s="67" t="str">
        <f>IF(Parameters!$J11&lt;1,"",Setup!O12)</f>
        <v/>
      </c>
      <c r="P11" s="63" t="str">
        <f>IF(Parameters!$Q11="None","",IF(AND(LEN(Parameters!$N11)&gt;0,LEN(Parameters!$O11)&gt;0),IF(Parameters!$Q11="Normal",
((Parameters!$O11-Parameters!$N11)/3.92),((LN(Parameters!$O11)-LN(Parameters!$N11))/3.92)),IF(LEN(Parameters!$M11)&gt;0,Parameters!$M11,0.0001)))</f>
        <v/>
      </c>
      <c r="Q11" s="63" t="s">
        <v>209</v>
      </c>
      <c r="R11" s="63"/>
      <c r="S11" s="63"/>
      <c r="T11" s="63">
        <f>IF(Parameters!$Q11="Linked",100-T10,IF(Parameters!$Q11="None",Parameters!$L11,MIN(Parameters!$S11,MAX(Parameters!$R11,IF(Parameters!$Q11="Normal",NORM.INV(W11,Parameters!$L11,Parameters!$P11),LOGNORM.INV(W11,LN(Parameters!$L11),Parameters!$P11))))))</f>
        <v>3.5</v>
      </c>
      <c r="U11" s="63" t="str">
        <f>"i_"&amp;Parameters!$K11</f>
        <v>i_Set_Cost</v>
      </c>
      <c r="V11" s="63">
        <f>IF($Z$6=FALSE,Parameters!$L11,Parameters!$T11)</f>
        <v>3.5</v>
      </c>
      <c r="W11" s="28">
        <v>0.3587537407875061</v>
      </c>
      <c r="X11" s="6"/>
      <c r="Y11" s="6"/>
      <c r="Z11" s="6"/>
      <c r="AA11" s="6"/>
    </row>
    <row r="12" ht="14.25" customHeight="1">
      <c r="A12" s="60" t="s">
        <v>22</v>
      </c>
      <c r="B12" s="6"/>
      <c r="C12" s="62">
        <f t="shared" si="1"/>
        <v>6</v>
      </c>
      <c r="D12" s="65" t="s">
        <v>26</v>
      </c>
      <c r="E12" s="63" t="s">
        <v>3</v>
      </c>
      <c r="F12" s="62" t="s">
        <v>208</v>
      </c>
      <c r="G12" s="62">
        <v>10.0</v>
      </c>
      <c r="H12" s="63"/>
      <c r="I12" s="63" t="s">
        <v>215</v>
      </c>
      <c r="J12" s="63" t="s">
        <v>216</v>
      </c>
      <c r="K12" s="63" t="str">
        <f>MID(Parameters!$E12,1,3)&amp;"_"&amp;MID(Parameters!$D12,1,4)</f>
        <v>Pop_Age</v>
      </c>
      <c r="L12" s="66">
        <f>Population!F10</f>
        <v>73</v>
      </c>
      <c r="M12" s="67" t="str">
        <f>IF(Parameters!$H12&lt;1,"",Population!M10)</f>
        <v/>
      </c>
      <c r="N12" s="66">
        <f>IF(Parameters!$I12&lt;1,"",Population!I10)</f>
        <v>69</v>
      </c>
      <c r="O12" s="66">
        <f>IF(Parameters!$J12&lt;1,"",Population!J10)</f>
        <v>78</v>
      </c>
      <c r="P12" s="63">
        <f>IF(Parameters!$Q12="None","",IF(AND(LEN(Parameters!$N12)&gt;0,LEN(Parameters!$O12)&gt;0),IF(Parameters!$Q12="Normal",
((Parameters!$O12-Parameters!$N12)/3.92),((LN(Parameters!$O12)-LN(Parameters!$N12))/3.92)),IF(LEN(Parameters!$M12)&gt;0,Parameters!$M12,0.0001)))</f>
        <v>2.295918367</v>
      </c>
      <c r="Q12" s="63" t="s">
        <v>217</v>
      </c>
      <c r="R12" s="63">
        <f>MAX(0,Parameters!$N12-ABS(Parameters!$L12/10))</f>
        <v>61.7</v>
      </c>
      <c r="S12" s="63">
        <f>MIN(100000,Parameters!$O12+ABS(Parameters!$L12/10))</f>
        <v>85.3</v>
      </c>
      <c r="T12" s="63" t="str">
        <f>IF(Parameters!$Q12="Linked",100-T11,IF(Parameters!$Q12="None",Parameters!$L12,MIN(Parameters!$S12,MAX(Parameters!$R12,IF(Parameters!$Q12="Normal",NORM.INV(W12,Parameters!$L12,Parameters!$P12),LOGNORM.INV(W12,LN(Parameters!$L12),Parameters!$P12))))))</f>
        <v>#NAME?</v>
      </c>
      <c r="U12" s="63" t="str">
        <f>"i_"&amp;Parameters!$K12</f>
        <v>i_Pop_Age</v>
      </c>
      <c r="V12" s="63">
        <f>IF($Z$6=FALSE,Parameters!$L12,Parameters!$T12)</f>
        <v>73</v>
      </c>
      <c r="W12" s="28">
        <v>0.01753091812133789</v>
      </c>
      <c r="X12" s="6"/>
      <c r="Y12" s="6"/>
      <c r="Z12" s="6"/>
      <c r="AA12" s="6"/>
    </row>
    <row r="13" ht="14.25" customHeight="1">
      <c r="A13" s="12"/>
      <c r="B13" s="6"/>
      <c r="C13" s="62">
        <f t="shared" si="1"/>
        <v>7</v>
      </c>
      <c r="D13" s="65" t="s">
        <v>32</v>
      </c>
      <c r="E13" s="63" t="s">
        <v>3</v>
      </c>
      <c r="F13" s="62" t="s">
        <v>208</v>
      </c>
      <c r="G13" s="62">
        <v>11.0</v>
      </c>
      <c r="H13" s="63" t="s">
        <v>218</v>
      </c>
      <c r="I13" s="63"/>
      <c r="J13" s="63"/>
      <c r="K13" s="63" t="str">
        <f>MID(Parameters!$E13,1,3)&amp;"_"&amp;MID(Parameters!$D13,1,4)</f>
        <v>Pop_Gend</v>
      </c>
      <c r="L13" s="66">
        <f>Population!F11</f>
        <v>34.7</v>
      </c>
      <c r="M13" s="69">
        <f>IF(Parameters!$H13&lt;1,"",Population!H11)</f>
        <v>0.1774001768</v>
      </c>
      <c r="N13" s="67" t="str">
        <f>IF(Parameters!$I13&lt;1,"",Population!N11)</f>
        <v/>
      </c>
      <c r="O13" s="67" t="str">
        <f>IF(Parameters!$J13&lt;1,"",Population!O11)</f>
        <v/>
      </c>
      <c r="P13" s="70">
        <f>IF(Parameters!$Q13="None","",IF(AND(LEN(Parameters!$N13)&gt;0,LEN(Parameters!$O13)&gt;0),IF(Parameters!$Q13="Normal",
((Parameters!$O13-Parameters!$N13)/3.92),((LN(Parameters!$O13)-LN(Parameters!$N13))/3.92)),IF(LEN(Parameters!$M13)&gt;0,Parameters!$M13,0.0001)))</f>
        <v>0.1774001768</v>
      </c>
      <c r="Q13" s="63" t="s">
        <v>217</v>
      </c>
      <c r="R13" s="63">
        <v>0.0</v>
      </c>
      <c r="S13" s="63">
        <v>100.0</v>
      </c>
      <c r="T13" s="63" t="str">
        <f>IF(Parameters!$Q13="Linked",100-T12,IF(Parameters!$Q13="None",Parameters!$L13,MIN(Parameters!$S13,MAX(Parameters!$R13,IF(Parameters!$Q13="Normal",NORM.INV(W13,Parameters!$L13,Parameters!$P13),LOGNORM.INV(W13,LN(Parameters!$L13),Parameters!$P13))))))</f>
        <v>#NAME?</v>
      </c>
      <c r="U13" s="63" t="str">
        <f>"i_"&amp;Parameters!$K13</f>
        <v>i_Pop_Gend</v>
      </c>
      <c r="V13" s="63">
        <f>IF($Z$6=FALSE,Parameters!$L13,Parameters!$T13)</f>
        <v>34.7</v>
      </c>
      <c r="W13" s="28">
        <v>0.17102116346359253</v>
      </c>
      <c r="X13" s="6"/>
      <c r="Y13" s="6"/>
      <c r="Z13" s="6"/>
      <c r="AA13" s="6"/>
    </row>
    <row r="14" ht="14.25" customHeight="1">
      <c r="A14" s="60" t="s">
        <v>27</v>
      </c>
      <c r="B14" s="6"/>
      <c r="C14" s="62">
        <f t="shared" si="1"/>
        <v>8</v>
      </c>
      <c r="D14" s="65" t="s">
        <v>219</v>
      </c>
      <c r="E14" s="63" t="s">
        <v>3</v>
      </c>
      <c r="F14" s="62" t="s">
        <v>208</v>
      </c>
      <c r="G14" s="62">
        <v>12.0</v>
      </c>
      <c r="H14" s="63" t="s">
        <v>218</v>
      </c>
      <c r="I14" s="63"/>
      <c r="J14" s="63"/>
      <c r="K14" s="63" t="str">
        <f>MID(Parameters!$E14,1,3)&amp;"_"&amp;MID(Parameters!$D14,1,4)</f>
        <v>Pop_Obes</v>
      </c>
      <c r="L14" s="66">
        <f>Population!F12</f>
        <v>35</v>
      </c>
      <c r="M14" s="69">
        <f>IF(Parameters!$H14&lt;1,"",Population!H12)</f>
        <v>0.484239336</v>
      </c>
      <c r="N14" s="67" t="str">
        <f>IF(Parameters!$I14&lt;1,"",Population!N12)</f>
        <v/>
      </c>
      <c r="O14" s="67" t="str">
        <f>IF(Parameters!$J14&lt;1,"",Population!O12)</f>
        <v/>
      </c>
      <c r="P14" s="70">
        <f>IF(Parameters!$Q14="None","",IF(AND(LEN(Parameters!$N14)&gt;0,LEN(Parameters!$O14)&gt;0),IF(Parameters!$Q14="Normal",
((Parameters!$O14-Parameters!$N14)/3.92),((LN(Parameters!$O14)-LN(Parameters!$N14))/3.92)),IF(LEN(Parameters!$M14)&gt;0,Parameters!$M14,0.0001)))</f>
        <v>0.484239336</v>
      </c>
      <c r="Q14" s="63" t="s">
        <v>217</v>
      </c>
      <c r="R14" s="63">
        <v>0.0</v>
      </c>
      <c r="S14" s="63">
        <v>100.0</v>
      </c>
      <c r="T14" s="63" t="str">
        <f>IF(Parameters!$Q14="Linked",100-T13,IF(Parameters!$Q14="None",Parameters!$L14,MIN(Parameters!$S14,MAX(Parameters!$R14,IF(Parameters!$Q14="Normal",NORM.INV(W14,Parameters!$L14,Parameters!$P14),LOGNORM.INV(W14,LN(Parameters!$L14),Parameters!$P14))))))</f>
        <v>#NAME?</v>
      </c>
      <c r="U14" s="63" t="str">
        <f>"i_"&amp;Parameters!$K14</f>
        <v>i_Pop_Obes</v>
      </c>
      <c r="V14" s="63">
        <f>IF($Z$6=FALSE,Parameters!$L14,Parameters!$T14)</f>
        <v>35</v>
      </c>
      <c r="W14" s="28">
        <v>0.2585850954055786</v>
      </c>
      <c r="X14" s="6"/>
      <c r="Y14" s="6"/>
      <c r="Z14" s="6"/>
      <c r="AA14" s="6"/>
    </row>
    <row r="15" ht="14.25" customHeight="1">
      <c r="A15" s="12"/>
      <c r="B15" s="6"/>
      <c r="C15" s="62">
        <f t="shared" si="1"/>
        <v>9</v>
      </c>
      <c r="D15" s="65" t="s">
        <v>220</v>
      </c>
      <c r="E15" s="63" t="s">
        <v>3</v>
      </c>
      <c r="F15" s="62" t="s">
        <v>208</v>
      </c>
      <c r="G15" s="62">
        <v>13.0</v>
      </c>
      <c r="H15" s="63" t="s">
        <v>218</v>
      </c>
      <c r="I15" s="63"/>
      <c r="J15" s="63"/>
      <c r="K15" s="63" t="str">
        <f>MID(Parameters!$E15,1,3)&amp;"_"&amp;MID(Parameters!$D15,1,4)</f>
        <v>Pop_Morb</v>
      </c>
      <c r="L15" s="66">
        <f>Population!F13</f>
        <v>6</v>
      </c>
      <c r="M15" s="69">
        <f>IF(Parameters!$H15&lt;1,"",Population!H13)</f>
        <v>0.241106499</v>
      </c>
      <c r="N15" s="67" t="str">
        <f>IF(Parameters!$I15&lt;1,"",Population!N13)</f>
        <v/>
      </c>
      <c r="O15" s="67" t="str">
        <f>IF(Parameters!$J15&lt;1,"",Population!O13)</f>
        <v/>
      </c>
      <c r="P15" s="70">
        <f>IF(Parameters!$Q15="None","",IF(AND(LEN(Parameters!$N15)&gt;0,LEN(Parameters!$O15)&gt;0),IF(Parameters!$Q15="Normal",
((Parameters!$O15-Parameters!$N15)/3.92),((LN(Parameters!$O15)-LN(Parameters!$N15))/3.92)),IF(LEN(Parameters!$M15)&gt;0,Parameters!$M15,0.0001)))</f>
        <v>0.241106499</v>
      </c>
      <c r="Q15" s="63" t="s">
        <v>217</v>
      </c>
      <c r="R15" s="63">
        <v>0.0</v>
      </c>
      <c r="S15" s="63">
        <v>100.0</v>
      </c>
      <c r="T15" s="63" t="str">
        <f>IF(Parameters!$Q15="Linked",100-T14,IF(Parameters!$Q15="None",Parameters!$L15,MIN(Parameters!$S15,MAX(Parameters!$R15,IF(Parameters!$Q15="Normal",NORM.INV(W15,Parameters!$L15,Parameters!$P15),LOGNORM.INV(W15,LN(Parameters!$L15),Parameters!$P15))))))</f>
        <v>#NAME?</v>
      </c>
      <c r="U15" s="63" t="str">
        <f>"i_"&amp;Parameters!$K15</f>
        <v>i_Pop_Morb</v>
      </c>
      <c r="V15" s="63">
        <f>IF($Z$6=FALSE,Parameters!$L15,Parameters!$T15)</f>
        <v>6</v>
      </c>
      <c r="W15" s="28">
        <v>0.5392892956733704</v>
      </c>
      <c r="X15" s="6"/>
      <c r="Y15" s="6"/>
      <c r="Z15" s="6"/>
      <c r="AA15" s="6"/>
    </row>
    <row r="16" ht="14.25" customHeight="1">
      <c r="A16" s="60" t="s">
        <v>35</v>
      </c>
      <c r="B16" s="6"/>
      <c r="C16" s="64">
        <f t="shared" si="1"/>
        <v>10</v>
      </c>
      <c r="D16" s="65" t="s">
        <v>45</v>
      </c>
      <c r="E16" s="63" t="s">
        <v>3</v>
      </c>
      <c r="F16" s="62" t="s">
        <v>208</v>
      </c>
      <c r="G16" s="62">
        <v>14.0</v>
      </c>
      <c r="H16" s="63" t="s">
        <v>218</v>
      </c>
      <c r="I16" s="63"/>
      <c r="J16" s="63"/>
      <c r="K16" s="63" t="str">
        <f>MID(Parameters!$E16,1,3)&amp;"_"&amp;MID(Parameters!$D16,1,4)</f>
        <v>Pop_Diab</v>
      </c>
      <c r="L16" s="66">
        <f>Population!F14</f>
        <v>45.2</v>
      </c>
      <c r="M16" s="69">
        <f>IF(Parameters!$H16&lt;1,"",Population!H14)</f>
        <v>0.1930353543</v>
      </c>
      <c r="N16" s="67" t="str">
        <f>IF(Parameters!$I16&lt;1,"",Population!N14)</f>
        <v/>
      </c>
      <c r="O16" s="67" t="str">
        <f>IF(Parameters!$J16&lt;1,"",Population!O14)</f>
        <v/>
      </c>
      <c r="P16" s="70">
        <f>IF(Parameters!$Q16="None","",IF(AND(LEN(Parameters!$N16)&gt;0,LEN(Parameters!$O16)&gt;0),IF(Parameters!$Q16="Normal",
((Parameters!$O16-Parameters!$N16)/3.92),((LN(Parameters!$O16)-LN(Parameters!$N16))/3.92)),IF(LEN(Parameters!$M16)&gt;0,Parameters!$M16,0.0001)))</f>
        <v>0.1930353543</v>
      </c>
      <c r="Q16" s="63" t="s">
        <v>217</v>
      </c>
      <c r="R16" s="63">
        <v>0.0</v>
      </c>
      <c r="S16" s="63">
        <v>100.0</v>
      </c>
      <c r="T16" s="63" t="str">
        <f>IF(Parameters!$Q16="Linked",100-T15,IF(Parameters!$Q16="None",Parameters!$L16,MIN(Parameters!$S16,MAX(Parameters!$R16,IF(Parameters!$Q16="Normal",NORM.INV(W16,Parameters!$L16,Parameters!$P16),LOGNORM.INV(W16,LN(Parameters!$L16),Parameters!$P16))))))</f>
        <v>#NAME?</v>
      </c>
      <c r="U16" s="63" t="str">
        <f>"i_"&amp;Parameters!$K16</f>
        <v>i_Pop_Diab</v>
      </c>
      <c r="V16" s="63">
        <f>IF($Z$6=FALSE,Parameters!$L16,Parameters!$T16)</f>
        <v>45.2</v>
      </c>
      <c r="W16" s="28">
        <v>0.5044887065887451</v>
      </c>
      <c r="X16" s="6"/>
      <c r="Y16" s="6"/>
      <c r="Z16" s="6"/>
      <c r="AA16" s="6"/>
    </row>
    <row r="17" ht="14.25" customHeight="1">
      <c r="A17" s="12"/>
      <c r="B17" s="6"/>
      <c r="C17" s="64">
        <f t="shared" si="1"/>
        <v>11</v>
      </c>
      <c r="D17" s="65" t="s">
        <v>50</v>
      </c>
      <c r="E17" s="63" t="s">
        <v>22</v>
      </c>
      <c r="F17" s="62" t="s">
        <v>208</v>
      </c>
      <c r="G17" s="64">
        <v>10.0</v>
      </c>
      <c r="H17" s="63" t="s">
        <v>218</v>
      </c>
      <c r="I17" s="63"/>
      <c r="J17" s="63"/>
      <c r="K17" s="63" t="s">
        <v>221</v>
      </c>
      <c r="L17" s="66">
        <f>Interventions!F10</f>
        <v>75</v>
      </c>
      <c r="M17" s="66">
        <f>IF(Parameters!$H17&lt;1,"",Interventions!H10)</f>
        <v>2</v>
      </c>
      <c r="N17" s="67" t="str">
        <f>IF(Parameters!$I17&lt;1,"",Interventions!N10)</f>
        <v/>
      </c>
      <c r="O17" s="67" t="str">
        <f>IF(Parameters!$J17&lt;1,"",Interventions!O10)</f>
        <v/>
      </c>
      <c r="P17" s="63">
        <f>IF(Parameters!$Q17="None","",IF(AND(LEN(Parameters!$N17)&gt;0,LEN(Parameters!$O17)&gt;0),IF(Parameters!$Q17="Normal",
((Parameters!$O17-Parameters!$N17)/3.92),((LN(Parameters!$O17)-LN(Parameters!$N17))/3.92)),IF(LEN(Parameters!$M17)&gt;0,Parameters!$M17,0.0001)))</f>
        <v>2</v>
      </c>
      <c r="Q17" s="63" t="s">
        <v>217</v>
      </c>
      <c r="R17" s="63">
        <v>0.0</v>
      </c>
      <c r="S17" s="63">
        <v>1000.0</v>
      </c>
      <c r="T17" s="63" t="str">
        <f>IF(Parameters!$Q17="Linked",100-T16,IF(Parameters!$Q17="None",Parameters!$L17,MIN(Parameters!$S17,MAX(Parameters!$R17,IF(Parameters!$Q17="Normal",NORM.INV(W17,Parameters!$L17,Parameters!$P17),LOGNORM.INV(W17,LN(Parameters!$L17),Parameters!$P17))))))</f>
        <v>#NAME?</v>
      </c>
      <c r="U17" s="63" t="str">
        <f>"i_"&amp;Parameters!$K17</f>
        <v>i_Int_Purc_lead</v>
      </c>
      <c r="V17" s="63">
        <f>IF($Z$6=FALSE,Parameters!$L17,Parameters!$T17)</f>
        <v>75</v>
      </c>
      <c r="W17" s="28">
        <v>0.8744544386863708</v>
      </c>
      <c r="X17" s="6"/>
      <c r="Y17" s="6"/>
      <c r="Z17" s="6"/>
      <c r="AA17" s="6"/>
    </row>
    <row r="18" ht="14.25" customHeight="1">
      <c r="A18" s="60" t="s">
        <v>38</v>
      </c>
      <c r="B18" s="6"/>
      <c r="C18" s="64">
        <f t="shared" si="1"/>
        <v>12</v>
      </c>
      <c r="D18" s="65" t="s">
        <v>51</v>
      </c>
      <c r="E18" s="63" t="s">
        <v>22</v>
      </c>
      <c r="F18" s="62" t="s">
        <v>208</v>
      </c>
      <c r="G18" s="64">
        <v>11.0</v>
      </c>
      <c r="H18" s="63"/>
      <c r="I18" s="63" t="s">
        <v>215</v>
      </c>
      <c r="J18" s="63" t="s">
        <v>216</v>
      </c>
      <c r="K18" s="63" t="str">
        <f>MID(Parameters!$E18,1,3)&amp;"_"&amp;MID(Parameters!$D18,1,4)</f>
        <v>Int_Numb</v>
      </c>
      <c r="L18" s="66">
        <f>Interventions!F11</f>
        <v>20</v>
      </c>
      <c r="M18" s="67" t="str">
        <f>IF(Parameters!$H18&lt;1,"",Interventions!M11)</f>
        <v/>
      </c>
      <c r="N18" s="66">
        <f>IF(Parameters!$I18&lt;1,"",Interventions!I11)</f>
        <v>15</v>
      </c>
      <c r="O18" s="66">
        <f>IF(Parameters!$J18&lt;1,"",Interventions!J11)</f>
        <v>30</v>
      </c>
      <c r="P18" s="63">
        <f>IF(Parameters!$Q18="None","",IF(AND(LEN(Parameters!$N18)&gt;0,LEN(Parameters!$O18)&gt;0),IF(Parameters!$Q18="Normal",
((Parameters!$O18-Parameters!$N18)/3.92),((LN(Parameters!$O18)-LN(Parameters!$N18))/3.92)),IF(LEN(Parameters!$M18)&gt;0,Parameters!$M18,0.0001)))</f>
        <v>3.826530612</v>
      </c>
      <c r="Q18" s="63" t="s">
        <v>217</v>
      </c>
      <c r="R18" s="63">
        <f>MAX(0,Parameters!$N18-ABS(Parameters!$L18/10))</f>
        <v>13</v>
      </c>
      <c r="S18" s="63">
        <f>MIN(100000,Parameters!$O18+ABS(Parameters!$L18/10))</f>
        <v>32</v>
      </c>
      <c r="T18" s="63" t="str">
        <f>IF(Parameters!$Q18="Linked",100-T17,IF(Parameters!$Q18="None",Parameters!$L18,MIN(Parameters!$S18,MAX(Parameters!$R18,IF(Parameters!$Q18="Normal",NORM.INV(W18,Parameters!$L18,Parameters!$P18),LOGNORM.INV(W18,LN(Parameters!$L18),Parameters!$P18))))))</f>
        <v>#NAME?</v>
      </c>
      <c r="U18" s="63" t="str">
        <f>"i_"&amp;Parameters!$K18</f>
        <v>i_Int_Numb</v>
      </c>
      <c r="V18" s="63">
        <f>IF($Z$6=FALSE,Parameters!$L18,Parameters!$T18)</f>
        <v>20</v>
      </c>
      <c r="W18" s="28">
        <v>0.9053653478622437</v>
      </c>
      <c r="X18" s="6"/>
      <c r="Y18" s="6"/>
      <c r="Z18" s="6"/>
      <c r="AA18" s="6"/>
    </row>
    <row r="19" ht="14.25" customHeight="1">
      <c r="A19" s="12"/>
      <c r="B19" s="6"/>
      <c r="C19" s="64">
        <f t="shared" si="1"/>
        <v>13</v>
      </c>
      <c r="D19" s="65" t="s">
        <v>52</v>
      </c>
      <c r="E19" s="63" t="s">
        <v>22</v>
      </c>
      <c r="F19" s="62" t="s">
        <v>208</v>
      </c>
      <c r="G19" s="64">
        <v>13.0</v>
      </c>
      <c r="H19" s="63" t="s">
        <v>218</v>
      </c>
      <c r="I19" s="63"/>
      <c r="J19" s="63"/>
      <c r="K19" s="63" t="s">
        <v>222</v>
      </c>
      <c r="L19" s="66">
        <f>Interventions!F13</f>
        <v>160</v>
      </c>
      <c r="M19" s="66">
        <f>IF(Parameters!$H19&lt;1,"",Interventions!H13)</f>
        <v>10</v>
      </c>
      <c r="N19" s="67" t="str">
        <f>IF(Parameters!$I19&lt;1,"",Interventions!N13)</f>
        <v/>
      </c>
      <c r="O19" s="67" t="str">
        <f>IF(Parameters!$J19&lt;1,"",Interventions!O13)</f>
        <v/>
      </c>
      <c r="P19" s="63">
        <f>IF(Parameters!$Q19="None","",IF(AND(LEN(Parameters!$N19)&gt;0,LEN(Parameters!$O19)&gt;0),IF(Parameters!$Q19="Normal",
((Parameters!$O19-Parameters!$N19)/3.92),((LN(Parameters!$O19)-LN(Parameters!$N19))/3.92)),IF(LEN(Parameters!$M19)&gt;0,Parameters!$M19,0.0001)))</f>
        <v>10</v>
      </c>
      <c r="Q19" s="63" t="s">
        <v>217</v>
      </c>
      <c r="R19" s="63">
        <v>0.0</v>
      </c>
      <c r="S19" s="63">
        <v>1000.0</v>
      </c>
      <c r="T19" s="63" t="str">
        <f>IF(Parameters!$Q19="Linked",100-T18,IF(Parameters!$Q19="None",Parameters!$L19,MIN(Parameters!$S19,MAX(Parameters!$R19,IF(Parameters!$Q19="Normal",NORM.INV(W19,Parameters!$L19,Parameters!$P19),LOGNORM.INV(W19,LN(Parameters!$L19),Parameters!$P19))))))</f>
        <v>#NAME?</v>
      </c>
      <c r="U19" s="63" t="str">
        <f>"i_"&amp;Parameters!$K19</f>
        <v>i_Int_Purc_cable</v>
      </c>
      <c r="V19" s="63">
        <f>IF($Z$6=FALSE,Parameters!$L19,Parameters!$T19)</f>
        <v>160</v>
      </c>
      <c r="W19" s="28">
        <v>0.5777083039283752</v>
      </c>
      <c r="X19" s="6"/>
      <c r="Y19" s="6"/>
      <c r="Z19" s="6"/>
      <c r="AA19" s="6"/>
    </row>
    <row r="20" ht="14.25" customHeight="1">
      <c r="A20" s="60" t="s">
        <v>183</v>
      </c>
      <c r="B20" s="6"/>
      <c r="C20" s="64">
        <f t="shared" si="1"/>
        <v>14</v>
      </c>
      <c r="D20" s="65" t="s">
        <v>51</v>
      </c>
      <c r="E20" s="63" t="s">
        <v>22</v>
      </c>
      <c r="F20" s="62" t="s">
        <v>208</v>
      </c>
      <c r="G20" s="64">
        <v>14.0</v>
      </c>
      <c r="H20" s="63"/>
      <c r="I20" s="63" t="s">
        <v>215</v>
      </c>
      <c r="J20" s="63" t="s">
        <v>216</v>
      </c>
      <c r="K20" s="63" t="s">
        <v>223</v>
      </c>
      <c r="L20" s="66">
        <f>Interventions!F14</f>
        <v>30</v>
      </c>
      <c r="M20" s="67" t="str">
        <f>IF(Parameters!$H20&lt;1,"",Interventions!M14)</f>
        <v/>
      </c>
      <c r="N20" s="66">
        <f>IF(Parameters!$I20&lt;1,"",Interventions!I14)</f>
        <v>20</v>
      </c>
      <c r="O20" s="66">
        <f>IF(Parameters!$J20&lt;1,"",Interventions!J14)</f>
        <v>40</v>
      </c>
      <c r="P20" s="63">
        <f>IF(Parameters!$Q20="None","",IF(AND(LEN(Parameters!$N20)&gt;0,LEN(Parameters!$O20)&gt;0),IF(Parameters!$Q20="Normal",
((Parameters!$O20-Parameters!$N20)/3.92),((LN(Parameters!$O20)-LN(Parameters!$N20))/3.92)),IF(LEN(Parameters!$M20)&gt;0,Parameters!$M20,0.0001)))</f>
        <v>5.102040816</v>
      </c>
      <c r="Q20" s="63" t="s">
        <v>217</v>
      </c>
      <c r="R20" s="63">
        <f>MAX(0,Parameters!$N20-ABS(Parameters!$L20/10))</f>
        <v>17</v>
      </c>
      <c r="S20" s="63">
        <f>MIN(100000,Parameters!$O20+ABS(Parameters!$L20/10))</f>
        <v>43</v>
      </c>
      <c r="T20" s="63" t="str">
        <f>IF(Parameters!$Q20="Linked",100-T19,IF(Parameters!$Q20="None",Parameters!$L20,MIN(Parameters!$S20,MAX(Parameters!$R20,IF(Parameters!$Q20="Normal",NORM.INV(W20,Parameters!$L20,Parameters!$P20),LOGNORM.INV(W20,LN(Parameters!$L20),Parameters!$P20))))))</f>
        <v>#NAME?</v>
      </c>
      <c r="U20" s="63" t="str">
        <f>"i_"&amp;Parameters!$K20</f>
        <v>i_Int_Numb_cable</v>
      </c>
      <c r="V20" s="63">
        <f>IF($Z$6=FALSE,Parameters!$L20,Parameters!$T20)</f>
        <v>30</v>
      </c>
      <c r="W20" s="28">
        <v>0.7029523849487305</v>
      </c>
      <c r="X20" s="6"/>
      <c r="Y20" s="6"/>
      <c r="Z20" s="6"/>
      <c r="AA20" s="6"/>
    </row>
    <row r="21" ht="14.25" customHeight="1">
      <c r="A21" s="12"/>
      <c r="B21" s="6"/>
      <c r="C21" s="64">
        <f t="shared" si="1"/>
        <v>15</v>
      </c>
      <c r="D21" s="65" t="s">
        <v>53</v>
      </c>
      <c r="E21" s="63" t="s">
        <v>22</v>
      </c>
      <c r="F21" s="62" t="s">
        <v>208</v>
      </c>
      <c r="G21" s="64">
        <v>16.0</v>
      </c>
      <c r="H21" s="63"/>
      <c r="I21" s="63" t="s">
        <v>215</v>
      </c>
      <c r="J21" s="63" t="s">
        <v>216</v>
      </c>
      <c r="K21" s="63" t="str">
        <f>MID(Parameters!$E21,1,3)&amp;"_"&amp;MID(Parameters!$D21,1,4)</f>
        <v>Int_Cost</v>
      </c>
      <c r="L21" s="69">
        <f>Interventions!F16</f>
        <v>9.083333333</v>
      </c>
      <c r="M21" s="67" t="str">
        <f>IF(Parameters!$H21&lt;1,"",Interventions!M16)</f>
        <v/>
      </c>
      <c r="N21" s="69">
        <f>IF(Parameters!$I21&lt;1,"",Interventions!I16)</f>
        <v>6.5</v>
      </c>
      <c r="O21" s="69">
        <f>IF(Parameters!$J21&lt;1,"",Interventions!J16)</f>
        <v>13</v>
      </c>
      <c r="P21" s="63">
        <f>IF(Parameters!$Q21="None","",IF(AND(LEN(Parameters!$N21)&gt;0,LEN(Parameters!$O21)&gt;0),IF(Parameters!$Q21="Normal",
((Parameters!$O21-Parameters!$N21)/3.92),((LN(Parameters!$O21)-LN(Parameters!$N21))/3.92)),IF(LEN(Parameters!$M21)&gt;0,Parameters!$M21,0.0001)))</f>
        <v>1.658163265</v>
      </c>
      <c r="Q21" s="63" t="s">
        <v>217</v>
      </c>
      <c r="R21" s="63">
        <f>MAX(0,Parameters!$N21-ABS(Parameters!$L21/10))</f>
        <v>5.591666667</v>
      </c>
      <c r="S21" s="63">
        <f>MIN(100000,Parameters!$O21+ABS(Parameters!$L21/10))</f>
        <v>13.90833333</v>
      </c>
      <c r="T21" s="63" t="str">
        <f>IF(Parameters!$Q21="Linked",100-T20,IF(Parameters!$Q21="None",Parameters!$L21,MIN(Parameters!$S21,MAX(Parameters!$R21,IF(Parameters!$Q21="Normal",NORM.INV(W21,Parameters!$L21,Parameters!$P21),LOGNORM.INV(W21,LN(Parameters!$L21),Parameters!$P21))))))</f>
        <v>#NAME?</v>
      </c>
      <c r="U21" s="63" t="str">
        <f>"i_"&amp;Parameters!$K21</f>
        <v>i_Int_Cost</v>
      </c>
      <c r="V21" s="70">
        <f>IF($Z$6=FALSE,Parameters!$L21,Parameters!$T21)</f>
        <v>9.083333333</v>
      </c>
      <c r="W21" s="28">
        <v>0.5879012942314148</v>
      </c>
      <c r="X21" s="6"/>
      <c r="Y21" s="6"/>
      <c r="Z21" s="6"/>
      <c r="AA21" s="6"/>
    </row>
    <row r="22" ht="14.25" customHeight="1">
      <c r="A22" s="12"/>
      <c r="B22" s="6"/>
      <c r="C22" s="64">
        <f t="shared" si="1"/>
        <v>16</v>
      </c>
      <c r="D22" s="65" t="s">
        <v>54</v>
      </c>
      <c r="E22" s="63" t="s">
        <v>22</v>
      </c>
      <c r="F22" s="62" t="s">
        <v>208</v>
      </c>
      <c r="G22" s="64">
        <v>17.0</v>
      </c>
      <c r="H22" s="63" t="s">
        <v>218</v>
      </c>
      <c r="I22" s="63"/>
      <c r="J22" s="63"/>
      <c r="K22" s="63" t="str">
        <f>MID(Parameters!$E22,1,3)&amp;"_"&amp;MID(Parameters!$D22,1,4)</f>
        <v>Int_Mark</v>
      </c>
      <c r="L22" s="66">
        <f>Interventions!F17</f>
        <v>100</v>
      </c>
      <c r="M22" s="66">
        <f>IF(Parameters!$H22&lt;1,"",Interventions!H17)</f>
        <v>0.1</v>
      </c>
      <c r="N22" s="67" t="str">
        <f>IF(Parameters!$I22&lt;1,"",Interventions!N17)</f>
        <v/>
      </c>
      <c r="O22" s="67" t="str">
        <f>IF(Parameters!$J22&lt;1,"",Interventions!O17)</f>
        <v/>
      </c>
      <c r="P22" s="63" t="str">
        <f>IF(Parameters!$Q22="None","",IF(AND(LEN(Parameters!$N22)&gt;0,LEN(Parameters!$O22)&gt;0),IF(Parameters!$Q22="Normal",
((Parameters!$O22-Parameters!$N22)/3.92),((LN(Parameters!$O22)-LN(Parameters!$N22))/3.92)),IF(LEN(Parameters!$M22)&gt;0,Parameters!$M22,0.0001)))</f>
        <v/>
      </c>
      <c r="Q22" s="63" t="s">
        <v>209</v>
      </c>
      <c r="R22" s="63">
        <v>0.0</v>
      </c>
      <c r="S22" s="63">
        <v>100.0</v>
      </c>
      <c r="T22" s="63">
        <f>IF(Parameters!$Q22="Linked",100-T21,IF(Parameters!$Q22="None",Parameters!$L22,MIN(Parameters!$S22,MAX(Parameters!$R22,IF(Parameters!$Q22="Normal",NORM.INV(W22,Parameters!$L22,Parameters!$P22),LOGNORM.INV(W22,LN(Parameters!$L22),Parameters!$P22))))))</f>
        <v>100</v>
      </c>
      <c r="U22" s="63" t="str">
        <f>"i_"&amp;Parameters!$K22</f>
        <v>i_Int_Mark</v>
      </c>
      <c r="V22" s="63">
        <f>IF($Z$6=FALSE,Parameters!$L22,Parameters!$T22)</f>
        <v>100</v>
      </c>
      <c r="W22" s="28">
        <v>0.08851110935211182</v>
      </c>
      <c r="X22" s="6"/>
      <c r="Y22" s="6"/>
      <c r="Z22" s="6"/>
      <c r="AA22" s="6"/>
    </row>
    <row r="23" ht="14.25" customHeight="1">
      <c r="A23" s="12"/>
      <c r="B23" s="6"/>
      <c r="C23" s="64">
        <f t="shared" si="1"/>
        <v>17</v>
      </c>
      <c r="D23" s="65" t="s">
        <v>56</v>
      </c>
      <c r="E23" s="63" t="s">
        <v>22</v>
      </c>
      <c r="F23" s="62" t="s">
        <v>208</v>
      </c>
      <c r="G23" s="64">
        <v>18.0</v>
      </c>
      <c r="H23" s="63"/>
      <c r="I23" s="63"/>
      <c r="J23" s="63"/>
      <c r="K23" s="63" t="str">
        <f>MID(Parameters!$E23,1,3)&amp;"_"&amp;MID(Parameters!$D23,1,4)</f>
        <v>Int_Effi</v>
      </c>
      <c r="L23" s="68" t="str">
        <f>Interventions!F18</f>
        <v>Reference</v>
      </c>
      <c r="M23" s="67" t="str">
        <f>IF(Parameters!$H23&lt;1,"",Interventions!M18)</f>
        <v/>
      </c>
      <c r="N23" s="67" t="str">
        <f>IF(Parameters!$I23&lt;1,"",Interventions!N18)</f>
        <v/>
      </c>
      <c r="O23" s="67" t="str">
        <f>IF(Parameters!$J23&lt;1,"",Interventions!O18)</f>
        <v/>
      </c>
      <c r="P23" s="63" t="str">
        <f>IF(Parameters!$Q23="None","",IF(AND(LEN(Parameters!$N23)&gt;0,LEN(Parameters!$O23)&gt;0),IF(Parameters!$Q23="Normal",
((Parameters!$O23-Parameters!$N23)/3.92),((LN(Parameters!$O23)-LN(Parameters!$N23))/3.92)),IF(LEN(Parameters!$M23)&gt;0,Parameters!$M23,0.0001)))</f>
        <v/>
      </c>
      <c r="Q23" s="63" t="s">
        <v>209</v>
      </c>
      <c r="R23" s="63"/>
      <c r="S23" s="63"/>
      <c r="T23" s="63" t="str">
        <f>IF(Parameters!$Q23="Linked",100-T22,IF(Parameters!$Q23="None",Parameters!$L23,MIN(Parameters!$S23,MAX(Parameters!$R23,IF(Parameters!$Q23="Normal",NORM.INV(W23,Parameters!$L23,Parameters!$P23),LOGNORM.INV(W23,LN(Parameters!$L23),Parameters!$P23))))))</f>
        <v>Reference</v>
      </c>
      <c r="U23" s="63" t="str">
        <f>"i_"&amp;Parameters!$K23</f>
        <v>i_Int_Effi</v>
      </c>
      <c r="V23" s="63" t="str">
        <f>IF($Z$6=FALSE,Parameters!$L23,Parameters!$T23)</f>
        <v>Reference</v>
      </c>
      <c r="W23" s="28">
        <v>0.30781203508377075</v>
      </c>
      <c r="X23" s="6"/>
      <c r="Y23" s="6"/>
      <c r="Z23" s="6"/>
      <c r="AA23" s="6"/>
    </row>
    <row r="24" ht="14.25" customHeight="1">
      <c r="A24" s="12"/>
      <c r="B24" s="6"/>
      <c r="C24" s="64">
        <f t="shared" si="1"/>
        <v>18</v>
      </c>
      <c r="D24" s="62" t="s">
        <v>243</v>
      </c>
      <c r="E24" s="63" t="s">
        <v>22</v>
      </c>
      <c r="F24" s="62" t="s">
        <v>208</v>
      </c>
      <c r="G24" s="64">
        <v>22.0</v>
      </c>
      <c r="H24" s="63" t="s">
        <v>218</v>
      </c>
      <c r="I24" s="63"/>
      <c r="J24" s="63"/>
      <c r="K24" s="63" t="s">
        <v>244</v>
      </c>
      <c r="L24" s="66">
        <f>Interventions!F22</f>
        <v>15</v>
      </c>
      <c r="M24" s="66">
        <f>IF(Parameters!$H24&lt;1,"",Interventions!H22)</f>
        <v>2</v>
      </c>
      <c r="N24" s="67" t="str">
        <f>IF(Parameters!$I24&lt;1,"",Interventions!N22)</f>
        <v/>
      </c>
      <c r="O24" s="67" t="str">
        <f>IF(Parameters!$J24&lt;1,"",Interventions!O22)</f>
        <v/>
      </c>
      <c r="P24" s="63">
        <f>IF(Parameters!$Q24="None","",IF(AND(LEN(Parameters!$N24)&gt;0,LEN(Parameters!$O24)&gt;0),IF(Parameters!$Q24="Normal",
((Parameters!$O24-Parameters!$N24)/3.92),((LN(Parameters!$O24)-LN(Parameters!$N24))/3.92)),IF(LEN(Parameters!$M24)&gt;0,Parameters!$M24,0.0001)))</f>
        <v>2</v>
      </c>
      <c r="Q24" s="63" t="s">
        <v>217</v>
      </c>
      <c r="R24" s="63">
        <v>0.0</v>
      </c>
      <c r="S24" s="63">
        <v>1000.0</v>
      </c>
      <c r="T24" s="63" t="str">
        <f>IF(Parameters!$Q24="Linked",100-T23,IF(Parameters!$Q24="None",Parameters!$L24,MIN(Parameters!$S24,MAX(Parameters!$R24,IF(Parameters!$Q24="Normal",NORM.INV(W24,Parameters!$L24,Parameters!$P24),LOGNORM.INV(W24,LN(Parameters!$L24),Parameters!$P24))))))</f>
        <v>#NAME?</v>
      </c>
      <c r="U24" s="63" t="str">
        <f>"i_"&amp;Parameters!$K24</f>
        <v>i_Int_Kend_cost</v>
      </c>
      <c r="V24" s="63">
        <f>IF($Z$6=FALSE,Parameters!$L24,Parameters!$T24)</f>
        <v>15</v>
      </c>
      <c r="W24" s="28">
        <v>0.924018144607544</v>
      </c>
      <c r="X24" s="6"/>
      <c r="Y24" s="6"/>
      <c r="Z24" s="6"/>
      <c r="AA24" s="6"/>
    </row>
    <row r="25" ht="14.25" customHeight="1">
      <c r="A25" s="12"/>
      <c r="B25" s="6"/>
      <c r="C25" s="63">
        <f t="shared" si="1"/>
        <v>19</v>
      </c>
      <c r="D25" s="62" t="s">
        <v>246</v>
      </c>
      <c r="E25" s="63" t="s">
        <v>22</v>
      </c>
      <c r="F25" s="62" t="s">
        <v>208</v>
      </c>
      <c r="G25" s="63">
        <v>23.0</v>
      </c>
      <c r="H25" s="63"/>
      <c r="I25" s="63" t="s">
        <v>215</v>
      </c>
      <c r="J25" s="63" t="s">
        <v>216</v>
      </c>
      <c r="K25" s="63" t="s">
        <v>247</v>
      </c>
      <c r="L25" s="66">
        <f>Interventions!F23</f>
        <v>0</v>
      </c>
      <c r="M25" s="67" t="str">
        <f>IF(Parameters!$H25&lt;1,"",Interventions!M23)</f>
        <v/>
      </c>
      <c r="N25" s="67"/>
      <c r="O25" s="67"/>
      <c r="P25" s="63" t="str">
        <f>IF(Parameters!$Q25="None","",IF(AND(LEN(Parameters!$N25)&gt;0,LEN(Parameters!$O25)&gt;0),IF(Parameters!$Q25="Normal",
((Parameters!$O25-Parameters!$N25)/3.92),((LN(Parameters!$O25)-LN(Parameters!$N25))/3.92)),IF(LEN(Parameters!$M25)&gt;0,Parameters!$M25,0.0001)))</f>
        <v/>
      </c>
      <c r="Q25" s="63" t="s">
        <v>209</v>
      </c>
      <c r="R25" s="63"/>
      <c r="S25" s="63"/>
      <c r="T25" s="63">
        <f>IF(Parameters!$Q25="Linked",100-T24,IF(Parameters!$Q25="None",Parameters!$L25,MIN(Parameters!$S25,MAX(Parameters!$R25,IF(Parameters!$Q25="Normal",NORM.INV(W25,Parameters!$L25,Parameters!$P25),LOGNORM.INV(W25,LN(Parameters!$L25),Parameters!$P25))))))</f>
        <v>0</v>
      </c>
      <c r="U25" s="63" t="str">
        <f>"i_"&amp;Parameters!$K25</f>
        <v>i_Int_Kend_MS</v>
      </c>
      <c r="V25" s="63">
        <f>IF($Z$6=FALSE,Parameters!$L25,Parameters!$T25)</f>
        <v>0</v>
      </c>
      <c r="W25" s="28">
        <v>0.9405731558799744</v>
      </c>
      <c r="X25" s="6"/>
      <c r="Y25" s="6"/>
      <c r="Z25" s="6"/>
      <c r="AA25" s="6"/>
    </row>
    <row r="26" ht="14.25" customHeight="1">
      <c r="A26" s="12"/>
      <c r="B26" s="6"/>
      <c r="C26" s="63">
        <f t="shared" si="1"/>
        <v>20</v>
      </c>
      <c r="D26" s="63" t="s">
        <v>251</v>
      </c>
      <c r="E26" s="63" t="s">
        <v>22</v>
      </c>
      <c r="F26" s="62" t="s">
        <v>208</v>
      </c>
      <c r="G26" s="63">
        <v>24.0</v>
      </c>
      <c r="H26" s="63"/>
      <c r="I26" s="63" t="s">
        <v>215</v>
      </c>
      <c r="J26" s="63" t="s">
        <v>216</v>
      </c>
      <c r="K26" s="63" t="s">
        <v>252</v>
      </c>
      <c r="L26" s="66">
        <f>Interventions!F24</f>
        <v>100</v>
      </c>
      <c r="M26" s="67" t="str">
        <f>IF(Parameters!$H26&lt;1,"",Interventions!M24)</f>
        <v/>
      </c>
      <c r="N26" s="66">
        <f>IF(Parameters!$I26&lt;1,"",Interventions!I24)</f>
        <v>99</v>
      </c>
      <c r="O26" s="66">
        <f>IF(Parameters!$J26&lt;1,"",Interventions!J24)</f>
        <v>100</v>
      </c>
      <c r="P26" s="63">
        <f>IF(Parameters!$Q26="None","",IF(AND(LEN(Parameters!$N26)&gt;0,LEN(Parameters!$O26)&gt;0),IF(Parameters!$Q26="Normal",
((Parameters!$O26-Parameters!$N26)/3.92),((LN(Parameters!$O26)-LN(Parameters!$N26))/3.92)),IF(LEN(Parameters!$M26)&gt;0,Parameters!$M26,0.0001)))</f>
        <v>0.2551020408</v>
      </c>
      <c r="Q26" s="63" t="s">
        <v>217</v>
      </c>
      <c r="R26" s="63">
        <v>1.0</v>
      </c>
      <c r="S26" s="63">
        <v>100.0</v>
      </c>
      <c r="T26" s="63" t="str">
        <f>IF(Parameters!$Q26="Linked",100-T25,IF(Parameters!$Q26="None",Parameters!$L26,MIN(Parameters!$S26,MAX(Parameters!$R26,IF(Parameters!$Q26="Normal",NORM.INV(W26,Parameters!$L26,Parameters!$P26),LOGNORM.INV(W26,LN(Parameters!$L26),Parameters!$P26))))))</f>
        <v>#NAME?</v>
      </c>
      <c r="U26" s="63" t="str">
        <f>"i_"&amp;Parameters!$K26</f>
        <v>i_Int_Kend_MS_inc</v>
      </c>
      <c r="V26" s="63">
        <f>IF($Z$6=FALSE,Parameters!$L26,Parameters!$T26)</f>
        <v>100</v>
      </c>
      <c r="W26" s="28">
        <v>0.2328881025314331</v>
      </c>
      <c r="X26" s="6"/>
      <c r="Y26" s="6"/>
      <c r="Z26" s="6"/>
      <c r="AA26" s="6"/>
    </row>
    <row r="27" ht="14.25" customHeight="1">
      <c r="A27" s="12"/>
      <c r="B27" s="6"/>
      <c r="C27" s="63">
        <f t="shared" si="1"/>
        <v>21</v>
      </c>
      <c r="D27" s="63" t="s">
        <v>255</v>
      </c>
      <c r="E27" s="63" t="s">
        <v>22</v>
      </c>
      <c r="F27" s="62" t="s">
        <v>208</v>
      </c>
      <c r="G27" s="63">
        <v>26.0</v>
      </c>
      <c r="H27" s="63"/>
      <c r="I27" s="63" t="s">
        <v>215</v>
      </c>
      <c r="J27" s="63" t="s">
        <v>216</v>
      </c>
      <c r="K27" s="63" t="s">
        <v>256</v>
      </c>
      <c r="L27" s="66">
        <f>Interventions!F26</f>
        <v>0.74</v>
      </c>
      <c r="M27" s="67" t="str">
        <f>IF(Parameters!$H27&lt;1,"",Interventions!M26)</f>
        <v/>
      </c>
      <c r="N27" s="66">
        <f>IF(Parameters!$I27&lt;1,"",Interventions!I26)</f>
        <v>0.63</v>
      </c>
      <c r="O27" s="66">
        <f>IF(Parameters!$J27&lt;1,"",Interventions!J26)</f>
        <v>0.88</v>
      </c>
      <c r="P27" s="63">
        <f>IF(Parameters!$Q27="None","",IF(AND(LEN(Parameters!$N27)&gt;0,LEN(Parameters!$O27)&gt;0),IF(Parameters!$Q27="Normal",
((Parameters!$O27-Parameters!$N27)/3.92),((LN(Parameters!$O27)-LN(Parameters!$N27))/3.92)),IF(LEN(Parameters!$M27)&gt;0,Parameters!$M27,0.0001)))</f>
        <v>0.08525563472</v>
      </c>
      <c r="Q27" s="63" t="s">
        <v>258</v>
      </c>
      <c r="R27" s="63">
        <f>MAX(0,Parameters!$N27-ABS(Parameters!$L27/10))</f>
        <v>0.556</v>
      </c>
      <c r="S27" s="63">
        <f>MIN(100000,Parameters!$O27+ABS(Parameters!$L27/10))</f>
        <v>0.954</v>
      </c>
      <c r="T27" s="63" t="str">
        <f>IF(Parameters!$Q27="Linked",100-T26,IF(Parameters!$Q27="None",Parameters!$L27,MIN(Parameters!$S27,MAX(Parameters!$R27,IF(Parameters!$Q27="Normal",NORM.INV(W27,Parameters!$L27,Parameters!$P27),LOGNORM.INV(W27,LN(Parameters!$L27),Parameters!$P27))))))</f>
        <v>#NAME?</v>
      </c>
      <c r="U27" s="63" t="str">
        <f>"i_"&amp;Parameters!$K27</f>
        <v>i_Int_Kend_ssi</v>
      </c>
      <c r="V27" s="63">
        <f>IF($Z$6=FALSE,Parameters!$L27,Parameters!$T27)</f>
        <v>0.74</v>
      </c>
      <c r="W27" s="28">
        <v>0.5175033211708069</v>
      </c>
      <c r="X27" s="6"/>
      <c r="Y27" s="6"/>
      <c r="Z27" s="6"/>
      <c r="AA27" s="6"/>
    </row>
    <row r="28" ht="14.25" customHeight="1">
      <c r="A28" s="12"/>
      <c r="B28" s="6"/>
      <c r="C28" s="63">
        <f t="shared" si="1"/>
        <v>22</v>
      </c>
      <c r="D28" s="63" t="s">
        <v>261</v>
      </c>
      <c r="E28" s="63" t="s">
        <v>22</v>
      </c>
      <c r="F28" s="62" t="s">
        <v>208</v>
      </c>
      <c r="G28" s="63">
        <v>27.0</v>
      </c>
      <c r="H28" s="63"/>
      <c r="I28" s="63" t="s">
        <v>215</v>
      </c>
      <c r="J28" s="63" t="s">
        <v>216</v>
      </c>
      <c r="K28" s="63" t="s">
        <v>262</v>
      </c>
      <c r="L28" s="66">
        <f>Interventions!F27</f>
        <v>0.81</v>
      </c>
      <c r="M28" s="67" t="str">
        <f>IF(Parameters!$H28&lt;1,"",Interventions!M27)</f>
        <v/>
      </c>
      <c r="N28" s="66">
        <f>IF(Parameters!$I28&lt;1,"",Interventions!I27)</f>
        <v>0.63</v>
      </c>
      <c r="O28" s="66">
        <f>IF(Parameters!$J28&lt;1,"",Interventions!J27)</f>
        <v>1.06</v>
      </c>
      <c r="P28" s="63">
        <f>IF(Parameters!$Q28="None","",IF(AND(LEN(Parameters!$N28)&gt;0,LEN(Parameters!$O28)&gt;0),IF(Parameters!$Q28="Normal",
((Parameters!$O28-Parameters!$N28)/3.92),((LN(Parameters!$O28)-LN(Parameters!$N28))/3.92)),IF(LEN(Parameters!$M28)&gt;0,Parameters!$M28,0.0001)))</f>
        <v>0.1327307061</v>
      </c>
      <c r="Q28" s="63" t="s">
        <v>258</v>
      </c>
      <c r="R28" s="63">
        <f>MAX(0,Parameters!$N28-ABS(Parameters!$L28/10))</f>
        <v>0.549</v>
      </c>
      <c r="S28" s="63">
        <f>MIN(100000,Parameters!$O28+ABS(Parameters!$L28/10))</f>
        <v>1.141</v>
      </c>
      <c r="T28" s="63" t="str">
        <f>IF(Parameters!$Q28="Linked",100-T27,IF(Parameters!$Q28="None",Parameters!$L28,MIN(Parameters!$S28,MAX(Parameters!$R28,IF(Parameters!$Q28="Normal",NORM.INV(W28,Parameters!$L28,Parameters!$P28),LOGNORM.INV(W28,LN(Parameters!$L28),Parameters!$P28))))))</f>
        <v>#NAME?</v>
      </c>
      <c r="U28" s="63" t="str">
        <f>"i_"&amp;Parameters!$K28</f>
        <v>i_Int_Kend_false</v>
      </c>
      <c r="V28" s="63">
        <f>IF($Z$6=FALSE,Parameters!$L28,Parameters!$T28)</f>
        <v>0.81</v>
      </c>
      <c r="W28" s="28">
        <v>0.6164774894714355</v>
      </c>
      <c r="X28" s="6"/>
      <c r="Y28" s="6"/>
      <c r="Z28" s="6"/>
      <c r="AA28" s="6"/>
    </row>
    <row r="29" ht="14.25" customHeight="1">
      <c r="A29" s="12"/>
      <c r="B29" s="6"/>
      <c r="C29" s="63">
        <f t="shared" si="1"/>
        <v>23</v>
      </c>
      <c r="D29" s="63" t="s">
        <v>264</v>
      </c>
      <c r="E29" s="63" t="s">
        <v>22</v>
      </c>
      <c r="F29" s="62" t="s">
        <v>208</v>
      </c>
      <c r="G29" s="63">
        <v>28.0</v>
      </c>
      <c r="H29" s="63"/>
      <c r="I29" s="63" t="s">
        <v>215</v>
      </c>
      <c r="J29" s="63" t="s">
        <v>216</v>
      </c>
      <c r="K29" s="63" t="s">
        <v>265</v>
      </c>
      <c r="L29" s="66">
        <f>Interventions!F28</f>
        <v>0.71</v>
      </c>
      <c r="M29" s="67" t="str">
        <f>IF(Parameters!$H29&lt;1,"",Interventions!M28)</f>
        <v/>
      </c>
      <c r="N29" s="66">
        <f>IF(Parameters!$I29&lt;1,"",Interventions!I28)</f>
        <v>0.53</v>
      </c>
      <c r="O29" s="66">
        <f>IF(Parameters!$J29&lt;1,"",Interventions!J28)</f>
        <v>0.96</v>
      </c>
      <c r="P29" s="63">
        <f>IF(Parameters!$Q29="None","",IF(AND(LEN(Parameters!$N29)&gt;0,LEN(Parameters!$O29)&gt;0),IF(Parameters!$Q29="Normal",
((Parameters!$O29-Parameters!$N29)/3.92),((LN(Parameters!$O29)-LN(Parameters!$N29))/3.92)),IF(LEN(Parameters!$M29)&gt;0,Parameters!$M29,0.0001)))</f>
        <v>0.1515449689</v>
      </c>
      <c r="Q29" s="63" t="s">
        <v>258</v>
      </c>
      <c r="R29" s="63">
        <f>MAX(0,Parameters!$N29-ABS(Parameters!$L29/10))</f>
        <v>0.459</v>
      </c>
      <c r="S29" s="63">
        <f>MIN(100000,Parameters!$O29+ABS(Parameters!$L29/10))</f>
        <v>1.031</v>
      </c>
      <c r="T29" s="63" t="str">
        <f>IF(Parameters!$Q29="Linked",100-T28,IF(Parameters!$Q29="None",Parameters!$L29,MIN(Parameters!$S29,MAX(Parameters!$R29,IF(Parameters!$Q29="Normal",NORM.INV(W29,Parameters!$L29,Parameters!$P29),LOGNORM.INV(W29,LN(Parameters!$L29),Parameters!$P29))))))</f>
        <v>#NAME?</v>
      </c>
      <c r="U29" s="63" t="str">
        <f>"i_"&amp;Parameters!$K29</f>
        <v>i_Int_Kend_leadsoff</v>
      </c>
      <c r="V29" s="63">
        <f>IF($Z$6=FALSE,Parameters!$L29,Parameters!$T29)</f>
        <v>0.71</v>
      </c>
      <c r="W29" s="28">
        <v>0.14859551191329956</v>
      </c>
      <c r="X29" s="6"/>
      <c r="Y29" s="6"/>
      <c r="Z29" s="6"/>
      <c r="AA29" s="6"/>
    </row>
    <row r="30" ht="14.25" customHeight="1">
      <c r="A30" s="12"/>
      <c r="B30" s="6"/>
      <c r="C30" s="63">
        <f t="shared" si="1"/>
        <v>24</v>
      </c>
      <c r="D30" s="62" t="s">
        <v>70</v>
      </c>
      <c r="E30" s="63" t="s">
        <v>269</v>
      </c>
      <c r="F30" s="62" t="s">
        <v>208</v>
      </c>
      <c r="G30" s="63">
        <v>10.0</v>
      </c>
      <c r="H30" s="63"/>
      <c r="I30" s="63"/>
      <c r="J30" s="63"/>
      <c r="K30" s="63" t="str">
        <f>MID(Parameters!$E30,1,3)&amp;"_"&amp;MID(Parameters!$D30,1,4)</f>
        <v>Eve_Time</v>
      </c>
      <c r="L30" s="66">
        <f>Events!F10</f>
        <v>0.5</v>
      </c>
      <c r="M30" s="67" t="str">
        <f>IF(Parameters!$H30&lt;1,"",Events!M10)</f>
        <v/>
      </c>
      <c r="N30" s="67" t="str">
        <f>IF(Parameters!$I30&lt;1,"",Events!N10)</f>
        <v/>
      </c>
      <c r="O30" s="67" t="str">
        <f>IF(Parameters!$J30&lt;1,"",Events!O10)</f>
        <v/>
      </c>
      <c r="P30" s="63">
        <f>IF(Parameters!$Q30="None","",IF(AND(LEN(Parameters!$N30)&gt;0,LEN(Parameters!$O30)&gt;0),IF(Parameters!$Q30="Normal",
((Parameters!$O30-Parameters!$N30)/3.92),((LN(Parameters!$O30)-LN(Parameters!$N30))/3.92)),IF(LEN(Parameters!$M30)&gt;0,Parameters!$M30,0.0001)))</f>
        <v>0.0001</v>
      </c>
      <c r="Q30" s="63" t="s">
        <v>217</v>
      </c>
      <c r="R30" s="63">
        <v>0.5</v>
      </c>
      <c r="S30" s="63">
        <v>30.0</v>
      </c>
      <c r="T30" s="63" t="str">
        <f>IF(Parameters!$Q30="Linked",100-T29,IF(Parameters!$Q30="None",Parameters!$L30,MIN(Parameters!$S30,MAX(Parameters!$R30,IF(Parameters!$Q30="Normal",NORM.INV(W30,Parameters!$L30,Parameters!$P30),LOGNORM.INV(W30,LN(Parameters!$L30),Parameters!$P30))))))</f>
        <v>#NAME?</v>
      </c>
      <c r="U30" s="63" t="str">
        <f>"i_"&amp;Parameters!$K30</f>
        <v>i_Eve_Time</v>
      </c>
      <c r="V30" s="63">
        <f>IF($Z$6=FALSE,Parameters!$L30,Parameters!$T30)</f>
        <v>0.5</v>
      </c>
      <c r="W30" s="28">
        <v>0.0026198625564575195</v>
      </c>
      <c r="X30" s="6"/>
      <c r="Y30" s="6"/>
      <c r="Z30" s="6"/>
      <c r="AA30" s="6"/>
    </row>
    <row r="31" ht="14.25" customHeight="1">
      <c r="A31" s="12"/>
      <c r="B31" s="6"/>
      <c r="C31" s="63">
        <f t="shared" si="1"/>
        <v>25</v>
      </c>
      <c r="D31" s="62" t="s">
        <v>271</v>
      </c>
      <c r="E31" s="63" t="s">
        <v>269</v>
      </c>
      <c r="F31" s="62" t="s">
        <v>208</v>
      </c>
      <c r="G31" s="63">
        <v>11.0</v>
      </c>
      <c r="H31" s="63"/>
      <c r="I31" s="63"/>
      <c r="J31" s="63"/>
      <c r="K31" s="63" t="str">
        <f>MID(Parameters!$E31,1,3)&amp;"_"&amp;MID(Parameters!$D31,1,4)</f>
        <v>Eve_ICU </v>
      </c>
      <c r="L31" s="66">
        <f>Events!F11</f>
        <v>1</v>
      </c>
      <c r="M31" s="67" t="str">
        <f>IF(Parameters!$H31&lt;1,"",Events!M11)</f>
        <v/>
      </c>
      <c r="N31" s="67" t="str">
        <f>IF(Parameters!$I31&lt;1,"",Events!N11)</f>
        <v/>
      </c>
      <c r="O31" s="67" t="str">
        <f>IF(Parameters!$J31&lt;1,"",Events!O11)</f>
        <v/>
      </c>
      <c r="P31" s="63">
        <f>IF(Parameters!$Q31="None","",IF(AND(LEN(Parameters!$N31)&gt;0,LEN(Parameters!$O31)&gt;0),IF(Parameters!$Q31="Normal",
((Parameters!$O31-Parameters!$N31)/3.92),((LN(Parameters!$O31)-LN(Parameters!$N31))/3.92)),IF(LEN(Parameters!$M31)&gt;0,Parameters!$M31,0.0001)))</f>
        <v>0.0001</v>
      </c>
      <c r="Q31" s="63" t="s">
        <v>217</v>
      </c>
      <c r="R31" s="63">
        <v>0.5</v>
      </c>
      <c r="S31" s="63">
        <v>30.0</v>
      </c>
      <c r="T31" s="63" t="str">
        <f>IF(Parameters!$Q31="Linked",100-T30,IF(Parameters!$Q31="None",Parameters!$L31,MIN(Parameters!$S31,MAX(Parameters!$R31,IF(Parameters!$Q31="Normal",NORM.INV(W31,Parameters!$L31,Parameters!$P31),LOGNORM.INV(W31,LN(Parameters!$L31),Parameters!$P31))))))</f>
        <v>#NAME?</v>
      </c>
      <c r="U31" s="63" t="str">
        <f>"i_"&amp;Parameters!$K31</f>
        <v>i_Eve_ICU </v>
      </c>
      <c r="V31" s="63">
        <f>IF($Z$6=FALSE,Parameters!$L31,Parameters!$T31)</f>
        <v>1</v>
      </c>
      <c r="W31" s="28">
        <v>0.27691155672073364</v>
      </c>
      <c r="X31" s="6"/>
      <c r="Y31" s="6"/>
      <c r="Z31" s="6"/>
      <c r="AA31" s="6"/>
    </row>
    <row r="32" ht="14.25" customHeight="1">
      <c r="A32" s="12"/>
      <c r="B32" s="6"/>
      <c r="C32" s="63">
        <f t="shared" si="1"/>
        <v>26</v>
      </c>
      <c r="D32" s="63" t="s">
        <v>273</v>
      </c>
      <c r="E32" s="63" t="s">
        <v>269</v>
      </c>
      <c r="F32" s="62" t="s">
        <v>208</v>
      </c>
      <c r="G32" s="63">
        <v>12.0</v>
      </c>
      <c r="H32" s="63"/>
      <c r="I32" s="63" t="s">
        <v>215</v>
      </c>
      <c r="J32" s="63" t="s">
        <v>216</v>
      </c>
      <c r="K32" s="63" t="str">
        <f>MID(Parameters!$E32,1,3)&amp;"_"&amp;MID(Parameters!$D32,1,4)</f>
        <v>Eve_Hosp</v>
      </c>
      <c r="L32" s="66">
        <f>Events!F12</f>
        <v>8</v>
      </c>
      <c r="M32" s="67" t="str">
        <f>IF(Parameters!$H32&lt;1,"",Events!M12)</f>
        <v/>
      </c>
      <c r="N32" s="66">
        <f>IF(Parameters!$I32&lt;1,"",Events!I12)</f>
        <v>6</v>
      </c>
      <c r="O32" s="66">
        <f>IF(Parameters!$J32&lt;1,"",Events!J12)</f>
        <v>13</v>
      </c>
      <c r="P32" s="63">
        <f>IF(Parameters!$Q32="None","",IF(AND(LEN(Parameters!$N32)&gt;0,LEN(Parameters!$O32)&gt;0),IF(Parameters!$Q32="Normal",
((Parameters!$O32-Parameters!$N32)/3.92),((LN(Parameters!$O32)-LN(Parameters!$N32))/3.92)),IF(LEN(Parameters!$M32)&gt;0,Parameters!$M32,0.0001)))</f>
        <v>1.785714286</v>
      </c>
      <c r="Q32" s="63" t="s">
        <v>217</v>
      </c>
      <c r="R32" s="63">
        <f>MAX(0,Parameters!$N32-ABS(Parameters!$L32/10))</f>
        <v>5.2</v>
      </c>
      <c r="S32" s="63">
        <f>MIN(100000,Parameters!$O32+ABS(Parameters!$L32/10))</f>
        <v>13.8</v>
      </c>
      <c r="T32" s="63" t="str">
        <f>IF(Parameters!$Q32="Linked",100-T31,IF(Parameters!$Q32="None",Parameters!$L32,MIN(Parameters!$S32,MAX(Parameters!$R32,IF(Parameters!$Q32="Normal",NORM.INV(W32,Parameters!$L32,Parameters!$P32),LOGNORM.INV(W32,LN(Parameters!$L32),Parameters!$P32))))))</f>
        <v>#NAME?</v>
      </c>
      <c r="U32" s="63" t="str">
        <f>"i_"&amp;Parameters!$K32</f>
        <v>i_Eve_Hosp</v>
      </c>
      <c r="V32" s="63">
        <f>IF($Z$6=FALSE,Parameters!$L32,Parameters!$T32)</f>
        <v>8</v>
      </c>
      <c r="W32" s="28">
        <v>0.3824422359466553</v>
      </c>
      <c r="X32" s="6"/>
      <c r="Y32" s="6"/>
      <c r="Z32" s="6"/>
      <c r="AA32" s="6"/>
    </row>
    <row r="33" ht="14.25" customHeight="1">
      <c r="A33" s="12"/>
      <c r="B33" s="6"/>
      <c r="C33" s="63">
        <f t="shared" si="1"/>
        <v>27</v>
      </c>
      <c r="D33" s="62" t="s">
        <v>275</v>
      </c>
      <c r="E33" s="63" t="s">
        <v>269</v>
      </c>
      <c r="F33" s="62" t="s">
        <v>208</v>
      </c>
      <c r="G33" s="63">
        <v>13.0</v>
      </c>
      <c r="H33" s="63"/>
      <c r="I33" s="63"/>
      <c r="J33" s="63"/>
      <c r="K33" s="63" t="str">
        <f>MID(Parameters!$E33,1,3)&amp;"_"&amp;MID(Parameters!$D33,1,4)</f>
        <v>Eve_Prol</v>
      </c>
      <c r="L33" s="66">
        <f>Events!F13</f>
        <v>10.6</v>
      </c>
      <c r="M33" s="67" t="str">
        <f>IF(Parameters!$H33&lt;1,"",Events!M13)</f>
        <v/>
      </c>
      <c r="N33" s="67" t="str">
        <f>IF(Parameters!$I33&lt;1,"",Events!N13)</f>
        <v/>
      </c>
      <c r="O33" s="67" t="str">
        <f>IF(Parameters!$J33&lt;1,"",Events!O13)</f>
        <v/>
      </c>
      <c r="P33" s="63">
        <f>IF(Parameters!$Q33="None","",IF(AND(LEN(Parameters!$N33)&gt;0,LEN(Parameters!$O33)&gt;0),IF(Parameters!$Q33="Normal",
((Parameters!$O33-Parameters!$N33)/3.92),((LN(Parameters!$O33)-LN(Parameters!$N33))/3.92)),IF(LEN(Parameters!$M33)&gt;0,Parameters!$M33,0.0001)))</f>
        <v>0.0001</v>
      </c>
      <c r="Q33" s="63" t="s">
        <v>217</v>
      </c>
      <c r="R33" s="63">
        <v>0.5</v>
      </c>
      <c r="S33" s="63">
        <v>90.0</v>
      </c>
      <c r="T33" s="63" t="str">
        <f>IF(Parameters!$Q33="Linked",100-T32,IF(Parameters!$Q33="None",Parameters!$L33,MIN(Parameters!$S33,MAX(Parameters!$R33,IF(Parameters!$Q33="Normal",NORM.INV(W33,Parameters!$L33,Parameters!$P33),LOGNORM.INV(W33,LN(Parameters!$L33),Parameters!$P33))))))</f>
        <v>#NAME?</v>
      </c>
      <c r="U33" s="63" t="str">
        <f>"i_"&amp;Parameters!$K33</f>
        <v>i_Eve_Prol</v>
      </c>
      <c r="V33" s="63">
        <f>IF($Z$6=FALSE,Parameters!$L33,Parameters!$T33)</f>
        <v>10.6</v>
      </c>
      <c r="W33" s="28">
        <v>0.9681329131126404</v>
      </c>
      <c r="X33" s="6"/>
      <c r="Y33" s="6"/>
      <c r="Z33" s="6"/>
      <c r="AA33" s="6"/>
    </row>
    <row r="34" ht="14.25" customHeight="1">
      <c r="A34" s="12"/>
      <c r="B34" s="6"/>
      <c r="C34" s="63">
        <f t="shared" si="1"/>
        <v>28</v>
      </c>
      <c r="D34" s="63" t="s">
        <v>279</v>
      </c>
      <c r="E34" s="63" t="s">
        <v>269</v>
      </c>
      <c r="F34" s="62" t="s">
        <v>208</v>
      </c>
      <c r="G34" s="63">
        <v>14.0</v>
      </c>
      <c r="H34" s="63"/>
      <c r="I34" s="63" t="s">
        <v>215</v>
      </c>
      <c r="J34" s="63" t="s">
        <v>216</v>
      </c>
      <c r="K34" s="63" t="str">
        <f>MID(Parameters!$E34,1,3)&amp;"_"&amp;MID(Parameters!$D34,1,4)</f>
        <v>Eve_ECG </v>
      </c>
      <c r="L34" s="66">
        <f>Events!F14</f>
        <v>8</v>
      </c>
      <c r="M34" s="67" t="str">
        <f>IF(Parameters!$H34&lt;1,"",Events!M14)</f>
        <v/>
      </c>
      <c r="N34" s="66">
        <f>IF(Parameters!$I34&lt;1,"",Events!I14)</f>
        <v>6</v>
      </c>
      <c r="O34" s="66">
        <f>IF(Parameters!$J34&lt;1,"",Events!J14)</f>
        <v>13</v>
      </c>
      <c r="P34" s="63">
        <f>IF(Parameters!$Q34="None","",IF(AND(LEN(Parameters!$N34)&gt;0,LEN(Parameters!$O34)&gt;0),IF(Parameters!$Q34="Normal",
((Parameters!$O34-Parameters!$N34)/3.92),((LN(Parameters!$O34)-LN(Parameters!$N34))/3.92)),IF(LEN(Parameters!$M34)&gt;0,Parameters!$M34,0.0001)))</f>
        <v>1.785714286</v>
      </c>
      <c r="Q34" s="63" t="s">
        <v>217</v>
      </c>
      <c r="R34" s="63">
        <f>MAX(0,Parameters!$N34-ABS(Parameters!$L34/10))</f>
        <v>5.2</v>
      </c>
      <c r="S34" s="63">
        <f>MIN(100000,Parameters!$O34+ABS(Parameters!$L34/10))</f>
        <v>13.8</v>
      </c>
      <c r="T34" s="63" t="str">
        <f>IF(Parameters!$Q34="Linked",100-T33,IF(Parameters!$Q34="None",Parameters!$L34,MIN(Parameters!$S34,MAX(Parameters!$R34,IF(Parameters!$Q34="Normal",NORM.INV(W34,Parameters!$L34,Parameters!$P34),LOGNORM.INV(W34,LN(Parameters!$L34),Parameters!$P34))))))</f>
        <v>#NAME?</v>
      </c>
      <c r="U34" s="63" t="str">
        <f>"i_"&amp;Parameters!$K34</f>
        <v>i_Eve_ECG </v>
      </c>
      <c r="V34" s="63">
        <f>IF($Z$6=FALSE,Parameters!$L34,Parameters!$T34)</f>
        <v>8</v>
      </c>
      <c r="W34" s="28">
        <v>0.44171273708343506</v>
      </c>
      <c r="X34" s="6"/>
      <c r="Y34" s="6"/>
      <c r="Z34" s="6"/>
      <c r="AA34" s="6"/>
    </row>
    <row r="35" ht="14.25" customHeight="1">
      <c r="A35" s="12"/>
      <c r="B35" s="6"/>
      <c r="C35" s="63">
        <f t="shared" si="1"/>
        <v>29</v>
      </c>
      <c r="D35" s="62" t="s">
        <v>283</v>
      </c>
      <c r="E35" s="63" t="s">
        <v>269</v>
      </c>
      <c r="F35" s="62" t="s">
        <v>208</v>
      </c>
      <c r="G35" s="63">
        <v>16.0</v>
      </c>
      <c r="H35" s="63" t="s">
        <v>218</v>
      </c>
      <c r="I35" s="63"/>
      <c r="J35" s="63"/>
      <c r="K35" s="63" t="str">
        <f>MID(Parameters!$E35,1,3)&amp;"_"&amp;MID(Parameters!$D35,1,4)</f>
        <v>Eve_Home</v>
      </c>
      <c r="L35" s="66">
        <f>Events!F16</f>
        <v>74.5</v>
      </c>
      <c r="M35" s="69">
        <f>IF(Parameters!$H35&lt;1,"",Events!H16)</f>
        <v>0.1690540529</v>
      </c>
      <c r="N35" s="67" t="str">
        <f>IF(Parameters!$I35&lt;1,"",Events!N16)</f>
        <v/>
      </c>
      <c r="O35" s="67" t="str">
        <f>IF(Parameters!$J35&lt;1,"",Events!O16)</f>
        <v/>
      </c>
      <c r="P35" s="70">
        <f>IF(Parameters!$Q35="None","",IF(AND(LEN(Parameters!$N35)&gt;0,LEN(Parameters!$O35)&gt;0),IF(Parameters!$Q35="Normal",
((Parameters!$O35-Parameters!$N35)/3.92),((LN(Parameters!$O35)-LN(Parameters!$N35))/3.92)),IF(LEN(Parameters!$M35)&gt;0,Parameters!$M35,0.0001)))</f>
        <v>0.1690540529</v>
      </c>
      <c r="Q35" s="63" t="s">
        <v>217</v>
      </c>
      <c r="R35" s="63">
        <v>0.0</v>
      </c>
      <c r="S35" s="63">
        <v>100.0</v>
      </c>
      <c r="T35" s="63" t="str">
        <f>IF(Parameters!$Q35="Linked",100-T34,IF(Parameters!$Q35="None",Parameters!$L35,MIN(Parameters!$S35,MAX(Parameters!$R35,IF(Parameters!$Q35="Normal",NORM.INV(W35,Parameters!$L35,Parameters!$P35),LOGNORM.INV(W35,LN(Parameters!$L35),Parameters!$P35))))))</f>
        <v>#NAME?</v>
      </c>
      <c r="U35" s="63" t="str">
        <f>"i_"&amp;Parameters!$K35</f>
        <v>i_Eve_Home</v>
      </c>
      <c r="V35" s="63">
        <f>IF($Z$6=FALSE,Parameters!$L35,Parameters!$T35)</f>
        <v>74.5</v>
      </c>
      <c r="W35" s="28">
        <v>0.516517698764801</v>
      </c>
      <c r="X35" s="6"/>
      <c r="Y35" s="6"/>
      <c r="Z35" s="6"/>
      <c r="AA35" s="6"/>
    </row>
    <row r="36" ht="14.25" customHeight="1">
      <c r="A36" s="12"/>
      <c r="B36" s="6"/>
      <c r="C36" s="63">
        <f t="shared" si="1"/>
        <v>30</v>
      </c>
      <c r="D36" s="63" t="s">
        <v>286</v>
      </c>
      <c r="E36" s="63" t="s">
        <v>269</v>
      </c>
      <c r="F36" s="62" t="s">
        <v>208</v>
      </c>
      <c r="G36" s="63">
        <v>17.0</v>
      </c>
      <c r="H36" s="63"/>
      <c r="I36" s="63"/>
      <c r="J36" s="63"/>
      <c r="K36" s="63" t="str">
        <f>MID(Parameters!$E36,1,3)&amp;"_"&amp;MID(Parameters!$D36,1,4)</f>
        <v>Eve_Care</v>
      </c>
      <c r="L36" s="66">
        <f>Events!F17</f>
        <v>25.5</v>
      </c>
      <c r="M36" s="67" t="str">
        <f>IF(Parameters!$H36&lt;1,"",Events!M17)</f>
        <v/>
      </c>
      <c r="N36" s="67" t="str">
        <f>IF(Parameters!$I36&lt;1,"",Events!N17)</f>
        <v/>
      </c>
      <c r="O36" s="67" t="str">
        <f>IF(Parameters!$J36&lt;1,"",Events!O17)</f>
        <v/>
      </c>
      <c r="P36" s="63">
        <f>IF(Parameters!$Q36="None","",IF(AND(LEN(Parameters!$N36)&gt;0,LEN(Parameters!$O36)&gt;0),IF(Parameters!$Q36="Normal",
((Parameters!$O36-Parameters!$N36)/3.92),((LN(Parameters!$O36)-LN(Parameters!$N36))/3.92)),IF(LEN(Parameters!$M36)&gt;0,Parameters!$M36,0.0001)))</f>
        <v>0.0001</v>
      </c>
      <c r="Q36" s="63" t="s">
        <v>289</v>
      </c>
      <c r="R36" s="63"/>
      <c r="S36" s="63"/>
      <c r="T36" s="63" t="str">
        <f>IF(Parameters!$Q36="Linked",100-T35,IF(Parameters!$Q36="None",Parameters!$L36,MIN(Parameters!$S36,MAX(Parameters!$R36,IF(Parameters!$Q36="Normal",NORM.INV(W36,Parameters!$L36,Parameters!$P36),LOGNORM.INV(W36,LN(Parameters!$L36),Parameters!$P36))))))</f>
        <v>#NAME?</v>
      </c>
      <c r="U36" s="63" t="str">
        <f>"i_"&amp;Parameters!$K36</f>
        <v>i_Eve_Care</v>
      </c>
      <c r="V36" s="63">
        <f>IF($Z$6=FALSE,Parameters!$L36,Parameters!$T36)</f>
        <v>25.5</v>
      </c>
      <c r="W36" s="28">
        <v>0.24296951293945312</v>
      </c>
      <c r="X36" s="6"/>
      <c r="Y36" s="6"/>
      <c r="Z36" s="6"/>
      <c r="AA36" s="6"/>
    </row>
    <row r="37" ht="14.25" customHeight="1">
      <c r="A37" s="12"/>
      <c r="B37" s="6"/>
      <c r="C37" s="63">
        <f t="shared" si="1"/>
        <v>31</v>
      </c>
      <c r="D37" s="65" t="s">
        <v>296</v>
      </c>
      <c r="E37" s="63" t="s">
        <v>269</v>
      </c>
      <c r="F37" s="62" t="s">
        <v>208</v>
      </c>
      <c r="G37" s="63">
        <v>18.0</v>
      </c>
      <c r="H37" s="63"/>
      <c r="I37" s="63" t="s">
        <v>215</v>
      </c>
      <c r="J37" s="63" t="s">
        <v>216</v>
      </c>
      <c r="K37" s="63" t="str">
        <f>MID(Parameters!$E37,1,3)&amp;"_"&amp;MID(Parameters!$D37,1,4)</f>
        <v>Eve_Faci</v>
      </c>
      <c r="L37" s="66">
        <f>Events!F18</f>
        <v>27</v>
      </c>
      <c r="M37" s="67" t="str">
        <f>IF(Parameters!$H37&lt;1,"",Events!M18)</f>
        <v/>
      </c>
      <c r="N37" s="66">
        <f>IF(Parameters!$I37&lt;1,"",Events!I18)</f>
        <v>13.3</v>
      </c>
      <c r="O37" s="66">
        <f>IF(Parameters!$J37&lt;1,"",Events!J18)</f>
        <v>60</v>
      </c>
      <c r="P37" s="63">
        <f>IF(Parameters!$Q37="None","",IF(AND(LEN(Parameters!$N37)&gt;0,LEN(Parameters!$O37)&gt;0),IF(Parameters!$Q37="Normal",
((Parameters!$O37-Parameters!$N37)/3.92),((LN(Parameters!$O37)-LN(Parameters!$N37))/3.92)),IF(LEN(Parameters!$M37)&gt;0,Parameters!$M37,0.0001)))</f>
        <v>11.91326531</v>
      </c>
      <c r="Q37" s="63" t="s">
        <v>217</v>
      </c>
      <c r="R37" s="63">
        <f>MAX(0,Parameters!$N37-ABS(Parameters!$L37/10))</f>
        <v>10.6</v>
      </c>
      <c r="S37" s="63">
        <f>MIN(100000,Parameters!$O37+ABS(Parameters!$L37/10))</f>
        <v>62.7</v>
      </c>
      <c r="T37" s="63" t="str">
        <f>IF(Parameters!$Q37="Linked",100-T36,IF(Parameters!$Q37="None",Parameters!$L37,MIN(Parameters!$S37,MAX(Parameters!$R37,IF(Parameters!$Q37="Normal",NORM.INV(W37,Parameters!$L37,Parameters!$P37),LOGNORM.INV(W37,LN(Parameters!$L37),Parameters!$P37))))))</f>
        <v>#NAME?</v>
      </c>
      <c r="U37" s="63" t="str">
        <f>"i_"&amp;Parameters!$K37</f>
        <v>i_Eve_Faci</v>
      </c>
      <c r="V37" s="63">
        <f>IF($Z$6=FALSE,Parameters!$L37,Parameters!$T37)</f>
        <v>27</v>
      </c>
      <c r="W37" s="28">
        <v>0.8985139727592468</v>
      </c>
      <c r="X37" s="6"/>
      <c r="Y37" s="6"/>
      <c r="Z37" s="6"/>
      <c r="AA37" s="6"/>
    </row>
    <row r="38" ht="14.25" customHeight="1">
      <c r="A38" s="12"/>
      <c r="B38" s="6"/>
      <c r="C38" s="63">
        <f t="shared" si="1"/>
        <v>32</v>
      </c>
      <c r="D38" s="62" t="s">
        <v>310</v>
      </c>
      <c r="E38" s="63" t="s">
        <v>269</v>
      </c>
      <c r="F38" s="62" t="s">
        <v>208</v>
      </c>
      <c r="G38" s="63">
        <v>19.0</v>
      </c>
      <c r="H38" s="63" t="s">
        <v>218</v>
      </c>
      <c r="I38" s="63"/>
      <c r="J38" s="63"/>
      <c r="K38" s="63" t="str">
        <f>MID(Parameters!$E38,1,3)&amp;"_"&amp;MID(Parameters!$D38,1,4)</f>
        <v>Eve_Reop</v>
      </c>
      <c r="L38" s="66">
        <f>Events!F19</f>
        <v>5</v>
      </c>
      <c r="M38" s="66">
        <f>IF(Parameters!$H38&lt;1,"",Events!H19)</f>
        <v>1.97</v>
      </c>
      <c r="N38" s="67" t="str">
        <f>IF(Parameters!$I38&lt;1,"",Events!N19)</f>
        <v/>
      </c>
      <c r="O38" s="67" t="str">
        <f>IF(Parameters!$J38&lt;1,"",Events!O19)</f>
        <v/>
      </c>
      <c r="P38" s="63">
        <f>IF(Parameters!$Q38="None","",IF(AND(LEN(Parameters!$N38)&gt;0,LEN(Parameters!$O38)&gt;0),IF(Parameters!$Q38="Normal",
((Parameters!$O38-Parameters!$N38)/3.92),((LN(Parameters!$O38)-LN(Parameters!$N38))/3.92)),IF(LEN(Parameters!$M38)&gt;0,Parameters!$M38,0.0001)))</f>
        <v>1.97</v>
      </c>
      <c r="Q38" s="63" t="s">
        <v>217</v>
      </c>
      <c r="R38" s="63">
        <f>MAX(0.1,Parameters!$L38-Parameters!$M38*2)</f>
        <v>1.06</v>
      </c>
      <c r="S38" s="63">
        <f>MIN(50,Parameters!$L38+Parameters!$M38*2)</f>
        <v>8.94</v>
      </c>
      <c r="T38" s="63" t="str">
        <f>IF(Parameters!$Q38="Linked",100-T37,IF(Parameters!$Q38="None",Parameters!$L38,MIN(Parameters!$S38,MAX(Parameters!$R38,IF(Parameters!$Q38="Normal",NORM.INV(W38,Parameters!$L38,Parameters!$P38),LOGNORM.INV(W38,LN(Parameters!$L38),Parameters!$P38))))))</f>
        <v>#NAME?</v>
      </c>
      <c r="U38" s="63" t="str">
        <f>"i_"&amp;Parameters!$K38</f>
        <v>i_Eve_Reop</v>
      </c>
      <c r="V38" s="63">
        <f>IF($Z$6=FALSE,Parameters!$L38,Parameters!$T38)</f>
        <v>5</v>
      </c>
      <c r="W38" s="28">
        <v>0.3646808862686157</v>
      </c>
      <c r="X38" s="6"/>
      <c r="Y38" s="6"/>
      <c r="Z38" s="6"/>
      <c r="AA38" s="6"/>
    </row>
    <row r="39" ht="14.25" customHeight="1">
      <c r="A39" s="12"/>
      <c r="B39" s="6"/>
      <c r="C39" s="63">
        <f t="shared" si="1"/>
        <v>33</v>
      </c>
      <c r="D39" s="62" t="s">
        <v>313</v>
      </c>
      <c r="E39" s="63" t="s">
        <v>27</v>
      </c>
      <c r="F39" s="62" t="s">
        <v>208</v>
      </c>
      <c r="G39" s="63">
        <v>10.0</v>
      </c>
      <c r="H39" s="63" t="s">
        <v>218</v>
      </c>
      <c r="I39" s="63"/>
      <c r="J39" s="63"/>
      <c r="K39" s="63" t="str">
        <f>MID(Parameters!$E39,1,3)&amp;"_"&amp;MID(Parameters!$D39,1,4)</f>
        <v>Adv_In-h</v>
      </c>
      <c r="L39" s="66">
        <f>'Adverse events'!F10</f>
        <v>2.7</v>
      </c>
      <c r="M39" s="69">
        <f>IF(Parameters!$H39&lt;1,"",'Adverse events'!H10)</f>
        <v>0.06286597602</v>
      </c>
      <c r="N39" s="67" t="str">
        <f>IF(Parameters!$I39&lt;1,"",'Adverse events'!N10)</f>
        <v/>
      </c>
      <c r="O39" s="67" t="str">
        <f>IF(Parameters!$J39&lt;1,"",'Adverse events'!O10)</f>
        <v/>
      </c>
      <c r="P39" s="70">
        <f>IF(Parameters!$Q39="None","",IF(AND(LEN(Parameters!$N39)&gt;0,LEN(Parameters!$O39)&gt;0),IF(Parameters!$Q39="Normal",
((Parameters!$O39-Parameters!$N39)/3.92),((LN(Parameters!$O39)-LN(Parameters!$N39))/3.92)),IF(LEN(Parameters!$M39)&gt;0,Parameters!$M39,0.0001)))</f>
        <v>0.06286597602</v>
      </c>
      <c r="Q39" s="63" t="s">
        <v>217</v>
      </c>
      <c r="R39" s="63">
        <v>0.001</v>
      </c>
      <c r="S39" s="63">
        <v>100.0</v>
      </c>
      <c r="T39" s="63" t="str">
        <f>IF(Parameters!$Q39="Linked",100-T38,IF(Parameters!$Q39="None",Parameters!$L39,MIN(Parameters!$S39,MAX(Parameters!$R39,IF(Parameters!$Q39="Normal",NORM.INV(W39,Parameters!$L39,Parameters!$P39),LOGNORM.INV(W39,LN(Parameters!$L39),Parameters!$P39))))))</f>
        <v>#NAME?</v>
      </c>
      <c r="U39" s="63" t="str">
        <f>"i_"&amp;Parameters!$K39</f>
        <v>i_Adv_In-h</v>
      </c>
      <c r="V39" s="63">
        <f>IF($Z$6=FALSE,Parameters!$L39,Parameters!$T39)</f>
        <v>2.7</v>
      </c>
      <c r="W39" s="28">
        <v>0.855279266834259</v>
      </c>
      <c r="X39" s="6"/>
      <c r="Y39" s="6"/>
      <c r="Z39" s="6"/>
      <c r="AA39" s="6"/>
    </row>
    <row r="40" ht="14.25" customHeight="1">
      <c r="A40" s="12"/>
      <c r="B40" s="6"/>
      <c r="C40" s="63">
        <f t="shared" si="1"/>
        <v>34</v>
      </c>
      <c r="D40" s="63" t="s">
        <v>317</v>
      </c>
      <c r="E40" s="63" t="s">
        <v>27</v>
      </c>
      <c r="F40" s="62" t="s">
        <v>208</v>
      </c>
      <c r="G40" s="63">
        <v>11.0</v>
      </c>
      <c r="H40" s="63"/>
      <c r="I40" s="63"/>
      <c r="J40" s="63"/>
      <c r="K40" s="63" t="str">
        <f>MID(Parameters!$E40,1,3)&amp;"_"&amp;MID(Parameters!$D40,1,4)</f>
        <v>Adv_Mort</v>
      </c>
      <c r="L40" s="66">
        <f>'Adverse events'!F11</f>
        <v>13</v>
      </c>
      <c r="M40" s="67" t="str">
        <f>IF(Parameters!$H40&lt;1,"",'Adverse events'!M11)</f>
        <v/>
      </c>
      <c r="N40" s="67" t="str">
        <f>IF(Parameters!$I40&lt;1,"",'Adverse events'!N11)</f>
        <v/>
      </c>
      <c r="O40" s="67" t="str">
        <f>IF(Parameters!$J40&lt;1,"",'Adverse events'!O11)</f>
        <v/>
      </c>
      <c r="P40" s="63">
        <f>IF(Parameters!$Q40="None","",IF(AND(LEN(Parameters!$N40)&gt;0,LEN(Parameters!$O40)&gt;0),IF(Parameters!$Q40="Normal",
((Parameters!$O40-Parameters!$N40)/3.92),((LN(Parameters!$O40)-LN(Parameters!$N40))/3.92)),IF(LEN(Parameters!$M40)&gt;0,Parameters!$M40,0.0001)))</f>
        <v>0.0001</v>
      </c>
      <c r="Q40" s="63" t="s">
        <v>217</v>
      </c>
      <c r="R40" s="63">
        <v>0.0</v>
      </c>
      <c r="S40" s="63">
        <v>1000.0</v>
      </c>
      <c r="T40" s="63" t="str">
        <f>IF(Parameters!$Q40="Linked",100-T39,IF(Parameters!$Q40="None",Parameters!$L40,MIN(Parameters!$S40,MAX(Parameters!$R40,IF(Parameters!$Q40="Normal",NORM.INV(W40,Parameters!$L40,Parameters!$P40),LOGNORM.INV(W40,LN(Parameters!$L40),Parameters!$P40))))))</f>
        <v>#NAME?</v>
      </c>
      <c r="U40" s="63" t="str">
        <f>"i_"&amp;Parameters!$K40</f>
        <v>i_Adv_Mort</v>
      </c>
      <c r="V40" s="63">
        <f>IF($Z$6=FALSE,Parameters!$L40,Parameters!$T40)</f>
        <v>13</v>
      </c>
      <c r="W40" s="28">
        <v>0.1536867618560791</v>
      </c>
      <c r="X40" s="6"/>
      <c r="Y40" s="6"/>
      <c r="Z40" s="6"/>
      <c r="AA40" s="6"/>
    </row>
    <row r="41" ht="14.25" customHeight="1">
      <c r="A41" s="6"/>
      <c r="B41" s="6"/>
      <c r="C41" s="63">
        <f t="shared" si="1"/>
        <v>35</v>
      </c>
      <c r="D41" s="62" t="s">
        <v>322</v>
      </c>
      <c r="E41" s="63" t="s">
        <v>27</v>
      </c>
      <c r="F41" s="62" t="s">
        <v>208</v>
      </c>
      <c r="G41" s="63">
        <v>13.0</v>
      </c>
      <c r="H41" s="63" t="s">
        <v>218</v>
      </c>
      <c r="I41" s="63"/>
      <c r="J41" s="63"/>
      <c r="K41" s="63" t="str">
        <f>MID(Parameters!$E41,1,3)&amp;"_"&amp;MID(Parameters!$D41,1,4)</f>
        <v>Adv_Surg</v>
      </c>
      <c r="L41" s="66">
        <f>'Adverse events'!F13</f>
        <v>5.49</v>
      </c>
      <c r="M41" s="66">
        <f>IF(Parameters!$H41&lt;1,"",'Adverse events'!H13)</f>
        <v>0.5</v>
      </c>
      <c r="N41" s="67" t="str">
        <f>IF(Parameters!$I41&lt;1,"",'Adverse events'!N13)</f>
        <v/>
      </c>
      <c r="O41" s="67" t="str">
        <f>IF(Parameters!$J41&lt;1,"",'Adverse events'!O13)</f>
        <v/>
      </c>
      <c r="P41" s="63">
        <f>IF(Parameters!$Q41="None","",IF(AND(LEN(Parameters!$N41)&gt;0,LEN(Parameters!$O41)&gt;0),IF(Parameters!$Q41="Normal",
((Parameters!$O41-Parameters!$N41)/3.92),((LN(Parameters!$O41)-LN(Parameters!$N41))/3.92)),IF(LEN(Parameters!$M41)&gt;0,Parameters!$M41,0.0001)))</f>
        <v>0.5</v>
      </c>
      <c r="Q41" s="63" t="s">
        <v>217</v>
      </c>
      <c r="R41" s="63">
        <v>0.1</v>
      </c>
      <c r="S41" s="63">
        <v>100.0</v>
      </c>
      <c r="T41" s="63" t="str">
        <f>IF(Parameters!$Q41="Linked",100-T40,IF(Parameters!$Q41="None",Parameters!$L41,MIN(Parameters!$S41,MAX(Parameters!$R41,IF(Parameters!$Q41="Normal",NORM.INV(W41,Parameters!$L41,Parameters!$P41),LOGNORM.INV(W41,LN(Parameters!$L41),Parameters!$P41))))))</f>
        <v>#NAME?</v>
      </c>
      <c r="U41" s="63" t="str">
        <f>"i_"&amp;Parameters!$K41</f>
        <v>i_Adv_Surg</v>
      </c>
      <c r="V41" s="63">
        <f>IF($Z$6=FALSE,Parameters!$L41,Parameters!$T41)</f>
        <v>5.49</v>
      </c>
      <c r="W41" s="28">
        <v>0.6353563666343689</v>
      </c>
      <c r="X41" s="6"/>
      <c r="Y41" s="6"/>
      <c r="Z41" s="6"/>
      <c r="AA41" s="6"/>
    </row>
    <row r="42" ht="14.25" customHeight="1">
      <c r="A42" s="6"/>
      <c r="B42" s="6"/>
      <c r="C42" s="63">
        <f t="shared" si="1"/>
        <v>36</v>
      </c>
      <c r="D42" s="62" t="s">
        <v>326</v>
      </c>
      <c r="E42" s="63" t="s">
        <v>27</v>
      </c>
      <c r="F42" s="62" t="s">
        <v>208</v>
      </c>
      <c r="G42" s="63">
        <v>14.0</v>
      </c>
      <c r="H42" s="63"/>
      <c r="I42" s="63"/>
      <c r="J42" s="63"/>
      <c r="K42" s="63" t="str">
        <f>MID(Parameters!$E42,1,3)&amp;"_"&amp;MID(Parameters!$D42,1,4)</f>
        <v>Adv_SSI </v>
      </c>
      <c r="L42" s="66">
        <f>'Adverse events'!F14</f>
        <v>90</v>
      </c>
      <c r="M42" s="67" t="str">
        <f>IF(Parameters!$H42&lt;1,"",'Adverse events'!M14)</f>
        <v/>
      </c>
      <c r="N42" s="67" t="str">
        <f>IF(Parameters!$I42&lt;1,"",'Adverse events'!N14)</f>
        <v/>
      </c>
      <c r="O42" s="67" t="str">
        <f>IF(Parameters!$J42&lt;1,"",'Adverse events'!O14)</f>
        <v/>
      </c>
      <c r="P42" s="63">
        <f>IF(Parameters!$Q42="None","",IF(AND(LEN(Parameters!$N42)&gt;0,LEN(Parameters!$O42)&gt;0),IF(Parameters!$Q42="Normal",
((Parameters!$O42-Parameters!$N42)/3.92),((LN(Parameters!$O42)-LN(Parameters!$N42))/3.92)),IF(LEN(Parameters!$M42)&gt;0,Parameters!$M42,0.0001)))</f>
        <v>0.0001</v>
      </c>
      <c r="Q42" s="63" t="s">
        <v>217</v>
      </c>
      <c r="R42" s="63">
        <v>1.0</v>
      </c>
      <c r="S42" s="63">
        <v>365.0</v>
      </c>
      <c r="T42" s="63" t="str">
        <f>IF(Parameters!$Q42="Linked",100-T41,IF(Parameters!$Q42="None",Parameters!$L42,MIN(Parameters!$S42,MAX(Parameters!$R42,IF(Parameters!$Q42="Normal",NORM.INV(W42,Parameters!$L42,Parameters!$P42),LOGNORM.INV(W42,LN(Parameters!$L42),Parameters!$P42))))))</f>
        <v>#NAME?</v>
      </c>
      <c r="U42" s="63" t="str">
        <f>"i_"&amp;Parameters!$K42</f>
        <v>i_Adv_SSI </v>
      </c>
      <c r="V42" s="63">
        <f>IF($Z$6=FALSE,Parameters!$L42,Parameters!$T42)</f>
        <v>90</v>
      </c>
      <c r="W42" s="28">
        <v>0.9971712827682495</v>
      </c>
      <c r="X42" s="6"/>
      <c r="Y42" s="6"/>
      <c r="Z42" s="6"/>
      <c r="AA42" s="6"/>
    </row>
    <row r="43" ht="14.25" customHeight="1">
      <c r="A43" s="6"/>
      <c r="B43" s="6"/>
      <c r="C43" s="63">
        <f t="shared" si="1"/>
        <v>37</v>
      </c>
      <c r="D43" s="63" t="s">
        <v>328</v>
      </c>
      <c r="E43" s="63" t="s">
        <v>27</v>
      </c>
      <c r="F43" s="62" t="s">
        <v>208</v>
      </c>
      <c r="G43" s="63">
        <v>15.0</v>
      </c>
      <c r="H43" s="63" t="s">
        <v>218</v>
      </c>
      <c r="I43" s="63"/>
      <c r="J43" s="63"/>
      <c r="K43" s="63" t="str">
        <f>MID(Parameters!$E43,1,3)&amp;"_"&amp;MID(Parameters!$D43,1,4)</f>
        <v>Adv_DSWI</v>
      </c>
      <c r="L43" s="66">
        <f>'Adverse events'!F15</f>
        <v>40.75</v>
      </c>
      <c r="M43" s="69">
        <f>IF(Parameters!$H43&lt;1,"",'Adverse events'!H15)</f>
        <v>2.641617509</v>
      </c>
      <c r="N43" s="67" t="str">
        <f>IF(Parameters!$I43&lt;1,"",'Adverse events'!N15)</f>
        <v/>
      </c>
      <c r="O43" s="67" t="str">
        <f>IF(Parameters!$J43&lt;1,"",'Adverse events'!O15)</f>
        <v/>
      </c>
      <c r="P43" s="70">
        <f>IF(Parameters!$Q43="None","",IF(AND(LEN(Parameters!$N43)&gt;0,LEN(Parameters!$O43)&gt;0),IF(Parameters!$Q43="Normal",
((Parameters!$O43-Parameters!$N43)/3.92),((LN(Parameters!$O43)-LN(Parameters!$N43))/3.92)),IF(LEN(Parameters!$M43)&gt;0,Parameters!$M43,0.0001)))</f>
        <v>2.641617509</v>
      </c>
      <c r="Q43" s="63" t="s">
        <v>217</v>
      </c>
      <c r="R43" s="63">
        <v>0.0</v>
      </c>
      <c r="S43" s="63">
        <v>100.0</v>
      </c>
      <c r="T43" s="63" t="str">
        <f>IF(Parameters!$Q43="Linked",100-T42,IF(Parameters!$Q43="None",Parameters!$L43,MIN(Parameters!$S43,MAX(Parameters!$R43,IF(Parameters!$Q43="Normal",NORM.INV(W43,Parameters!$L43,Parameters!$P43),LOGNORM.INV(W43,LN(Parameters!$L43),Parameters!$P43))))))</f>
        <v>#NAME?</v>
      </c>
      <c r="U43" s="63" t="str">
        <f>"i_"&amp;Parameters!$K43</f>
        <v>i_Adv_DSWI</v>
      </c>
      <c r="V43" s="63">
        <f>IF($Z$6=FALSE,Parameters!$L43,Parameters!$T43)</f>
        <v>40.75</v>
      </c>
      <c r="W43" s="28">
        <v>0.6787553429603577</v>
      </c>
      <c r="X43" s="6"/>
      <c r="Y43" s="6"/>
      <c r="Z43" s="6"/>
      <c r="AA43" s="6"/>
    </row>
    <row r="44" ht="14.25" customHeight="1">
      <c r="A44" s="6"/>
      <c r="B44" s="6"/>
      <c r="C44" s="63">
        <f t="shared" si="1"/>
        <v>38</v>
      </c>
      <c r="D44" s="62" t="s">
        <v>330</v>
      </c>
      <c r="E44" s="63" t="s">
        <v>27</v>
      </c>
      <c r="F44" s="62" t="s">
        <v>208</v>
      </c>
      <c r="G44" s="63">
        <v>18.0</v>
      </c>
      <c r="H44" s="63"/>
      <c r="I44" s="63"/>
      <c r="J44" s="63"/>
      <c r="K44" s="63" t="str">
        <f>MID(Parameters!$E44,1,3)&amp;"_"&amp;MID(Parameters!$D44,1,4)</f>
        <v>Adv_Fals</v>
      </c>
      <c r="L44" s="66">
        <f>'Adverse events'!F18</f>
        <v>97.9</v>
      </c>
      <c r="M44" s="67" t="str">
        <f>IF(Parameters!$H44&lt;1,"",'Adverse events'!M18)</f>
        <v/>
      </c>
      <c r="N44" s="67" t="str">
        <f>IF(Parameters!$I44&lt;1,"",'Adverse events'!N18)</f>
        <v/>
      </c>
      <c r="O44" s="67" t="str">
        <f>IF(Parameters!$J44&lt;1,"",'Adverse events'!O18)</f>
        <v/>
      </c>
      <c r="P44" s="63">
        <f>SQRT((1/L46)*(Parameters!$L44/L46)*(1-(Parameters!$L44/L46)))*100</f>
        <v>1.433840995</v>
      </c>
      <c r="Q44" s="63" t="s">
        <v>217</v>
      </c>
      <c r="R44" s="63">
        <v>0.0</v>
      </c>
      <c r="S44" s="63">
        <v>1000.0</v>
      </c>
      <c r="T44" s="63" t="str">
        <f>IF(Parameters!$Q44="Linked",100-T43,IF(Parameters!$Q44="None",Parameters!$L44,MIN(Parameters!$S44,MAX(Parameters!$R44,IF(Parameters!$Q44="Normal",NORM.INV(W44,Parameters!$L44,Parameters!$P44),LOGNORM.INV(W44,LN(Parameters!$L44),Parameters!$P44))))))</f>
        <v>#NAME?</v>
      </c>
      <c r="U44" s="63" t="str">
        <f>"i_"&amp;Parameters!$K44</f>
        <v>i_Adv_Fals</v>
      </c>
      <c r="V44" s="63">
        <f>IF($Z$6=FALSE,Parameters!$L44,Parameters!$T44)</f>
        <v>97.9</v>
      </c>
      <c r="W44" s="28">
        <v>0.7704167366027832</v>
      </c>
      <c r="X44" s="6"/>
      <c r="Y44" s="6"/>
      <c r="Z44" s="6"/>
      <c r="AA44" s="6"/>
    </row>
    <row r="45" ht="14.25" customHeight="1">
      <c r="A45" s="6"/>
      <c r="B45" s="6"/>
      <c r="C45" s="63">
        <f t="shared" si="1"/>
        <v>39</v>
      </c>
      <c r="D45" s="65" t="s">
        <v>334</v>
      </c>
      <c r="E45" s="63" t="s">
        <v>27</v>
      </c>
      <c r="F45" s="62" t="s">
        <v>208</v>
      </c>
      <c r="G45" s="63">
        <v>19.0</v>
      </c>
      <c r="H45" s="63"/>
      <c r="I45" s="63"/>
      <c r="J45" s="63"/>
      <c r="K45" s="63" t="str">
        <f>MID(Parameters!$E45,1,3)&amp;"_"&amp;MID(Parameters!$D45,1,4)</f>
        <v>Adv_Lead</v>
      </c>
      <c r="L45" s="66">
        <f>'Adverse events'!F19</f>
        <v>40.9</v>
      </c>
      <c r="M45" s="67" t="str">
        <f>IF(Parameters!$H45&lt;1,"",'Adverse events'!M19)</f>
        <v/>
      </c>
      <c r="N45" s="67" t="str">
        <f>IF(Parameters!$I45&lt;1,"",'Adverse events'!N19)</f>
        <v/>
      </c>
      <c r="O45" s="67" t="str">
        <f>IF(Parameters!$J45&lt;1,"",'Adverse events'!O19)</f>
        <v/>
      </c>
      <c r="P45" s="63">
        <f>SQRT((1/L46)*(Parameters!$L45/L46)*(1-(Parameters!$L45/L46)))*100</f>
        <v>4.916492652</v>
      </c>
      <c r="Q45" s="63" t="s">
        <v>217</v>
      </c>
      <c r="R45" s="63">
        <v>0.0</v>
      </c>
      <c r="S45" s="63">
        <v>1000.0</v>
      </c>
      <c r="T45" s="63" t="str">
        <f>IF(Parameters!$Q45="Linked",100-T44,IF(Parameters!$Q45="None",Parameters!$L45,MIN(Parameters!$S45,MAX(Parameters!$R45,IF(Parameters!$Q45="Normal",NORM.INV(W45,Parameters!$L45,Parameters!$P45),LOGNORM.INV(W45,LN(Parameters!$L45),Parameters!$P45))))))</f>
        <v>#NAME?</v>
      </c>
      <c r="U45" s="63" t="str">
        <f>"i_"&amp;Parameters!$K45</f>
        <v>i_Adv_Lead</v>
      </c>
      <c r="V45" s="63">
        <f>IF($Z$6=FALSE,Parameters!$L45,Parameters!$T45)</f>
        <v>40.9</v>
      </c>
      <c r="W45" s="28">
        <v>0.7736918330192566</v>
      </c>
      <c r="X45" s="6"/>
      <c r="Y45" s="6"/>
      <c r="Z45" s="6"/>
      <c r="AA45" s="6"/>
    </row>
    <row r="46" ht="14.25" customHeight="1">
      <c r="A46" s="6"/>
      <c r="B46" s="6"/>
      <c r="C46" s="63">
        <f t="shared" si="1"/>
        <v>40</v>
      </c>
      <c r="D46" s="65" t="s">
        <v>335</v>
      </c>
      <c r="E46" s="63" t="s">
        <v>27</v>
      </c>
      <c r="F46" s="62" t="s">
        <v>208</v>
      </c>
      <c r="G46" s="63">
        <v>20.0</v>
      </c>
      <c r="H46" s="63"/>
      <c r="I46" s="74"/>
      <c r="J46" s="63"/>
      <c r="K46" s="63" t="str">
        <f>MID(Parameters!$E46,1,3)&amp;"_"&amp;MID(Parameters!$D46,1,4)</f>
        <v>Adv_Alar</v>
      </c>
      <c r="L46" s="66">
        <f>'Adverse events'!F20</f>
        <v>100</v>
      </c>
      <c r="M46" s="67" t="str">
        <f>IF(Parameters!$H46&lt;1,"",'Adverse events'!M20)</f>
        <v/>
      </c>
      <c r="N46" s="67" t="str">
        <f>IF(Parameters!$I46&lt;1,"",'Adverse events'!N20)</f>
        <v/>
      </c>
      <c r="O46" s="67" t="str">
        <f>IF(Parameters!$J46&lt;1,"",'Adverse events'!O20)</f>
        <v/>
      </c>
      <c r="P46" s="63">
        <f>IF(Parameters!$Q46="None","",IF(AND(LEN(Parameters!$N46)&gt;0,LEN(Parameters!$O46)&gt;0),IF(Parameters!$Q46="Normal",
((Parameters!$O46-Parameters!$N46)/3.92),((LN(Parameters!$O46)-LN(Parameters!$N46))/3.92)),IF(LEN(Parameters!$M46)&gt;0,Parameters!$M46,0.0001)))</f>
        <v>0.0001</v>
      </c>
      <c r="Q46" s="63" t="s">
        <v>217</v>
      </c>
      <c r="R46" s="63">
        <v>0.0</v>
      </c>
      <c r="S46" s="63">
        <v>1000.0</v>
      </c>
      <c r="T46" s="63" t="str">
        <f>IF(Parameters!$Q46="Linked",100-T45,IF(Parameters!$Q46="None",Parameters!$L46,MIN(Parameters!$S46,MAX(Parameters!$R46,IF(Parameters!$Q46="Normal",NORM.INV(W46,Parameters!$L46,Parameters!$P46),LOGNORM.INV(W46,LN(Parameters!$L46),Parameters!$P46))))))</f>
        <v>#NAME?</v>
      </c>
      <c r="U46" s="63" t="str">
        <f>"i_"&amp;Parameters!$K46</f>
        <v>i_Adv_Alar</v>
      </c>
      <c r="V46" s="63">
        <f>IF($Z$6=FALSE,Parameters!$L46,Parameters!$T46)</f>
        <v>100</v>
      </c>
      <c r="W46" s="28">
        <v>0.8665887117385864</v>
      </c>
      <c r="X46" s="6"/>
      <c r="Y46" s="6"/>
      <c r="Z46" s="6"/>
      <c r="AA46" s="6"/>
    </row>
    <row r="47" ht="14.25" customHeight="1">
      <c r="A47" s="6"/>
      <c r="B47" s="6"/>
      <c r="C47" s="63">
        <f t="shared" si="1"/>
        <v>41</v>
      </c>
      <c r="D47" s="65" t="s">
        <v>339</v>
      </c>
      <c r="E47" s="63" t="s">
        <v>69</v>
      </c>
      <c r="F47" s="62" t="s">
        <v>208</v>
      </c>
      <c r="G47" s="63">
        <v>11.0</v>
      </c>
      <c r="H47" s="63"/>
      <c r="I47" s="63"/>
      <c r="J47" s="63"/>
      <c r="K47" s="63" t="str">
        <f>MID(Parameters!$E47,1,3)&amp;"_"&amp;MID(Parameters!$D47,1,4)</f>
        <v>Ris_Age,</v>
      </c>
      <c r="L47" s="68" t="str">
        <f>'Risk factors'!F11</f>
        <v>Life tables</v>
      </c>
      <c r="M47" s="67" t="str">
        <f>IF(Parameters!$H47&lt;1,"",'Risk factors'!M11)</f>
        <v/>
      </c>
      <c r="N47" s="67" t="str">
        <f>IF(Parameters!$I47&lt;1,"",'Risk factors'!N11)</f>
        <v/>
      </c>
      <c r="O47" s="67" t="str">
        <f>IF(Parameters!$J47&lt;1,"",'Risk factors'!O11)</f>
        <v/>
      </c>
      <c r="P47" s="63" t="str">
        <f>IF(Parameters!$Q47="None","",IF(AND(LEN(Parameters!$N47)&gt;0,LEN(Parameters!$O47)&gt;0),IF(Parameters!$Q47="Normal",
((Parameters!$O47-Parameters!$N47)/3.92),((LN(Parameters!$O47)-LN(Parameters!$N47))/3.92)),IF(LEN(Parameters!$M47)&gt;0,Parameters!$M47,0.0001)))</f>
        <v/>
      </c>
      <c r="Q47" s="63" t="s">
        <v>209</v>
      </c>
      <c r="R47" s="63"/>
      <c r="S47" s="63"/>
      <c r="T47" s="63" t="str">
        <f>IF(Parameters!$Q47="Linked",100-T46,IF(Parameters!$Q47="None",Parameters!$L47,MIN(Parameters!$S47,MAX(Parameters!$R47,IF(Parameters!$Q47="Normal",NORM.INV(W47,Parameters!$L47,Parameters!$P47),LOGNORM.INV(W47,LN(Parameters!$L47),Parameters!$P47))))))</f>
        <v>Life tables</v>
      </c>
      <c r="U47" s="63" t="str">
        <f>"i_"&amp;Parameters!$K47</f>
        <v>i_Ris_Age,</v>
      </c>
      <c r="V47" s="63" t="str">
        <f>IF($Z$6=FALSE,Parameters!$L47,Parameters!$T47)</f>
        <v>Life tables</v>
      </c>
      <c r="W47" s="28">
        <v>0.4672315716743469</v>
      </c>
      <c r="X47" s="6"/>
      <c r="Y47" s="6"/>
      <c r="Z47" s="6"/>
      <c r="AA47" s="6"/>
    </row>
    <row r="48" ht="14.25" customHeight="1">
      <c r="A48" s="6"/>
      <c r="B48" s="6"/>
      <c r="C48" s="63">
        <f t="shared" si="1"/>
        <v>42</v>
      </c>
      <c r="D48" s="65" t="s">
        <v>341</v>
      </c>
      <c r="E48" s="63" t="s">
        <v>69</v>
      </c>
      <c r="F48" s="62" t="s">
        <v>208</v>
      </c>
      <c r="G48" s="63">
        <v>14.0</v>
      </c>
      <c r="H48" s="63"/>
      <c r="I48" s="63"/>
      <c r="J48" s="63"/>
      <c r="K48" s="63" t="str">
        <f>MID(Parameters!$E48,1,3)&amp;"_"&amp;MID(Parameters!$D48,1,4)</f>
        <v>Ris_Gend</v>
      </c>
      <c r="L48" s="68" t="str">
        <f>'Risk factors'!F14</f>
        <v>Life tables</v>
      </c>
      <c r="M48" s="67" t="str">
        <f>IF(Parameters!$H48&lt;1,"",'Risk factors'!M14)</f>
        <v/>
      </c>
      <c r="N48" s="67" t="str">
        <f>IF(Parameters!$I48&lt;1,"",'Risk factors'!N14)</f>
        <v/>
      </c>
      <c r="O48" s="67" t="str">
        <f>IF(Parameters!$J48&lt;1,"",'Risk factors'!O14)</f>
        <v/>
      </c>
      <c r="P48" s="63" t="str">
        <f>IF(Parameters!$Q48="None","",IF(AND(LEN(Parameters!$N48)&gt;0,LEN(Parameters!$O48)&gt;0),IF(Parameters!$Q48="Normal",
((Parameters!$O48-Parameters!$N48)/3.92),((LN(Parameters!$O48)-LN(Parameters!$N48))/3.92)),IF(LEN(Parameters!$M48)&gt;0,Parameters!$M48,0.0001)))</f>
        <v/>
      </c>
      <c r="Q48" s="63" t="s">
        <v>209</v>
      </c>
      <c r="R48" s="63"/>
      <c r="S48" s="63"/>
      <c r="T48" s="63" t="str">
        <f>IF(Parameters!$Q48="Linked",100-T47,IF(Parameters!$Q48="None",Parameters!$L48,MIN(Parameters!$S48,MAX(Parameters!$R48,IF(Parameters!$Q48="Normal",NORM.INV(W48,Parameters!$L48,Parameters!$P48),LOGNORM.INV(W48,LN(Parameters!$L48),Parameters!$P48))))))</f>
        <v>Life tables</v>
      </c>
      <c r="U48" s="63" t="str">
        <f>"i_"&amp;Parameters!$K48</f>
        <v>i_Ris_Gend</v>
      </c>
      <c r="V48" s="63" t="str">
        <f>IF($Z$6=FALSE,Parameters!$L48,Parameters!$T48)</f>
        <v>Life tables</v>
      </c>
      <c r="W48" s="28">
        <v>0.46480250358581543</v>
      </c>
      <c r="X48" s="6"/>
      <c r="Y48" s="6"/>
      <c r="Z48" s="6"/>
      <c r="AA48" s="6"/>
    </row>
    <row r="49" ht="14.25" customHeight="1">
      <c r="A49" s="6"/>
      <c r="B49" s="6"/>
      <c r="C49" s="63">
        <f t="shared" si="1"/>
        <v>43</v>
      </c>
      <c r="D49" s="63" t="s">
        <v>342</v>
      </c>
      <c r="E49" s="63" t="s">
        <v>69</v>
      </c>
      <c r="F49" s="62" t="s">
        <v>208</v>
      </c>
      <c r="G49" s="63">
        <v>17.0</v>
      </c>
      <c r="H49" s="63"/>
      <c r="I49" s="63" t="s">
        <v>215</v>
      </c>
      <c r="J49" s="63" t="s">
        <v>216</v>
      </c>
      <c r="K49" s="63" t="str">
        <f>MID(Parameters!$E49,1,3)&amp;"_"&amp;MID(Parameters!$D49,1,4)</f>
        <v>Ris_Leng</v>
      </c>
      <c r="L49" s="66">
        <f>'Risk factors'!F17</f>
        <v>4</v>
      </c>
      <c r="M49" s="67" t="str">
        <f>IF(Parameters!$H49&lt;1,"",'Risk factors'!M17)</f>
        <v/>
      </c>
      <c r="N49" s="66">
        <f>IF(Parameters!$I49&lt;1,"",'Risk factors'!I17)</f>
        <v>2</v>
      </c>
      <c r="O49" s="66">
        <f>IF(Parameters!$J49&lt;1,"",'Risk factors'!J17)</f>
        <v>22</v>
      </c>
      <c r="P49" s="63">
        <f>IF(Parameters!$Q49="None","",IF(AND(LEN(Parameters!$N49)&gt;0,LEN(Parameters!$O49)&gt;0),IF(Parameters!$Q49="Normal",
((Parameters!$O49-Parameters!$N49)/3.92),((LN(Parameters!$O49)-LN(Parameters!$N49))/3.92)),IF(LEN(Parameters!$M49)&gt;0,Parameters!$M49,0.0001)))</f>
        <v>5.102040816</v>
      </c>
      <c r="Q49" s="63" t="s">
        <v>217</v>
      </c>
      <c r="R49" s="63">
        <f>MAX(0,Parameters!$N49-ABS(Parameters!$L49/10))</f>
        <v>1.6</v>
      </c>
      <c r="S49" s="63">
        <f>MIN(100000,Parameters!$O49+ABS(Parameters!$L49/10))</f>
        <v>22.4</v>
      </c>
      <c r="T49" s="63" t="str">
        <f>IF(Parameters!$Q49="Linked",100-T48,IF(Parameters!$Q49="None",Parameters!$L49,MIN(Parameters!$S49,MAX(Parameters!$R49,IF(Parameters!$Q49="Normal",NORM.INV(W49,Parameters!$L49,Parameters!$P49),LOGNORM.INV(W49,LN(Parameters!$L49),Parameters!$P49))))))</f>
        <v>#NAME?</v>
      </c>
      <c r="U49" s="63" t="str">
        <f>"i_"&amp;Parameters!$K49</f>
        <v>i_Ris_Leng</v>
      </c>
      <c r="V49" s="63">
        <f>IF($Z$6=FALSE,Parameters!$L49,Parameters!$T49)</f>
        <v>4</v>
      </c>
      <c r="W49" s="28">
        <v>0.7610911726951599</v>
      </c>
      <c r="X49" s="6"/>
      <c r="Y49" s="6"/>
      <c r="Z49" s="6"/>
      <c r="AA49" s="6"/>
    </row>
    <row r="50" ht="14.25" customHeight="1">
      <c r="A50" s="6"/>
      <c r="B50" s="6"/>
      <c r="C50" s="63">
        <f t="shared" si="1"/>
        <v>44</v>
      </c>
      <c r="D50" s="65" t="s">
        <v>343</v>
      </c>
      <c r="E50" s="63" t="s">
        <v>69</v>
      </c>
      <c r="F50" s="62" t="s">
        <v>208</v>
      </c>
      <c r="G50" s="63">
        <v>18.0</v>
      </c>
      <c r="H50" s="63"/>
      <c r="I50" s="63" t="s">
        <v>215</v>
      </c>
      <c r="J50" s="63" t="s">
        <v>216</v>
      </c>
      <c r="K50" s="63" t="str">
        <f>MID(Parameters!$E50,1,3)&amp;"_"&amp;MID(Parameters!$D50,1,4)</f>
        <v>Ris_DSWI</v>
      </c>
      <c r="L50" s="66">
        <f>'Risk factors'!F18</f>
        <v>6.45</v>
      </c>
      <c r="M50" s="67" t="str">
        <f>IF(Parameters!$H50&lt;1,"",'Risk factors'!M18)</f>
        <v/>
      </c>
      <c r="N50" s="66">
        <f>IF(Parameters!$I50&lt;1,"",'Risk factors'!I18)</f>
        <v>2.92</v>
      </c>
      <c r="O50" s="66">
        <f>IF(Parameters!$J50&lt;1,"",'Risk factors'!J18)</f>
        <v>14.25</v>
      </c>
      <c r="P50" s="63">
        <f>IF(Parameters!$Q50="None","",IF(AND(LEN(Parameters!$N50)&gt;0,LEN(Parameters!$O50)&gt;0),IF(Parameters!$Q50="Normal",
((Parameters!$O50-Parameters!$N50)/3.92),((LN(Parameters!$O50)-LN(Parameters!$N50))/3.92)),IF(LEN(Parameters!$M50)&gt;0,Parameters!$M50,0.0001)))</f>
        <v>0.4043809414</v>
      </c>
      <c r="Q50" s="63" t="s">
        <v>258</v>
      </c>
      <c r="R50" s="63">
        <f>MAX(0,Parameters!$N50-ABS(Parameters!$L50/10))</f>
        <v>2.275</v>
      </c>
      <c r="S50" s="63">
        <f>MIN(100000,Parameters!$O50+ABS(Parameters!$L50/10))</f>
        <v>14.895</v>
      </c>
      <c r="T50" s="63" t="str">
        <f>IF(Parameters!$Q50="Linked",100-T49,IF(Parameters!$Q50="None",Parameters!$L50,MIN(Parameters!$S50,MAX(Parameters!$R50,IF(Parameters!$Q50="Normal",NORM.INV(W50,Parameters!$L50,Parameters!$P50),LOGNORM.INV(W50,LN(Parameters!$L50),Parameters!$P50))))))</f>
        <v>#NAME?</v>
      </c>
      <c r="U50" s="63" t="str">
        <f>"i_"&amp;Parameters!$K50</f>
        <v>i_Ris_DSWI</v>
      </c>
      <c r="V50" s="63">
        <f>IF($Z$6=FALSE,Parameters!$L50,Parameters!$T50)</f>
        <v>6.45</v>
      </c>
      <c r="W50" s="28">
        <v>0.9427207708358765</v>
      </c>
      <c r="X50" s="6"/>
      <c r="Y50" s="6"/>
      <c r="Z50" s="6"/>
      <c r="AA50" s="6"/>
    </row>
    <row r="51" ht="14.25" customHeight="1">
      <c r="A51" s="6"/>
      <c r="B51" s="6"/>
      <c r="C51" s="63">
        <f t="shared" si="1"/>
        <v>45</v>
      </c>
      <c r="D51" s="65" t="s">
        <v>345</v>
      </c>
      <c r="E51" s="63" t="s">
        <v>69</v>
      </c>
      <c r="F51" s="62" t="s">
        <v>208</v>
      </c>
      <c r="G51" s="63">
        <v>19.0</v>
      </c>
      <c r="H51" s="63"/>
      <c r="I51" s="63" t="s">
        <v>215</v>
      </c>
      <c r="J51" s="63" t="s">
        <v>216</v>
      </c>
      <c r="K51" s="63" t="str">
        <f>MID(Parameters!$E51,1,3)&amp;"_"&amp;MID(Parameters!$D51,1,4)</f>
        <v>Ris_Prol</v>
      </c>
      <c r="L51" s="66">
        <f>'Risk factors'!F19</f>
        <v>1.73</v>
      </c>
      <c r="M51" s="67" t="str">
        <f>IF(Parameters!$H51&lt;1,"",'Risk factors'!M19)</f>
        <v/>
      </c>
      <c r="N51" s="66">
        <f>IF(Parameters!$I51&lt;1,"",'Risk factors'!I19)</f>
        <v>1.42</v>
      </c>
      <c r="O51" s="66">
        <f>IF(Parameters!$J51&lt;1,"",'Risk factors'!J19)</f>
        <v>2.12</v>
      </c>
      <c r="P51" s="63">
        <f>IF(Parameters!$Q51="None","",IF(AND(LEN(Parameters!$N51)&gt;0,LEN(Parameters!$O51)&gt;0),IF(Parameters!$Q51="Normal",
((Parameters!$O51-Parameters!$N51)/3.92),((LN(Parameters!$O51)-LN(Parameters!$N51))/3.92)),IF(LEN(Parameters!$M51)&gt;0,Parameters!$M51,0.0001)))</f>
        <v>0.1022344942</v>
      </c>
      <c r="Q51" s="63" t="s">
        <v>258</v>
      </c>
      <c r="R51" s="63">
        <f>MAX(0,Parameters!$N51-ABS(Parameters!$L51/10))</f>
        <v>1.247</v>
      </c>
      <c r="S51" s="63">
        <f>MIN(100000,Parameters!$O51+ABS(Parameters!$L51/10))</f>
        <v>2.293</v>
      </c>
      <c r="T51" s="63" t="str">
        <f>IF(Parameters!$Q51="Linked",100-T50,IF(Parameters!$Q51="None",Parameters!$L51,MIN(Parameters!$S51,MAX(Parameters!$R51,IF(Parameters!$Q51="Normal",NORM.INV(W51,Parameters!$L51,Parameters!$P51),LOGNORM.INV(W51,LN(Parameters!$L51),Parameters!$P51))))))</f>
        <v>#NAME?</v>
      </c>
      <c r="U51" s="63" t="str">
        <f>"i_"&amp;Parameters!$K51</f>
        <v>i_Ris_Prol</v>
      </c>
      <c r="V51" s="63">
        <f>IF($Z$6=FALSE,Parameters!$L51,Parameters!$T51)</f>
        <v>1.73</v>
      </c>
      <c r="W51" s="28">
        <v>0.3738451600074768</v>
      </c>
      <c r="X51" s="6"/>
      <c r="Y51" s="6"/>
      <c r="Z51" s="6"/>
      <c r="AA51" s="6"/>
    </row>
    <row r="52" ht="14.25" customHeight="1">
      <c r="A52" s="6"/>
      <c r="B52" s="6"/>
      <c r="C52" s="63">
        <f t="shared" si="1"/>
        <v>46</v>
      </c>
      <c r="D52" s="65" t="s">
        <v>348</v>
      </c>
      <c r="E52" s="63" t="s">
        <v>69</v>
      </c>
      <c r="F52" s="62" t="s">
        <v>208</v>
      </c>
      <c r="G52" s="63">
        <v>20.0</v>
      </c>
      <c r="H52" s="63"/>
      <c r="I52" s="63" t="s">
        <v>215</v>
      </c>
      <c r="J52" s="63" t="s">
        <v>216</v>
      </c>
      <c r="K52" s="63" t="str">
        <f>MID(Parameters!$E52,1,3)&amp;"_"&amp;MID(Parameters!$D52,1,4)</f>
        <v>Ris_Hosp</v>
      </c>
      <c r="L52" s="66">
        <f>'Risk factors'!F20</f>
        <v>1.64</v>
      </c>
      <c r="M52" s="67" t="str">
        <f>IF(Parameters!$H52&lt;1,"",'Risk factors'!M20)</f>
        <v/>
      </c>
      <c r="N52" s="66">
        <f>IF(Parameters!$I52&lt;1,"",'Risk factors'!I20)</f>
        <v>1.15</v>
      </c>
      <c r="O52" s="66">
        <f>IF(Parameters!$J52&lt;1,"",'Risk factors'!J20)</f>
        <v>2.35</v>
      </c>
      <c r="P52" s="63">
        <f>IF(Parameters!$Q52="None","",IF(AND(LEN(Parameters!$N52)&gt;0,LEN(Parameters!$O52)&gt;0),IF(Parameters!$Q52="Normal",
((Parameters!$O52-Parameters!$N52)/3.92),((LN(Parameters!$O52)-LN(Parameters!$N52))/3.92)),IF(LEN(Parameters!$M52)&gt;0,Parameters!$M52,0.0001)))</f>
        <v>0.1823095372</v>
      </c>
      <c r="Q52" s="63" t="s">
        <v>258</v>
      </c>
      <c r="R52" s="63">
        <f>MAX(0,Parameters!$N52-ABS(Parameters!$L52/10))</f>
        <v>0.986</v>
      </c>
      <c r="S52" s="63">
        <f>MIN(100000,Parameters!$O52+ABS(Parameters!$L52/10))</f>
        <v>2.514</v>
      </c>
      <c r="T52" s="63" t="str">
        <f>IF(Parameters!$Q52="Linked",100-T51,IF(Parameters!$Q52="None",Parameters!$L52,MIN(Parameters!$S52,MAX(Parameters!$R52,IF(Parameters!$Q52="Normal",NORM.INV(W52,Parameters!$L52,Parameters!$P52),LOGNORM.INV(W52,LN(Parameters!$L52),Parameters!$P52))))))</f>
        <v>#NAME?</v>
      </c>
      <c r="U52" s="63" t="str">
        <f>"i_"&amp;Parameters!$K52</f>
        <v>i_Ris_Hosp</v>
      </c>
      <c r="V52" s="63">
        <f>IF($Z$6=FALSE,Parameters!$L52,Parameters!$T52)</f>
        <v>1.64</v>
      </c>
      <c r="W52" s="28">
        <v>0.5899324417114258</v>
      </c>
      <c r="X52" s="6"/>
      <c r="Y52" s="6"/>
      <c r="Z52" s="6"/>
      <c r="AA52" s="6"/>
    </row>
    <row r="53" ht="14.25" customHeight="1">
      <c r="A53" s="6"/>
      <c r="B53" s="6"/>
      <c r="C53" s="63">
        <f t="shared" si="1"/>
        <v>47</v>
      </c>
      <c r="D53" s="65" t="s">
        <v>351</v>
      </c>
      <c r="E53" s="63" t="s">
        <v>69</v>
      </c>
      <c r="F53" s="62" t="s">
        <v>208</v>
      </c>
      <c r="G53" s="63">
        <v>21.0</v>
      </c>
      <c r="H53" s="63"/>
      <c r="I53" s="63" t="s">
        <v>215</v>
      </c>
      <c r="J53" s="63" t="s">
        <v>216</v>
      </c>
      <c r="K53" s="63" t="str">
        <f>MID(Parameters!$E53,1,3)&amp;"_"&amp;MID(Parameters!$D53,1,4)</f>
        <v>Ris_Risk</v>
      </c>
      <c r="L53" s="68" t="str">
        <f>'Risk factors'!F21</f>
        <v>Morbidly obese</v>
      </c>
      <c r="M53" s="67" t="str">
        <f>IF(Parameters!$H53&lt;1,"",'Risk factors'!M21)</f>
        <v/>
      </c>
      <c r="N53" s="67" t="str">
        <f>IF(Parameters!$I53&lt;1,"",'Risk factors'!I21)</f>
        <v/>
      </c>
      <c r="O53" s="67" t="str">
        <f>IF(Parameters!$J53&lt;1,"",'Risk factors'!J21)</f>
        <v/>
      </c>
      <c r="P53" s="63" t="str">
        <f>IF(Parameters!$Q53="None","",IF(AND(LEN(Parameters!$N53)&gt;0,LEN(Parameters!$O53)&gt;0),IF(Parameters!$Q53="Normal",
((Parameters!$O53-Parameters!$N53)/3.92),((LN(Parameters!$O53)-LN(Parameters!$N53))/3.92)),IF(LEN(Parameters!$M53)&gt;0,Parameters!$M53,0.0001)))</f>
        <v/>
      </c>
      <c r="Q53" s="63" t="s">
        <v>209</v>
      </c>
      <c r="R53" s="63">
        <f>MAX(0,Parameters!$N53-0.2)</f>
        <v>0</v>
      </c>
      <c r="S53" s="63">
        <f>MIN(20,Parameters!$O53+0.2)</f>
        <v>0.2</v>
      </c>
      <c r="T53" s="63" t="str">
        <f>IF(Parameters!$Q53="Linked",100-T52,IF(Parameters!$Q53="None",Parameters!$L53,MIN(Parameters!$S53,MAX(Parameters!$R53,IF(Parameters!$Q53="Normal",NORM.INV(W53,Parameters!$L53,Parameters!$P53),LOGNORM.INV(W53,LN(Parameters!$L53),Parameters!$P53))))))</f>
        <v>Morbidly obese</v>
      </c>
      <c r="U53" s="63" t="str">
        <f>"i_"&amp;Parameters!$K53</f>
        <v>i_Ris_Risk</v>
      </c>
      <c r="V53" s="63" t="str">
        <f>IF($Z$6=FALSE,Parameters!$L53,Parameters!$T53)</f>
        <v>Morbidly obese</v>
      </c>
      <c r="W53" s="28">
        <v>0.10078924894332886</v>
      </c>
      <c r="X53" s="6"/>
      <c r="Y53" s="6"/>
      <c r="Z53" s="6"/>
      <c r="AA53" s="6"/>
    </row>
    <row r="54" ht="14.25" customHeight="1">
      <c r="A54" s="6"/>
      <c r="B54" s="6"/>
      <c r="C54" s="63">
        <f t="shared" si="1"/>
        <v>48</v>
      </c>
      <c r="D54" s="65" t="s">
        <v>353</v>
      </c>
      <c r="E54" s="63" t="s">
        <v>69</v>
      </c>
      <c r="F54" s="62" t="s">
        <v>208</v>
      </c>
      <c r="G54" s="63">
        <v>24.0</v>
      </c>
      <c r="H54" s="63"/>
      <c r="I54" s="63" t="s">
        <v>215</v>
      </c>
      <c r="J54" s="63" t="s">
        <v>216</v>
      </c>
      <c r="K54" s="63" t="str">
        <f>MID(Parameters!$E54,1,3)&amp;"_"&amp;MID(Parameters!$D54,1,4)</f>
        <v>Ris_Diab</v>
      </c>
      <c r="L54" s="66">
        <f>'Risk factors'!F24</f>
        <v>1.71</v>
      </c>
      <c r="M54" s="67" t="str">
        <f>IF(Parameters!$H54&lt;1,"",'Risk factors'!M24)</f>
        <v/>
      </c>
      <c r="N54" s="66">
        <f>IF(Parameters!$I54&lt;1,"",'Risk factors'!I24)</f>
        <v>1.36</v>
      </c>
      <c r="O54" s="66">
        <f>IF(Parameters!$J54&lt;1,"",'Risk factors'!J24)</f>
        <v>2.16</v>
      </c>
      <c r="P54" s="63">
        <f>IF(Parameters!$Q54="None","",IF(AND(LEN(Parameters!$N54)&gt;0,LEN(Parameters!$O54)&gt;0),IF(Parameters!$Q54="Normal",
((Parameters!$O54-Parameters!$N54)/3.92),((LN(Parameters!$O54)-LN(Parameters!$N54))/3.92)),IF(LEN(Parameters!$M54)&gt;0,Parameters!$M54,0.0001)))</f>
        <v>0.2040816327</v>
      </c>
      <c r="Q54" s="63" t="s">
        <v>217</v>
      </c>
      <c r="R54" s="63">
        <f>MAX(0,Parameters!$N54-ABS(Parameters!$L54/10))</f>
        <v>1.189</v>
      </c>
      <c r="S54" s="63">
        <f>MIN(100000,Parameters!$O54+ABS(Parameters!$L54/10))</f>
        <v>2.331</v>
      </c>
      <c r="T54" s="63" t="str">
        <f>IF(Parameters!$Q54="Linked",100-T53,IF(Parameters!$Q54="None",Parameters!$L54,MIN(Parameters!$S54,MAX(Parameters!$R54,IF(Parameters!$Q54="Normal",NORM.INV(W54,Parameters!$L54,Parameters!$P54),LOGNORM.INV(W54,LN(Parameters!$L54),Parameters!$P54))))))</f>
        <v>#NAME?</v>
      </c>
      <c r="U54" s="63" t="str">
        <f>"i_"&amp;Parameters!$K54</f>
        <v>i_Ris_Diab</v>
      </c>
      <c r="V54" s="63">
        <f>IF($Z$6=FALSE,Parameters!$L54,Parameters!$T54)</f>
        <v>1.71</v>
      </c>
      <c r="W54" s="28">
        <v>0.02836287021636963</v>
      </c>
      <c r="X54" s="6"/>
      <c r="Y54" s="6"/>
      <c r="Z54" s="6"/>
      <c r="AA54" s="6"/>
    </row>
    <row r="55" ht="14.25" customHeight="1">
      <c r="A55" s="6"/>
      <c r="B55" s="6"/>
      <c r="C55" s="63">
        <f t="shared" si="1"/>
        <v>49</v>
      </c>
      <c r="D55" s="65" t="s">
        <v>107</v>
      </c>
      <c r="E55" s="63" t="s">
        <v>35</v>
      </c>
      <c r="F55" s="62" t="s">
        <v>208</v>
      </c>
      <c r="G55" s="63">
        <v>10.0</v>
      </c>
      <c r="H55" s="63" t="s">
        <v>218</v>
      </c>
      <c r="I55" s="63"/>
      <c r="J55" s="63"/>
      <c r="K55" s="63" t="str">
        <f>MID(Parameters!$E55,1,3)&amp;"_"&amp;MID(Parameters!$D55,1,4)</f>
        <v>Cos_CABG</v>
      </c>
      <c r="L55" s="76">
        <f>Costs!F10</f>
        <v>10244.05</v>
      </c>
      <c r="M55" s="77">
        <f>IF(Parameters!$H55&lt;1,"",Costs!H10)</f>
        <v>2663.69</v>
      </c>
      <c r="N55" s="67" t="str">
        <f>IF(Parameters!$I55&lt;1,"",Costs!N10)</f>
        <v/>
      </c>
      <c r="O55" s="67" t="str">
        <f>IF(Parameters!$J55&lt;1,"",Costs!O10)</f>
        <v/>
      </c>
      <c r="P55" s="78">
        <f>IF(Parameters!$Q55="None","",IF(AND(LEN(Parameters!$N55)&gt;0,LEN(Parameters!$O55)&gt;0),IF(Parameters!$Q55="Normal",
((Parameters!$O55-Parameters!$N55)/3.92),((LN(Parameters!$O55)-LN(Parameters!$N55))/3.92)),IF(LEN(Parameters!$M55)&gt;0,Parameters!$M55,0.0001)))</f>
        <v>2663.69</v>
      </c>
      <c r="Q55" s="63" t="s">
        <v>217</v>
      </c>
      <c r="R55" s="63">
        <v>0.0</v>
      </c>
      <c r="S55" s="63">
        <v>50000.0</v>
      </c>
      <c r="T55" s="63" t="str">
        <f>IF(Parameters!$Q55="Linked",100-T54,IF(Parameters!$Q55="None",Parameters!$L55,MIN(Parameters!$S55,MAX(Parameters!$R55,IF(Parameters!$Q55="Normal",NORM.INV(W55,Parameters!$L55,Parameters!$P55),LOGNORM.INV(W55,LN(Parameters!$L55),Parameters!$P55))))))</f>
        <v>#NAME?</v>
      </c>
      <c r="U55" s="63" t="str">
        <f>"i_"&amp;Parameters!$K55</f>
        <v>i_Cos_CABG</v>
      </c>
      <c r="V55" s="79">
        <f>IF($Z$6=FALSE,Parameters!$L55,Parameters!$T55)</f>
        <v>10244.05</v>
      </c>
      <c r="W55" s="28">
        <v>0.052709877490997314</v>
      </c>
      <c r="X55" s="6"/>
      <c r="Y55" s="6"/>
      <c r="Z55" s="6"/>
      <c r="AA55" s="6"/>
    </row>
    <row r="56" ht="14.25" customHeight="1">
      <c r="A56" s="6"/>
      <c r="B56" s="6"/>
      <c r="C56" s="63">
        <f t="shared" si="1"/>
        <v>50</v>
      </c>
      <c r="D56" s="65" t="s">
        <v>113</v>
      </c>
      <c r="E56" s="63" t="s">
        <v>35</v>
      </c>
      <c r="F56" s="62" t="s">
        <v>208</v>
      </c>
      <c r="G56" s="63">
        <v>11.0</v>
      </c>
      <c r="H56" s="63"/>
      <c r="I56" s="63" t="s">
        <v>215</v>
      </c>
      <c r="J56" s="63" t="s">
        <v>216</v>
      </c>
      <c r="K56" s="63" t="str">
        <f>MID(Parameters!$E56,1,3)&amp;"_"&amp;MID(Parameters!$D56,1,4)</f>
        <v>Cos_Mech</v>
      </c>
      <c r="L56" s="76">
        <f>Costs!F11</f>
        <v>755.75</v>
      </c>
      <c r="M56" s="67" t="str">
        <f>IF(Parameters!$H56&lt;1,"",Costs!M11)</f>
        <v/>
      </c>
      <c r="N56" s="77">
        <f>IF(Parameters!$I56&lt;1,"",Costs!I11)</f>
        <v>210.48</v>
      </c>
      <c r="O56" s="77">
        <f>IF(Parameters!$J56&lt;1,"",Costs!J11)</f>
        <v>906.25</v>
      </c>
      <c r="P56" s="63">
        <f>IF(Parameters!$Q56="None","",IF(AND(LEN(Parameters!$N56)&gt;0,LEN(Parameters!$O56)&gt;0),IF(Parameters!$Q56="Normal",
((Parameters!$O56-Parameters!$N56)/3.92),((LN(Parameters!$O56)-LN(Parameters!$N56))/3.92)),IF(LEN(Parameters!$M56)&gt;0,Parameters!$M56,0.0001)))</f>
        <v>177.4923469</v>
      </c>
      <c r="Q56" s="63" t="s">
        <v>217</v>
      </c>
      <c r="R56" s="63">
        <f>MAX(0,Parameters!$N56-ABS(Parameters!$L56/10))</f>
        <v>134.905</v>
      </c>
      <c r="S56" s="63">
        <f>MIN(100000,Parameters!$O56+ABS(Parameters!$L56/10))</f>
        <v>981.825</v>
      </c>
      <c r="T56" s="63" t="str">
        <f>IF(Parameters!$Q56="Linked",100-T55,IF(Parameters!$Q56="None",Parameters!$L56,MIN(Parameters!$S56,MAX(Parameters!$R56,IF(Parameters!$Q56="Normal",NORM.INV(W56,Parameters!$L56,Parameters!$P56),LOGNORM.INV(W56,LN(Parameters!$L56),Parameters!$P56))))))</f>
        <v>#NAME?</v>
      </c>
      <c r="U56" s="63" t="str">
        <f>"i_"&amp;Parameters!$K56</f>
        <v>i_Cos_Mech</v>
      </c>
      <c r="V56" s="79">
        <f>IF($Z$6=FALSE,Parameters!$L56,Parameters!$T56)</f>
        <v>755.75</v>
      </c>
      <c r="W56" s="28">
        <v>0.9959652423858643</v>
      </c>
      <c r="X56" s="6"/>
      <c r="Y56" s="6"/>
      <c r="Z56" s="6"/>
      <c r="AA56" s="6"/>
    </row>
    <row r="57" ht="14.25" customHeight="1">
      <c r="A57" s="6"/>
      <c r="B57" s="6"/>
      <c r="C57" s="63">
        <f t="shared" si="1"/>
        <v>51</v>
      </c>
      <c r="D57" s="65" t="s">
        <v>117</v>
      </c>
      <c r="E57" s="63" t="s">
        <v>35</v>
      </c>
      <c r="F57" s="62" t="s">
        <v>208</v>
      </c>
      <c r="G57" s="63">
        <v>12.0</v>
      </c>
      <c r="H57" s="63"/>
      <c r="I57" s="63" t="s">
        <v>215</v>
      </c>
      <c r="J57" s="63" t="s">
        <v>216</v>
      </c>
      <c r="K57" s="63" t="str">
        <f>MID(Parameters!$E57,1,3)&amp;"_"&amp;MID(Parameters!$D57,1,4)</f>
        <v>Cos_ICU </v>
      </c>
      <c r="L57" s="76">
        <f>Costs!F12</f>
        <v>2535.52</v>
      </c>
      <c r="M57" s="67" t="str">
        <f>IF(Parameters!$H57&lt;1,"",Costs!M12)</f>
        <v/>
      </c>
      <c r="N57" s="77">
        <f>IF(Parameters!$I57&lt;1,"",Costs!I12)</f>
        <v>2197.45</v>
      </c>
      <c r="O57" s="77">
        <f>IF(Parameters!$J57&lt;1,"",Costs!J12)</f>
        <v>3066.62</v>
      </c>
      <c r="P57" s="63">
        <f>IF(Parameters!$Q57="None","",IF(AND(LEN(Parameters!$N57)&gt;0,LEN(Parameters!$O57)&gt;0),IF(Parameters!$Q57="Normal",
((Parameters!$O57-Parameters!$N57)/3.92),((LN(Parameters!$O57)-LN(Parameters!$N57))/3.92)),IF(LEN(Parameters!$M57)&gt;0,Parameters!$M57,0.0001)))</f>
        <v>221.7270408</v>
      </c>
      <c r="Q57" s="63" t="s">
        <v>217</v>
      </c>
      <c r="R57" s="63">
        <f>MAX(0,Parameters!$N57-ABS(Parameters!$L57/10))</f>
        <v>1943.898</v>
      </c>
      <c r="S57" s="63">
        <f>MIN(100000,Parameters!$O57+ABS(Parameters!$L57/10))</f>
        <v>3320.172</v>
      </c>
      <c r="T57" s="63" t="str">
        <f>IF(Parameters!$Q57="Linked",100-T56,IF(Parameters!$Q57="None",Parameters!$L57,MIN(Parameters!$S57,MAX(Parameters!$R57,IF(Parameters!$Q57="Normal",NORM.INV(W57,Parameters!$L57,Parameters!$P57),LOGNORM.INV(W57,LN(Parameters!$L57),Parameters!$P57))))))</f>
        <v>#NAME?</v>
      </c>
      <c r="U57" s="63" t="str">
        <f>"i_"&amp;Parameters!$K57</f>
        <v>i_Cos_ICU </v>
      </c>
      <c r="V57" s="79">
        <f>IF($Z$6=FALSE,Parameters!$L57,Parameters!$T57)</f>
        <v>2535.52</v>
      </c>
      <c r="W57" s="28">
        <v>0.8048099875450134</v>
      </c>
      <c r="X57" s="6"/>
      <c r="Y57" s="6"/>
      <c r="Z57" s="6"/>
      <c r="AA57" s="6"/>
    </row>
    <row r="58" ht="14.25" customHeight="1">
      <c r="A58" s="6"/>
      <c r="B58" s="6"/>
      <c r="C58" s="63">
        <f t="shared" si="1"/>
        <v>52</v>
      </c>
      <c r="D58" s="62" t="s">
        <v>121</v>
      </c>
      <c r="E58" s="63" t="s">
        <v>35</v>
      </c>
      <c r="F58" s="62" t="s">
        <v>208</v>
      </c>
      <c r="G58" s="63">
        <v>13.0</v>
      </c>
      <c r="H58" s="63" t="s">
        <v>218</v>
      </c>
      <c r="I58" s="63"/>
      <c r="J58" s="63"/>
      <c r="K58" s="63" t="str">
        <f>MID(Parameters!$E58,1,3)&amp;"_"&amp;MID(Parameters!$D58,1,4)</f>
        <v>Cos_Gene</v>
      </c>
      <c r="L58" s="76">
        <f>Costs!F13</f>
        <v>2357.3</v>
      </c>
      <c r="M58" s="77">
        <f>IF(Parameters!$H58&lt;1,"",Costs!H13)</f>
        <v>235.73</v>
      </c>
      <c r="N58" s="67" t="str">
        <f>IF(Parameters!$I58&lt;1,"",Costs!N13)</f>
        <v/>
      </c>
      <c r="O58" s="67" t="str">
        <f>IF(Parameters!$J58&lt;1,"",Costs!O13)</f>
        <v/>
      </c>
      <c r="P58" s="78">
        <f>IF(Parameters!$Q58="None","",IF(AND(LEN(Parameters!$N58)&gt;0,LEN(Parameters!$O58)&gt;0),IF(Parameters!$Q58="Normal",
((Parameters!$O58-Parameters!$N58)/3.92),((LN(Parameters!$O58)-LN(Parameters!$N58))/3.92)),IF(LEN(Parameters!$M58)&gt;0,Parameters!$M58,0.0001)))</f>
        <v>235.73</v>
      </c>
      <c r="Q58" s="63" t="s">
        <v>217</v>
      </c>
      <c r="R58" s="63">
        <v>0.0</v>
      </c>
      <c r="S58" s="63">
        <v>50000.0</v>
      </c>
      <c r="T58" s="63" t="str">
        <f>IF(Parameters!$Q58="Linked",100-T57,IF(Parameters!$Q58="None",Parameters!$L58,MIN(Parameters!$S58,MAX(Parameters!$R58,IF(Parameters!$Q58="Normal",NORM.INV(W58,Parameters!$L58,Parameters!$P58),LOGNORM.INV(W58,LN(Parameters!$L58),Parameters!$P58))))))</f>
        <v>#NAME?</v>
      </c>
      <c r="U58" s="63" t="str">
        <f>"i_"&amp;Parameters!$K58</f>
        <v>i_Cos_Gene</v>
      </c>
      <c r="V58" s="79">
        <f>IF($Z$6=FALSE,Parameters!$L58,Parameters!$T58)</f>
        <v>2357.3</v>
      </c>
      <c r="W58" s="28">
        <v>0.3999432325363159</v>
      </c>
      <c r="X58" s="6"/>
      <c r="Y58" s="6"/>
      <c r="Z58" s="6"/>
      <c r="AA58" s="6"/>
    </row>
    <row r="59" ht="14.25" customHeight="1">
      <c r="A59" s="6"/>
      <c r="B59" s="6"/>
      <c r="C59" s="63">
        <f t="shared" si="1"/>
        <v>53</v>
      </c>
      <c r="D59" s="65" t="s">
        <v>122</v>
      </c>
      <c r="E59" s="63" t="s">
        <v>35</v>
      </c>
      <c r="F59" s="62" t="s">
        <v>208</v>
      </c>
      <c r="G59" s="63">
        <v>15.0</v>
      </c>
      <c r="H59" s="63"/>
      <c r="I59" s="63" t="s">
        <v>215</v>
      </c>
      <c r="J59" s="63" t="s">
        <v>216</v>
      </c>
      <c r="K59" s="63" t="str">
        <f>MID(Parameters!$E59,1,3)&amp;"_"&amp;MID(Parameters!$D59,1,4)</f>
        <v>Cos_Nurs</v>
      </c>
      <c r="L59" s="76">
        <f>Costs!F15</f>
        <v>57.93</v>
      </c>
      <c r="M59" s="67" t="str">
        <f>IF(Parameters!$H59&lt;1,"",Costs!M15)</f>
        <v/>
      </c>
      <c r="N59" s="77">
        <f>IF(Parameters!$I59&lt;1,"",Costs!I15)</f>
        <v>48.97</v>
      </c>
      <c r="O59" s="77">
        <f>IF(Parameters!$J59&lt;1,"",Costs!J15)</f>
        <v>66.9</v>
      </c>
      <c r="P59" s="63">
        <f>IF(Parameters!$Q59="None","",IF(AND(LEN(Parameters!$N59)&gt;0,LEN(Parameters!$O59)&gt;0),IF(Parameters!$Q59="Normal",
((Parameters!$O59-Parameters!$N59)/3.92),((LN(Parameters!$O59)-LN(Parameters!$N59))/3.92)),IF(LEN(Parameters!$M59)&gt;0,Parameters!$M59,0.0001)))</f>
        <v>4.573979592</v>
      </c>
      <c r="Q59" s="63" t="s">
        <v>217</v>
      </c>
      <c r="R59" s="63">
        <f>MAX(0,Parameters!$N59-ABS(Parameters!$L59/10))</f>
        <v>43.177</v>
      </c>
      <c r="S59" s="63">
        <f>MIN(100000,Parameters!$O59+ABS(Parameters!$L59/10))</f>
        <v>72.693</v>
      </c>
      <c r="T59" s="63" t="str">
        <f>IF(Parameters!$Q59="Linked",100-T58,IF(Parameters!$Q59="None",Parameters!$L59,MIN(Parameters!$S59,MAX(Parameters!$R59,IF(Parameters!$Q59="Normal",NORM.INV(W59,Parameters!$L59,Parameters!$P59),LOGNORM.INV(W59,LN(Parameters!$L59),Parameters!$P59))))))</f>
        <v>#NAME?</v>
      </c>
      <c r="U59" s="63" t="str">
        <f>"i_"&amp;Parameters!$K59</f>
        <v>i_Cos_Nurs</v>
      </c>
      <c r="V59" s="79">
        <f>IF($Z$6=FALSE,Parameters!$L59,Parameters!$T59)</f>
        <v>57.93</v>
      </c>
      <c r="W59" s="28">
        <v>0.7370410561561584</v>
      </c>
      <c r="X59" s="6"/>
      <c r="Y59" s="6"/>
      <c r="Z59" s="6"/>
      <c r="AA59" s="6"/>
    </row>
    <row r="60" ht="14.25" customHeight="1">
      <c r="A60" s="6"/>
      <c r="B60" s="6"/>
      <c r="C60" s="63">
        <f t="shared" si="1"/>
        <v>54</v>
      </c>
      <c r="D60" s="62" t="s">
        <v>123</v>
      </c>
      <c r="E60" s="63" t="s">
        <v>35</v>
      </c>
      <c r="F60" s="62" t="s">
        <v>208</v>
      </c>
      <c r="G60" s="63">
        <v>17.0</v>
      </c>
      <c r="H60" s="63"/>
      <c r="I60" s="63" t="s">
        <v>215</v>
      </c>
      <c r="J60" s="63" t="s">
        <v>216</v>
      </c>
      <c r="K60" s="63" t="str">
        <f>MID(Parameters!$E60,1,3)&amp;"_"&amp;MID(Parameters!$D60,1,4)</f>
        <v>Cos_Care</v>
      </c>
      <c r="L60" s="76">
        <f>Costs!F17</f>
        <v>420.43</v>
      </c>
      <c r="M60" s="67" t="str">
        <f>IF(Parameters!$H60&lt;1,"",Costs!M17)</f>
        <v/>
      </c>
      <c r="N60" s="77">
        <f>IF(Parameters!$I60&lt;1,"",Costs!I17)</f>
        <v>59.37</v>
      </c>
      <c r="O60" s="77">
        <f>IF(Parameters!$J60&lt;1,"",Costs!J17)</f>
        <v>1679.64</v>
      </c>
      <c r="P60" s="63">
        <f>IF(Parameters!$Q60="None","",IF(AND(LEN(Parameters!$N60)&gt;0,LEN(Parameters!$O60)&gt;0),IF(Parameters!$Q60="Normal",
((Parameters!$O60-Parameters!$N60)/3.92),((LN(Parameters!$O60)-LN(Parameters!$N60))/3.92)),IF(LEN(Parameters!$M60)&gt;0,Parameters!$M60,0.0001)))</f>
        <v>413.3341837</v>
      </c>
      <c r="Q60" s="63" t="s">
        <v>217</v>
      </c>
      <c r="R60" s="63">
        <f>MAX(0,Parameters!$N60-ABS(Parameters!$L60/10))</f>
        <v>17.327</v>
      </c>
      <c r="S60" s="63">
        <f>MIN(100000,Parameters!$O60+ABS(Parameters!$L60/10))</f>
        <v>1721.683</v>
      </c>
      <c r="T60" s="63" t="str">
        <f>IF(Parameters!$Q60="Linked",100-T59,IF(Parameters!$Q60="None",Parameters!$L60,MIN(Parameters!$S60,MAX(Parameters!$R60,IF(Parameters!$Q60="Normal",NORM.INV(W60,Parameters!$L60,Parameters!$P60),LOGNORM.INV(W60,LN(Parameters!$L60),Parameters!$P60))))))</f>
        <v>#NAME?</v>
      </c>
      <c r="U60" s="63" t="str">
        <f>"i_"&amp;Parameters!$K60</f>
        <v>i_Cos_Care</v>
      </c>
      <c r="V60" s="79">
        <f>IF($Z$6=FALSE,Parameters!$L60,Parameters!$T60)</f>
        <v>420.43</v>
      </c>
      <c r="W60" s="28">
        <v>0.7957549095153809</v>
      </c>
      <c r="X60" s="6"/>
      <c r="Y60" s="6"/>
      <c r="Z60" s="6"/>
      <c r="AA60" s="6"/>
    </row>
    <row r="61" ht="14.25" customHeight="1">
      <c r="A61" s="6"/>
      <c r="B61" s="6"/>
      <c r="C61" s="63">
        <f t="shared" si="1"/>
        <v>55</v>
      </c>
      <c r="D61" s="62" t="s">
        <v>365</v>
      </c>
      <c r="E61" s="63" t="s">
        <v>35</v>
      </c>
      <c r="F61" s="62" t="s">
        <v>208</v>
      </c>
      <c r="G61" s="63">
        <v>18.0</v>
      </c>
      <c r="H61" s="63" t="s">
        <v>218</v>
      </c>
      <c r="I61" s="63"/>
      <c r="J61" s="63"/>
      <c r="K61" s="63" t="str">
        <f>MID(Parameters!$E61,1,3)&amp;"_"&amp;MID(Parameters!$D61,1,4)</f>
        <v>Cos_Pati</v>
      </c>
      <c r="L61" s="76">
        <f>Costs!F18</f>
        <v>0</v>
      </c>
      <c r="M61" s="66">
        <f>IF(Parameters!$H61&lt;1,"",Costs!H18)</f>
        <v>5</v>
      </c>
      <c r="N61" s="67" t="str">
        <f>IF(Parameters!$I61&lt;1,"",Costs!N18)</f>
        <v/>
      </c>
      <c r="O61" s="67" t="str">
        <f>IF(Parameters!$J61&lt;1,"",Costs!O18)</f>
        <v/>
      </c>
      <c r="P61" s="63">
        <f>IF(Parameters!$Q61="None","",IF(AND(LEN(Parameters!$N61)&gt;0,LEN(Parameters!$O61)&gt;0),IF(Parameters!$Q61="Normal",
((Parameters!$O61-Parameters!$N61)/3.92),((LN(Parameters!$O61)-LN(Parameters!$N61))/3.92)),IF(LEN(Parameters!$M61)&gt;0,Parameters!$M61,0.0001)))</f>
        <v>5</v>
      </c>
      <c r="Q61" s="63" t="s">
        <v>217</v>
      </c>
      <c r="R61" s="63">
        <v>0.0</v>
      </c>
      <c r="S61" s="63">
        <v>50.0</v>
      </c>
      <c r="T61" s="63" t="str">
        <f>IF(Parameters!$Q61="Linked",100-T60,IF(Parameters!$Q61="None",Parameters!$L61,MIN(Parameters!$S61,MAX(Parameters!$R61,IF(Parameters!$Q61="Normal",NORM.INV(W61,Parameters!$L61,Parameters!$P61),LOGNORM.INV(W61,LN(Parameters!$L61),Parameters!$P61))))))</f>
        <v>#NAME?</v>
      </c>
      <c r="U61" s="63" t="str">
        <f>"i_"&amp;Parameters!$K61</f>
        <v>i_Cos_Pati</v>
      </c>
      <c r="V61" s="79">
        <f>IF($Z$6=FALSE,Parameters!$L61,Parameters!$T61)</f>
        <v>0</v>
      </c>
      <c r="W61" s="28">
        <v>0.09709137678146362</v>
      </c>
      <c r="X61" s="6"/>
      <c r="Y61" s="6"/>
      <c r="Z61" s="6"/>
      <c r="AA61" s="6"/>
    </row>
    <row r="62" ht="14.25" customHeight="1">
      <c r="A62" s="6"/>
      <c r="B62" s="6"/>
      <c r="C62" s="63">
        <f t="shared" si="1"/>
        <v>56</v>
      </c>
      <c r="D62" s="62" t="s">
        <v>366</v>
      </c>
      <c r="E62" s="63" t="s">
        <v>35</v>
      </c>
      <c r="F62" s="62" t="s">
        <v>208</v>
      </c>
      <c r="G62" s="63">
        <v>19.0</v>
      </c>
      <c r="H62" s="63" t="s">
        <v>218</v>
      </c>
      <c r="I62" s="63"/>
      <c r="J62" s="63"/>
      <c r="K62" s="63" t="str">
        <f>MID(Parameters!$E62,1,3)&amp;"_"&amp;MID(Parameters!$D62,1,4)</f>
        <v>Cos_Days</v>
      </c>
      <c r="L62" s="76">
        <f>Costs!F19</f>
        <v>0</v>
      </c>
      <c r="M62" s="66">
        <f>IF(Parameters!$H62&lt;1,"",Costs!H19)</f>
        <v>5</v>
      </c>
      <c r="N62" s="67" t="str">
        <f>IF(Parameters!$I62&lt;1,"",Costs!N19)</f>
        <v/>
      </c>
      <c r="O62" s="67" t="str">
        <f>IF(Parameters!$J62&lt;1,"",Costs!J19)</f>
        <v/>
      </c>
      <c r="P62" s="63">
        <f>IF(Parameters!$Q62="None","",IF(AND(LEN(Parameters!$N62)&gt;0,LEN(Parameters!$O62)&gt;0),IF(Parameters!$Q62="Normal",
((Parameters!$O62-Parameters!$N62)/3.92),((LN(Parameters!$O62)-LN(Parameters!$N62))/3.92)),IF(LEN(Parameters!$M62)&gt;0,Parameters!$M62,0.0001)))</f>
        <v>5</v>
      </c>
      <c r="Q62" s="63" t="s">
        <v>217</v>
      </c>
      <c r="R62" s="63">
        <v>0.0</v>
      </c>
      <c r="S62" s="63">
        <v>14.0</v>
      </c>
      <c r="T62" s="63" t="str">
        <f>IF(Parameters!$Q62="Linked",100-T61,IF(Parameters!$Q62="None",Parameters!$L62,MIN(Parameters!$S62,MAX(Parameters!$R62,IF(Parameters!$Q62="Normal",NORM.INV(W62,Parameters!$L62,Parameters!$P62),LOGNORM.INV(W62,LN(Parameters!$L62),Parameters!$P62))))))</f>
        <v>#NAME?</v>
      </c>
      <c r="U62" s="63" t="str">
        <f>"i_"&amp;Parameters!$K62</f>
        <v>i_Cos_Days</v>
      </c>
      <c r="V62" s="79">
        <f>IF($Z$6=FALSE,Parameters!$L62,Parameters!$T62)</f>
        <v>0</v>
      </c>
      <c r="W62" s="28">
        <v>0.6981478929519653</v>
      </c>
      <c r="X62" s="6"/>
      <c r="Y62" s="6"/>
      <c r="Z62" s="6"/>
      <c r="AA62" s="6"/>
    </row>
    <row r="63" ht="14.25" customHeight="1">
      <c r="A63" s="6"/>
      <c r="B63" s="6"/>
      <c r="C63" s="63">
        <f t="shared" si="1"/>
        <v>57</v>
      </c>
      <c r="D63" s="65" t="s">
        <v>127</v>
      </c>
      <c r="E63" s="63" t="s">
        <v>369</v>
      </c>
      <c r="F63" s="62" t="s">
        <v>208</v>
      </c>
      <c r="G63" s="63">
        <v>10.0</v>
      </c>
      <c r="H63" s="63"/>
      <c r="I63" s="63" t="s">
        <v>215</v>
      </c>
      <c r="J63" s="63" t="s">
        <v>216</v>
      </c>
      <c r="K63" s="63" t="s">
        <v>370</v>
      </c>
      <c r="L63" s="76">
        <f>'Costs AE'!F10</f>
        <v>-157.6</v>
      </c>
      <c r="M63" s="67" t="str">
        <f>IF(Parameters!$H63&lt;1,"",'Costs AE'!M10)</f>
        <v/>
      </c>
      <c r="N63" s="76">
        <f>IF(Parameters!$I63&lt;1,"",'Costs AE'!I10)</f>
        <v>-568.32</v>
      </c>
      <c r="O63" s="76">
        <f>IF(Parameters!$J63&lt;1,"",'Costs AE'!J10)</f>
        <v>253.12</v>
      </c>
      <c r="P63" s="63">
        <f>IF(Parameters!$Q63="None","",IF(AND(LEN(Parameters!$N63)&gt;0,LEN(Parameters!$O63)&gt;0),IF(Parameters!$Q63="Normal",
((Parameters!$O63-Parameters!$N63)/3.92),((LN(Parameters!$O63)-LN(Parameters!$N63))/3.92)),IF(LEN(Parameters!$M63)&gt;0,Parameters!$M63,0.0001)))</f>
        <v>209.5510204</v>
      </c>
      <c r="Q63" s="63" t="s">
        <v>217</v>
      </c>
      <c r="R63" s="63">
        <f>MAX(-1000,Parameters!$N63-ABS(Parameters!$L63/10))</f>
        <v>-584.08</v>
      </c>
      <c r="S63" s="63">
        <f>MIN(100000,Parameters!$O63+ABS(Parameters!$L63/10))</f>
        <v>268.88</v>
      </c>
      <c r="T63" s="63" t="str">
        <f>IF(Parameters!$Q63="Linked",100-T62,IF(Parameters!$Q63="None",Parameters!$L63,MIN(Parameters!$S63,MAX(Parameters!$R63,IF(Parameters!$Q63="Normal",NORM.INV(W63,Parameters!$L63,Parameters!$P63),LOGNORM.INV(W63,LN(Parameters!$L63),Parameters!$P63))))))</f>
        <v>#NAME?</v>
      </c>
      <c r="U63" s="63" t="str">
        <f>"i_"&amp;Parameters!$K63</f>
        <v>i_Cos_Inpa_SSI</v>
      </c>
      <c r="V63" s="79">
        <f>IF($Z$6=FALSE,Parameters!$L63,Parameters!$T63)</f>
        <v>-157.6</v>
      </c>
      <c r="W63" s="28">
        <v>0.5672805905342102</v>
      </c>
      <c r="X63" s="6"/>
      <c r="Y63" s="6"/>
      <c r="Z63" s="6"/>
      <c r="AA63" s="6"/>
    </row>
    <row r="64" ht="14.25" customHeight="1">
      <c r="A64" s="6"/>
      <c r="B64" s="6"/>
      <c r="C64" s="63">
        <f t="shared" si="1"/>
        <v>58</v>
      </c>
      <c r="D64" s="65" t="s">
        <v>128</v>
      </c>
      <c r="E64" s="63" t="s">
        <v>369</v>
      </c>
      <c r="F64" s="62" t="s">
        <v>208</v>
      </c>
      <c r="G64" s="63">
        <v>11.0</v>
      </c>
      <c r="H64" s="63"/>
      <c r="I64" s="63" t="s">
        <v>215</v>
      </c>
      <c r="J64" s="63" t="s">
        <v>216</v>
      </c>
      <c r="K64" s="63" t="str">
        <f>MID(Parameters!$E64,1,3)&amp;"_"&amp;MID(Parameters!$D64,1,4)</f>
        <v>Cos_Outp</v>
      </c>
      <c r="L64" s="76">
        <f>'Costs AE'!F11</f>
        <v>2582.6</v>
      </c>
      <c r="M64" s="67" t="str">
        <f>IF(Parameters!$H64&lt;1,"",'Costs AE'!M11)</f>
        <v/>
      </c>
      <c r="N64" s="76">
        <f>IF(Parameters!$I64&lt;1,"",'Costs AE'!I11)</f>
        <v>629.41</v>
      </c>
      <c r="O64" s="76">
        <f>IF(Parameters!$J64&lt;1,"",'Costs AE'!J11)</f>
        <v>3915.96</v>
      </c>
      <c r="P64" s="63">
        <f>IF(Parameters!$Q64="None","",IF(AND(LEN(Parameters!$N64)&gt;0,LEN(Parameters!$O64)&gt;0),IF(Parameters!$Q64="Normal",
((Parameters!$O64-Parameters!$N64)/3.92),((LN(Parameters!$O64)-LN(Parameters!$N64))/3.92)),IF(LEN(Parameters!$M64)&gt;0,Parameters!$M64,0.0001)))</f>
        <v>838.4056122</v>
      </c>
      <c r="Q64" s="63" t="s">
        <v>217</v>
      </c>
      <c r="R64" s="63">
        <f>MAX(-1000,Parameters!$N64-ABS(Parameters!$L64/10))</f>
        <v>371.15</v>
      </c>
      <c r="S64" s="63">
        <f>MIN(100000,Parameters!$O64+ABS(Parameters!$L64/10))</f>
        <v>4174.22</v>
      </c>
      <c r="T64" s="63" t="str">
        <f>IF(Parameters!$Q64="Linked",100-T63,IF(Parameters!$Q64="None",Parameters!$L64,MIN(Parameters!$S64,MAX(Parameters!$R64,IF(Parameters!$Q64="Normal",NORM.INV(W64,Parameters!$L64,Parameters!$P64),LOGNORM.INV(W64,LN(Parameters!$L64),Parameters!$P64))))))</f>
        <v>#NAME?</v>
      </c>
      <c r="U64" s="63" t="str">
        <f>"i_"&amp;Parameters!$K64</f>
        <v>i_Cos_Outp</v>
      </c>
      <c r="V64" s="79">
        <f>IF($Z$6=FALSE,Parameters!$L64,Parameters!$T64)</f>
        <v>2582.6</v>
      </c>
      <c r="W64" s="28">
        <v>0.3804757595062256</v>
      </c>
      <c r="X64" s="6"/>
      <c r="Y64" s="6"/>
      <c r="Z64" s="6"/>
      <c r="AA64" s="6"/>
    </row>
    <row r="65" ht="14.25" customHeight="1">
      <c r="A65" s="6"/>
      <c r="B65" s="6"/>
      <c r="C65" s="63">
        <f t="shared" si="1"/>
        <v>59</v>
      </c>
      <c r="D65" s="65" t="s">
        <v>129</v>
      </c>
      <c r="E65" s="63" t="s">
        <v>369</v>
      </c>
      <c r="F65" s="62" t="s">
        <v>208</v>
      </c>
      <c r="G65" s="63">
        <v>12.0</v>
      </c>
      <c r="H65" s="63"/>
      <c r="I65" s="63" t="s">
        <v>215</v>
      </c>
      <c r="J65" s="63" t="s">
        <v>216</v>
      </c>
      <c r="K65" s="63" t="s">
        <v>372</v>
      </c>
      <c r="L65" s="76">
        <f>'Costs AE'!F12</f>
        <v>-157.6</v>
      </c>
      <c r="M65" s="67" t="str">
        <f>IF(Parameters!$H65&lt;1,"",'Costs AE'!M12)</f>
        <v/>
      </c>
      <c r="N65" s="76">
        <f>IF(Parameters!$I65&lt;1,"",'Costs AE'!I12)</f>
        <v>-568.32</v>
      </c>
      <c r="O65" s="76">
        <f>IF(Parameters!$J65&lt;1,"",'Costs AE'!J12)</f>
        <v>253.12</v>
      </c>
      <c r="P65" s="63">
        <f>IF(Parameters!$Q65="None","",IF(AND(LEN(Parameters!$N65)&gt;0,LEN(Parameters!$O65)&gt;0),IF(Parameters!$Q65="Normal",
((Parameters!$O65-Parameters!$N65)/3.92),((LN(Parameters!$O65)-LN(Parameters!$N65))/3.92)),IF(LEN(Parameters!$M65)&gt;0,Parameters!$M65,0.0001)))</f>
        <v>209.5510204</v>
      </c>
      <c r="Q65" s="63" t="s">
        <v>217</v>
      </c>
      <c r="R65" s="63">
        <f>MAX(-1000,Parameters!$N65-ABS(Parameters!$L65/10))</f>
        <v>-584.08</v>
      </c>
      <c r="S65" s="63">
        <f>MIN(100000,Parameters!$O65+ABS(Parameters!$L65/10))</f>
        <v>268.88</v>
      </c>
      <c r="T65" s="63" t="str">
        <f>IF(Parameters!$Q65="Linked",100-T64,IF(Parameters!$Q65="None",Parameters!$L65,MIN(Parameters!$S65,MAX(Parameters!$R65,IF(Parameters!$Q65="Normal",NORM.INV(W65,Parameters!$L65,Parameters!$P65),LOGNORM.INV(W65,LN(Parameters!$L65),Parameters!$P65))))))</f>
        <v>#NAME?</v>
      </c>
      <c r="U65" s="63" t="str">
        <f>"i_"&amp;Parameters!$K65</f>
        <v>i_Cos_Inpa_DSWI</v>
      </c>
      <c r="V65" s="79">
        <f>IF($Z$6=FALSE,Parameters!$L65,Parameters!$T65)</f>
        <v>-157.6</v>
      </c>
      <c r="W65" s="28">
        <v>0.36661046743392944</v>
      </c>
      <c r="X65" s="6"/>
      <c r="Y65" s="6"/>
      <c r="Z65" s="6"/>
      <c r="AA65" s="6"/>
    </row>
    <row r="66" ht="14.25" customHeight="1">
      <c r="A66" s="6"/>
      <c r="B66" s="6"/>
      <c r="C66" s="63">
        <f t="shared" si="1"/>
        <v>60</v>
      </c>
      <c r="D66" s="65" t="s">
        <v>130</v>
      </c>
      <c r="E66" s="63" t="s">
        <v>369</v>
      </c>
      <c r="F66" s="62" t="s">
        <v>208</v>
      </c>
      <c r="G66" s="63">
        <v>13.0</v>
      </c>
      <c r="H66" s="63"/>
      <c r="I66" s="63" t="s">
        <v>215</v>
      </c>
      <c r="J66" s="63" t="s">
        <v>216</v>
      </c>
      <c r="K66" s="63" t="str">
        <f>MID(Parameters!$E66,1,3)&amp;"_"&amp;MID(Parameters!$D66,1,4)</f>
        <v>Cos_Read</v>
      </c>
      <c r="L66" s="76">
        <f>'Costs AE'!F13</f>
        <v>23585.82</v>
      </c>
      <c r="M66" s="67" t="str">
        <f>IF(Parameters!$H66&lt;1,"",'Costs AE'!M13)</f>
        <v/>
      </c>
      <c r="N66" s="76">
        <f>IF(Parameters!$I66&lt;1,"",'Costs AE'!I13)</f>
        <v>15090.45</v>
      </c>
      <c r="O66" s="76">
        <f>IF(Parameters!$J66&lt;1,"",'Costs AE'!J13)</f>
        <v>41806.15</v>
      </c>
      <c r="P66" s="63">
        <f>IF(Parameters!$Q66="None","",IF(AND(LEN(Parameters!$N66)&gt;0,LEN(Parameters!$O66)&gt;0),IF(Parameters!$Q66="Normal",
((Parameters!$O66-Parameters!$N66)/3.92),((LN(Parameters!$O66)-LN(Parameters!$N66))/3.92)),IF(LEN(Parameters!$M66)&gt;0,Parameters!$M66,0.0001)))</f>
        <v>6815.229592</v>
      </c>
      <c r="Q66" s="63" t="s">
        <v>217</v>
      </c>
      <c r="R66" s="63">
        <f>MAX(0,Parameters!$N66-(Parameters!$L66/10))</f>
        <v>12731.868</v>
      </c>
      <c r="S66" s="63">
        <f>MIN(100000,Parameters!$O66+(Parameters!$L66/10))</f>
        <v>44164.732</v>
      </c>
      <c r="T66" s="63" t="str">
        <f>IF(Parameters!$Q66="Linked",100-T65,IF(Parameters!$Q66="None",Parameters!$L66,MIN(Parameters!$S66,MAX(Parameters!$R66,IF(Parameters!$Q66="Normal",NORM.INV(W66,Parameters!$L66,Parameters!$P66),LOGNORM.INV(W66,LN(Parameters!$L66),Parameters!$P66))))))</f>
        <v>#NAME?</v>
      </c>
      <c r="U66" s="63" t="str">
        <f>"i_"&amp;Parameters!$K66</f>
        <v>i_Cos_Read</v>
      </c>
      <c r="V66" s="79">
        <f>IF($Z$6=FALSE,Parameters!$L66,Parameters!$T66)</f>
        <v>23585.82</v>
      </c>
      <c r="W66" s="28">
        <v>0.06854569911956787</v>
      </c>
      <c r="X66" s="6"/>
      <c r="Y66" s="6"/>
      <c r="Z66" s="6"/>
      <c r="AA66" s="6"/>
    </row>
    <row r="67" ht="14.25" customHeight="1">
      <c r="A67" s="6"/>
      <c r="B67" s="6"/>
      <c r="C67" s="63">
        <f t="shared" si="1"/>
        <v>61</v>
      </c>
      <c r="D67" s="65" t="s">
        <v>131</v>
      </c>
      <c r="E67" s="63" t="s">
        <v>369</v>
      </c>
      <c r="F67" s="62" t="s">
        <v>208</v>
      </c>
      <c r="G67" s="63">
        <v>15.0</v>
      </c>
      <c r="H67" s="63" t="s">
        <v>218</v>
      </c>
      <c r="I67" s="63"/>
      <c r="J67" s="63"/>
      <c r="K67" s="63" t="str">
        <f>MID(Parameters!$E67,1,3)&amp;"_"&amp;MID(Parameters!$D67,1,4)</f>
        <v>Cos_Fals</v>
      </c>
      <c r="L67" s="76">
        <f>'Costs AE'!F15</f>
        <v>2</v>
      </c>
      <c r="M67" s="80">
        <f>IF(Parameters!$H67&lt;1,"",'Costs AE'!H15)</f>
        <v>0.2</v>
      </c>
      <c r="N67" s="67" t="str">
        <f>IF(Parameters!$I67&lt;1,"",'Costs AE'!N15)</f>
        <v/>
      </c>
      <c r="O67" s="67" t="str">
        <f>IF(Parameters!$J67&lt;1,"",'Costs AE'!O15)</f>
        <v/>
      </c>
      <c r="P67" s="81">
        <f>IF(Parameters!$Q67="None","",IF(AND(LEN(Parameters!$N67)&gt;0,LEN(Parameters!$O67)&gt;0),IF(Parameters!$Q67="Normal",
((Parameters!$O67-Parameters!$N67)/3.92),((LN(Parameters!$O67)-LN(Parameters!$N67))/3.92)),IF(LEN(Parameters!$M67)&gt;0,Parameters!$M67,0.0001)))</f>
        <v>0.2</v>
      </c>
      <c r="Q67" s="63" t="s">
        <v>217</v>
      </c>
      <c r="R67" s="63">
        <v>0.0</v>
      </c>
      <c r="S67" s="63">
        <v>50000.0</v>
      </c>
      <c r="T67" s="63" t="str">
        <f>IF(Parameters!$Q67="Linked",100-T66,IF(Parameters!$Q67="None",Parameters!$L67,MIN(Parameters!$S67,MAX(Parameters!$R67,IF(Parameters!$Q67="Normal",NORM.INV(W67,Parameters!$L67,Parameters!$P67),LOGNORM.INV(W67,LN(Parameters!$L67),Parameters!$P67))))))</f>
        <v>#NAME?</v>
      </c>
      <c r="U67" s="63" t="str">
        <f>"i_"&amp;Parameters!$K67</f>
        <v>i_Cos_Fals</v>
      </c>
      <c r="V67" s="79">
        <f>IF($Z$6=FALSE,Parameters!$L67,Parameters!$T67)</f>
        <v>2</v>
      </c>
      <c r="W67" s="28">
        <v>0.1692219376564026</v>
      </c>
      <c r="X67" s="6"/>
      <c r="Y67" s="6"/>
      <c r="Z67" s="6"/>
      <c r="AA67" s="6"/>
    </row>
    <row r="68" ht="14.25" customHeight="1">
      <c r="A68" s="6"/>
      <c r="B68" s="6"/>
      <c r="C68" s="63">
        <f t="shared" si="1"/>
        <v>62</v>
      </c>
      <c r="D68" s="65" t="s">
        <v>133</v>
      </c>
      <c r="E68" s="63" t="s">
        <v>369</v>
      </c>
      <c r="F68" s="62" t="s">
        <v>208</v>
      </c>
      <c r="G68" s="63">
        <v>16.0</v>
      </c>
      <c r="H68" s="63" t="s">
        <v>218</v>
      </c>
      <c r="I68" s="63"/>
      <c r="J68" s="63"/>
      <c r="K68" s="63" t="str">
        <f>MID(Parameters!$E68,1,3)&amp;"_"&amp;MID(Parameters!$D68,1,4)</f>
        <v>Cos_Lead</v>
      </c>
      <c r="L68" s="76">
        <f>'Costs AE'!F16</f>
        <v>1</v>
      </c>
      <c r="M68" s="80">
        <f>IF(Parameters!$H68&lt;1,"",'Costs AE'!H16)</f>
        <v>0.1</v>
      </c>
      <c r="N68" s="67" t="str">
        <f>IF(Parameters!$I68&lt;1,"",'Costs AE'!N16)</f>
        <v/>
      </c>
      <c r="O68" s="67" t="str">
        <f>IF(Parameters!$J68&lt;1,"",'Costs AE'!O16)</f>
        <v/>
      </c>
      <c r="P68" s="81">
        <f>IF(Parameters!$Q68="None","",IF(AND(LEN(Parameters!$N68)&gt;0,LEN(Parameters!$O68)&gt;0),IF(Parameters!$Q68="Normal",
((Parameters!$O68-Parameters!$N68)/3.92),((LN(Parameters!$O68)-LN(Parameters!$N68))/3.92)),IF(LEN(Parameters!$M68)&gt;0,Parameters!$M68,0.0001)))</f>
        <v>0.1</v>
      </c>
      <c r="Q68" s="63" t="s">
        <v>217</v>
      </c>
      <c r="R68" s="63">
        <v>0.0</v>
      </c>
      <c r="S68" s="63">
        <v>50000.0</v>
      </c>
      <c r="T68" s="63" t="str">
        <f>IF(Parameters!$Q68="Linked",100-T67,IF(Parameters!$Q68="None",Parameters!$L68,MIN(Parameters!$S68,MAX(Parameters!$R68,IF(Parameters!$Q68="Normal",NORM.INV(W68,Parameters!$L68,Parameters!$P68),LOGNORM.INV(W68,LN(Parameters!$L68),Parameters!$P68))))))</f>
        <v>#NAME?</v>
      </c>
      <c r="U68" s="63" t="str">
        <f>"i_"&amp;Parameters!$K68</f>
        <v>i_Cos_Lead</v>
      </c>
      <c r="V68" s="79">
        <f>IF($Z$6=FALSE,Parameters!$L68,Parameters!$T68)</f>
        <v>1</v>
      </c>
      <c r="W68" s="28">
        <v>0.6852474212646484</v>
      </c>
      <c r="X68" s="6"/>
      <c r="Y68" s="6"/>
      <c r="Z68" s="6"/>
      <c r="AA68" s="6"/>
    </row>
    <row r="69" ht="14.25" customHeight="1">
      <c r="A69" s="6"/>
      <c r="B69" s="6"/>
      <c r="C69" s="63">
        <f t="shared" si="1"/>
        <v>63</v>
      </c>
      <c r="D69" s="65" t="s">
        <v>376</v>
      </c>
      <c r="E69" s="63" t="s">
        <v>369</v>
      </c>
      <c r="F69" s="62" t="s">
        <v>208</v>
      </c>
      <c r="G69" s="63">
        <v>19.0</v>
      </c>
      <c r="H69" s="63" t="s">
        <v>218</v>
      </c>
      <c r="I69" s="63"/>
      <c r="J69" s="63"/>
      <c r="K69" s="63" t="str">
        <f>MID(Parameters!$E69,1,3)&amp;"_"&amp;MID(Parameters!$D69,1,4)</f>
        <v>Cos_SSI </v>
      </c>
      <c r="L69" s="66">
        <f>'Costs AE'!F19</f>
        <v>13.3</v>
      </c>
      <c r="M69" s="80">
        <f>IF(Parameters!$H69&lt;1,"",'Costs AE'!H19)</f>
        <v>20.8</v>
      </c>
      <c r="N69" s="67" t="str">
        <f>IF(Parameters!$I69&lt;1,"",'Costs AE'!N19)</f>
        <v/>
      </c>
      <c r="O69" s="67" t="str">
        <f>IF(Parameters!$J69&lt;1,"",'Costs AE'!O19)</f>
        <v/>
      </c>
      <c r="P69" s="81">
        <f>IF(Parameters!$Q69="None","",IF(AND(LEN(Parameters!$N69)&gt;0,LEN(Parameters!$O69)&gt;0),IF(Parameters!$Q69="Normal",
((Parameters!$O69-Parameters!$N69)/3.92),((LN(Parameters!$O69)-LN(Parameters!$N69))/3.92)),IF(LEN(Parameters!$M69)&gt;0,Parameters!$M69,0.0001)))</f>
        <v>20.8</v>
      </c>
      <c r="Q69" s="63" t="s">
        <v>217</v>
      </c>
      <c r="R69" s="63" t="str">
        <f>T32</f>
        <v>#NAME?</v>
      </c>
      <c r="S69" s="63">
        <f>MIN(365,Parameters!$L69+(2*Parameters!$M69))</f>
        <v>54.9</v>
      </c>
      <c r="T69" s="63" t="str">
        <f>IF(Parameters!$Q69="Linked",100-T68,IF(Parameters!$Q69="None",Parameters!$L69,MIN(Parameters!$S69,MAX(Parameters!$R69,IF(Parameters!$Q69="Normal",NORM.INV(W69,Parameters!$L69,Parameters!$P69),LOGNORM.INV(W69,LN(Parameters!$L69),Parameters!$P69))))))</f>
        <v>#NAME?</v>
      </c>
      <c r="U69" s="63" t="str">
        <f>"i_"&amp;Parameters!$K69</f>
        <v>i_Cos_SSI </v>
      </c>
      <c r="V69" s="63">
        <f>IF($Z$6=FALSE,Parameters!$L69,Parameters!$T69)</f>
        <v>13.3</v>
      </c>
      <c r="W69" s="28">
        <v>0.3705083727836609</v>
      </c>
      <c r="X69" s="6"/>
      <c r="Y69" s="6"/>
      <c r="Z69" s="6"/>
      <c r="AA69" s="6"/>
    </row>
    <row r="70" ht="14.25" customHeight="1">
      <c r="A70" s="6"/>
      <c r="B70" s="6"/>
      <c r="C70" s="63">
        <f t="shared" si="1"/>
        <v>64</v>
      </c>
      <c r="D70" s="65" t="s">
        <v>380</v>
      </c>
      <c r="E70" s="63" t="s">
        <v>369</v>
      </c>
      <c r="F70" s="62" t="s">
        <v>208</v>
      </c>
      <c r="G70" s="63">
        <v>20.0</v>
      </c>
      <c r="H70" s="63" t="s">
        <v>218</v>
      </c>
      <c r="I70" s="63"/>
      <c r="J70" s="63"/>
      <c r="K70" s="63" t="str">
        <f>MID(Parameters!$E70,1,3)&amp;"_"&amp;MID(Parameters!$D70,1,4)</f>
        <v>Cos_DSWI</v>
      </c>
      <c r="L70" s="66">
        <f>'Costs AE'!F20</f>
        <v>24</v>
      </c>
      <c r="M70" s="80">
        <f>IF(Parameters!$H70&lt;1,"",'Costs AE'!H20)</f>
        <v>5</v>
      </c>
      <c r="N70" s="67" t="str">
        <f>IF(Parameters!$I70&lt;1,"",'Costs AE'!N20)</f>
        <v/>
      </c>
      <c r="O70" s="67" t="str">
        <f>IF(Parameters!$J70&lt;1,"",'Costs AE'!O20)</f>
        <v/>
      </c>
      <c r="P70" s="81">
        <f>IF(Parameters!$Q70="None","",IF(AND(LEN(Parameters!$N70)&gt;0,LEN(Parameters!$O70)&gt;0),IF(Parameters!$Q70="Normal",
((Parameters!$O70-Parameters!$N70)/3.92),((LN(Parameters!$O70)-LN(Parameters!$N70))/3.92)),IF(LEN(Parameters!$M70)&gt;0,Parameters!$M70,0.0001)))</f>
        <v>5</v>
      </c>
      <c r="Q70" s="63" t="s">
        <v>217</v>
      </c>
      <c r="R70" s="63" t="str">
        <f>T32</f>
        <v>#NAME?</v>
      </c>
      <c r="S70" s="63">
        <v>50.0</v>
      </c>
      <c r="T70" s="63" t="str">
        <f>IF(Parameters!$Q70="Linked",100-T69,IF(Parameters!$Q70="None",Parameters!$L70,MIN(Parameters!$S70,MAX(Parameters!$R70,IF(Parameters!$Q70="Normal",NORM.INV(W70,Parameters!$L70,Parameters!$P70),LOGNORM.INV(W70,LN(Parameters!$L70),Parameters!$P70))))))</f>
        <v>#NAME?</v>
      </c>
      <c r="U70" s="63" t="str">
        <f>"i_"&amp;Parameters!$K70</f>
        <v>i_Cos_DSWI</v>
      </c>
      <c r="V70" s="63">
        <f>IF($Z$6=FALSE,Parameters!$L70,Parameters!$T70)</f>
        <v>24</v>
      </c>
      <c r="W70" s="28">
        <v>0.5522133111953735</v>
      </c>
      <c r="X70" s="6"/>
      <c r="Y70" s="6"/>
      <c r="Z70" s="6"/>
      <c r="AA70" s="6"/>
    </row>
    <row r="71" ht="14.25" customHeight="1">
      <c r="A71" s="6"/>
      <c r="B71" s="6"/>
      <c r="C71" s="63">
        <f t="shared" si="1"/>
        <v>65</v>
      </c>
      <c r="D71" s="65" t="s">
        <v>381</v>
      </c>
      <c r="E71" s="63" t="s">
        <v>382</v>
      </c>
      <c r="F71" s="62" t="s">
        <v>208</v>
      </c>
      <c r="G71" s="63">
        <v>11.0</v>
      </c>
      <c r="H71" s="63"/>
      <c r="I71" s="63"/>
      <c r="J71" s="63"/>
      <c r="K71" s="63" t="s">
        <v>383</v>
      </c>
      <c r="L71" s="66">
        <f>Background!F11</f>
        <v>1.8</v>
      </c>
      <c r="M71" s="67" t="str">
        <f>IF(Parameters!$H71&lt;1,"",Background!M11)</f>
        <v/>
      </c>
      <c r="N71" s="67" t="str">
        <f>IF(Parameters!$I71&lt;1,"",Background!N11)</f>
        <v/>
      </c>
      <c r="O71" s="67" t="str">
        <f>IF(Parameters!$J71&lt;1,"",Background!O11)</f>
        <v/>
      </c>
      <c r="P71" s="63">
        <f>IF(Parameters!$Q71="None","",IF(AND(LEN(Parameters!$N71)&gt;0,LEN(Parameters!$O71)&gt;0),IF(Parameters!$Q71="Normal",
((Parameters!$O71-Parameters!$N71)/3.92),((LN(Parameters!$O71)-LN(Parameters!$N71))/3.92)),IF(LEN(Parameters!$M71)&gt;0,Parameters!$M71,0.0001)))</f>
        <v>0.0001</v>
      </c>
      <c r="Q71" s="63" t="s">
        <v>217</v>
      </c>
      <c r="R71" s="63">
        <v>0.0</v>
      </c>
      <c r="S71" s="63">
        <v>100.0</v>
      </c>
      <c r="T71" s="63" t="str">
        <f>IF(Parameters!$Q71="Linked",100-T70,IF(Parameters!$Q71="None",Parameters!$L71,MIN(Parameters!$S71,MAX(Parameters!$R71,IF(Parameters!$Q71="Normal",NORM.INV(W71,Parameters!$L71,Parameters!$P71),LOGNORM.INV(W71,LN(Parameters!$L71),Parameters!$P71))))))</f>
        <v>#NAME?</v>
      </c>
      <c r="U71" s="63" t="str">
        <f>"i_"&amp;Parameters!$K71</f>
        <v>i_Bac_SSI_9d</v>
      </c>
      <c r="V71" s="63">
        <f>IF($Z$6=FALSE,Parameters!$L71,Parameters!$T71)</f>
        <v>1.8</v>
      </c>
      <c r="W71" s="28">
        <v>0.4821351170539856</v>
      </c>
      <c r="X71" s="6"/>
      <c r="Y71" s="6"/>
      <c r="Z71" s="6"/>
      <c r="AA71" s="6"/>
    </row>
    <row r="72" ht="14.25" customHeight="1">
      <c r="A72" s="6"/>
      <c r="B72" s="6"/>
      <c r="C72" s="63">
        <f t="shared" si="1"/>
        <v>66</v>
      </c>
      <c r="D72" s="65" t="s">
        <v>384</v>
      </c>
      <c r="E72" s="63" t="s">
        <v>382</v>
      </c>
      <c r="F72" s="62" t="s">
        <v>208</v>
      </c>
      <c r="G72" s="63">
        <v>12.0</v>
      </c>
      <c r="H72" s="63"/>
      <c r="I72" s="63"/>
      <c r="J72" s="63"/>
      <c r="K72" s="63" t="s">
        <v>385</v>
      </c>
      <c r="L72" s="66">
        <f>Background!F12</f>
        <v>3.9</v>
      </c>
      <c r="M72" s="67" t="str">
        <f>IF(Parameters!$H72&lt;1,"",Background!M12)</f>
        <v/>
      </c>
      <c r="N72" s="67" t="str">
        <f>IF(Parameters!$I72&lt;1,"",Background!N12)</f>
        <v/>
      </c>
      <c r="O72" s="67" t="str">
        <f>IF(Parameters!$J72&lt;1,"",Background!O12)</f>
        <v/>
      </c>
      <c r="P72" s="63">
        <f>IF(Parameters!$Q72="None","",IF(AND(LEN(Parameters!$N72)&gt;0,LEN(Parameters!$O72)&gt;0),IF(Parameters!$Q72="Normal",
((Parameters!$O72-Parameters!$N72)/3.92),((LN(Parameters!$O72)-LN(Parameters!$N72))/3.92)),IF(LEN(Parameters!$M72)&gt;0,Parameters!$M72,0.0001)))</f>
        <v>0.0001</v>
      </c>
      <c r="Q72" s="63" t="s">
        <v>217</v>
      </c>
      <c r="R72" s="63">
        <v>0.0</v>
      </c>
      <c r="S72" s="63">
        <v>100.0</v>
      </c>
      <c r="T72" s="63" t="str">
        <f>IF(Parameters!$Q72="Linked",100-T71,IF(Parameters!$Q72="None",Parameters!$L72,MIN(Parameters!$S72,MAX(Parameters!$R72,IF(Parameters!$Q72="Normal",NORM.INV(W72,Parameters!$L72,Parameters!$P72),LOGNORM.INV(W72,LN(Parameters!$L72),Parameters!$P72))))))</f>
        <v>#NAME?</v>
      </c>
      <c r="U72" s="63" t="str">
        <f>"i_"&amp;Parameters!$K72</f>
        <v>i_Bac_SSI_30d</v>
      </c>
      <c r="V72" s="63">
        <f>IF($Z$6=FALSE,Parameters!$L72,Parameters!$T72)</f>
        <v>3.9</v>
      </c>
      <c r="W72" s="28">
        <v>0.7047598361968994</v>
      </c>
      <c r="X72" s="6"/>
      <c r="Y72" s="6"/>
      <c r="Z72" s="6"/>
      <c r="AA72" s="6"/>
    </row>
    <row r="73" ht="14.25" customHeight="1">
      <c r="A73" s="6"/>
      <c r="B73" s="6"/>
      <c r="C73" s="63">
        <f t="shared" si="1"/>
        <v>67</v>
      </c>
      <c r="D73" s="65" t="s">
        <v>386</v>
      </c>
      <c r="E73" s="63" t="s">
        <v>382</v>
      </c>
      <c r="F73" s="62" t="s">
        <v>208</v>
      </c>
      <c r="G73" s="63">
        <v>13.0</v>
      </c>
      <c r="H73" s="63"/>
      <c r="I73" s="63"/>
      <c r="J73" s="63"/>
      <c r="K73" s="63" t="s">
        <v>387</v>
      </c>
      <c r="L73" s="66">
        <f>Background!F13</f>
        <v>5.6</v>
      </c>
      <c r="M73" s="67" t="str">
        <f>IF(Parameters!$H73&lt;1,"",Background!M13)</f>
        <v/>
      </c>
      <c r="N73" s="67" t="str">
        <f>IF(Parameters!$I73&lt;1,"",Background!N13)</f>
        <v/>
      </c>
      <c r="O73" s="67" t="str">
        <f>IF(Parameters!$J73&lt;1,"",Background!O13)</f>
        <v/>
      </c>
      <c r="P73" s="63">
        <f>IF(Parameters!$Q73="None","",IF(AND(LEN(Parameters!$N73)&gt;0,LEN(Parameters!$O73)&gt;0),IF(Parameters!$Q73="Normal",
((Parameters!$O73-Parameters!$N73)/3.92),((LN(Parameters!$O73)-LN(Parameters!$N73))/3.92)),IF(LEN(Parameters!$M73)&gt;0,Parameters!$M73,0.0001)))</f>
        <v>0.0001</v>
      </c>
      <c r="Q73" s="63" t="s">
        <v>217</v>
      </c>
      <c r="R73" s="63">
        <v>0.0</v>
      </c>
      <c r="S73" s="63">
        <v>100.0</v>
      </c>
      <c r="T73" s="63" t="str">
        <f>IF(Parameters!$Q73="Linked",100-T72,IF(Parameters!$Q73="None",Parameters!$L73,MIN(Parameters!$S73,MAX(Parameters!$R73,IF(Parameters!$Q73="Normal",NORM.INV(W73,Parameters!$L73,Parameters!$P73),LOGNORM.INV(W73,LN(Parameters!$L73),Parameters!$P73))))))</f>
        <v>#NAME?</v>
      </c>
      <c r="U73" s="63" t="str">
        <f>"i_"&amp;Parameters!$K73</f>
        <v>i_Bac_SSI_90d</v>
      </c>
      <c r="V73" s="63">
        <f>IF($Z$6=FALSE,Parameters!$L73,Parameters!$T73)</f>
        <v>5.6</v>
      </c>
      <c r="W73" s="28">
        <v>0.687215268611908</v>
      </c>
      <c r="X73" s="6"/>
      <c r="Y73" s="6"/>
      <c r="Z73" s="6"/>
      <c r="AA73" s="6"/>
    </row>
    <row r="74" ht="14.25" customHeight="1">
      <c r="A74" s="6"/>
      <c r="B74" s="6"/>
      <c r="C74" s="63">
        <f t="shared" si="1"/>
        <v>68</v>
      </c>
      <c r="D74" s="65" t="s">
        <v>388</v>
      </c>
      <c r="E74" s="63" t="s">
        <v>382</v>
      </c>
      <c r="F74" s="62" t="s">
        <v>208</v>
      </c>
      <c r="G74" s="63">
        <v>16.0</v>
      </c>
      <c r="H74" s="63"/>
      <c r="I74" s="63" t="s">
        <v>215</v>
      </c>
      <c r="J74" s="63" t="s">
        <v>216</v>
      </c>
      <c r="K74" s="63" t="s">
        <v>389</v>
      </c>
      <c r="L74" s="66">
        <f>Background!F16</f>
        <v>2.68</v>
      </c>
      <c r="M74" s="67" t="str">
        <f>IF(Parameters!$H74&lt;1,"",Background!M16)</f>
        <v/>
      </c>
      <c r="N74" s="66">
        <f>IF(Parameters!$I74&lt;1,"",Background!I16)</f>
        <v>2.26</v>
      </c>
      <c r="O74" s="66">
        <f>IF(Parameters!$J74&lt;1,"",Background!J16)</f>
        <v>3.17</v>
      </c>
      <c r="P74" s="63">
        <f>IF(Parameters!$Q74="None","",IF(AND(LEN(Parameters!$N74)&gt;0,LEN(Parameters!$O74)&gt;0),IF(Parameters!$Q74="Normal",
((Parameters!$O74-Parameters!$N74)/3.92),((LN(Parameters!$O74)-LN(Parameters!$N74))/3.92)),IF(LEN(Parameters!$M74)&gt;0,Parameters!$M74,0.0001)))</f>
        <v>0.2321428571</v>
      </c>
      <c r="Q74" s="63" t="s">
        <v>217</v>
      </c>
      <c r="R74" s="63">
        <v>0.0</v>
      </c>
      <c r="S74" s="63">
        <v>100.0</v>
      </c>
      <c r="T74" s="63" t="str">
        <f>IF(Parameters!$Q74="Linked",100-T73,IF(Parameters!$Q74="None",Parameters!$L74,MIN(Parameters!$S74,MAX(Parameters!$R74,IF(Parameters!$Q74="Normal",NORM.INV(W74,Parameters!$L74,Parameters!$P74),LOGNORM.INV(W74,LN(Parameters!$L74),Parameters!$P74))))))</f>
        <v>#NAME?</v>
      </c>
      <c r="U74" s="63" t="str">
        <f>"i_"&amp;Parameters!$K74</f>
        <v>i_BAC_DSWI_30d</v>
      </c>
      <c r="V74" s="63">
        <f>IF($Z$6=FALSE,Parameters!$L74,Parameters!$T74)</f>
        <v>2.68</v>
      </c>
      <c r="W74" s="28">
        <v>0.7263602018356323</v>
      </c>
      <c r="X74" s="6"/>
      <c r="Y74" s="6"/>
      <c r="Z74" s="6"/>
      <c r="AA74" s="6"/>
    </row>
    <row r="75" ht="14.25" customHeight="1">
      <c r="A75" s="6"/>
      <c r="B75" s="6"/>
      <c r="C75" s="63">
        <f t="shared" si="1"/>
        <v>69</v>
      </c>
      <c r="D75" s="65" t="s">
        <v>390</v>
      </c>
      <c r="E75" s="63" t="s">
        <v>382</v>
      </c>
      <c r="F75" s="62" t="s">
        <v>208</v>
      </c>
      <c r="G75" s="63">
        <v>17.0</v>
      </c>
      <c r="H75" s="63"/>
      <c r="I75" s="63" t="s">
        <v>215</v>
      </c>
      <c r="J75" s="63" t="s">
        <v>216</v>
      </c>
      <c r="K75" s="63" t="s">
        <v>391</v>
      </c>
      <c r="L75" s="66">
        <f>Background!F17</f>
        <v>3.95</v>
      </c>
      <c r="M75" s="67" t="str">
        <f>IF(Parameters!$H75&lt;1,"",Background!M17)</f>
        <v/>
      </c>
      <c r="N75" s="66">
        <f>IF(Parameters!$I75&lt;1,"",Background!I17)</f>
        <v>3.45</v>
      </c>
      <c r="O75" s="66">
        <f>IF(Parameters!$J75&lt;1,"",Background!J17)</f>
        <v>4.52</v>
      </c>
      <c r="P75" s="63">
        <f>IF(Parameters!$Q75="None","",IF(AND(LEN(Parameters!$N75)&gt;0,LEN(Parameters!$O75)&gt;0),IF(Parameters!$Q75="Normal",
((Parameters!$O75-Parameters!$N75)/3.92),((LN(Parameters!$O75)-LN(Parameters!$N75))/3.92)),IF(LEN(Parameters!$M75)&gt;0,Parameters!$M75,0.0001)))</f>
        <v>0.2729591837</v>
      </c>
      <c r="Q75" s="63" t="s">
        <v>217</v>
      </c>
      <c r="R75" s="63">
        <v>0.0</v>
      </c>
      <c r="S75" s="63">
        <v>100.0</v>
      </c>
      <c r="T75" s="63" t="str">
        <f>IF(Parameters!$Q75="Linked",100-T74,IF(Parameters!$Q75="None",Parameters!$L75,MIN(Parameters!$S75,MAX(Parameters!$R75,IF(Parameters!$Q75="Normal",NORM.INV(W75,Parameters!$L75,Parameters!$P75),LOGNORM.INV(W75,LN(Parameters!$L75),Parameters!$P75))))))</f>
        <v>#NAME?</v>
      </c>
      <c r="U75" s="63" t="str">
        <f>"i_"&amp;Parameters!$K75</f>
        <v>i_BAC_DSWI_90d</v>
      </c>
      <c r="V75" s="63">
        <f>IF($Z$6=FALSE,Parameters!$L75,Parameters!$T75)</f>
        <v>3.95</v>
      </c>
      <c r="W75" s="28">
        <v>0.8368917107582092</v>
      </c>
      <c r="X75" s="6"/>
      <c r="Y75" s="6"/>
      <c r="Z75" s="6"/>
      <c r="AA75" s="6"/>
    </row>
    <row r="76" ht="14.25" customHeight="1">
      <c r="A76" s="6"/>
      <c r="B76" s="6"/>
      <c r="C76" s="63">
        <f t="shared" si="1"/>
        <v>70</v>
      </c>
      <c r="D76" s="65" t="s">
        <v>392</v>
      </c>
      <c r="E76" s="63" t="s">
        <v>382</v>
      </c>
      <c r="F76" s="62" t="s">
        <v>208</v>
      </c>
      <c r="G76" s="63">
        <v>18.0</v>
      </c>
      <c r="H76" s="63"/>
      <c r="I76" s="63" t="s">
        <v>215</v>
      </c>
      <c r="J76" s="63" t="s">
        <v>216</v>
      </c>
      <c r="K76" s="63" t="s">
        <v>393</v>
      </c>
      <c r="L76" s="66">
        <f>Background!F18</f>
        <v>4.67</v>
      </c>
      <c r="M76" s="67" t="str">
        <f>IF(Parameters!$H76&lt;1,"",Background!M18)</f>
        <v/>
      </c>
      <c r="N76" s="66">
        <f>IF(Parameters!$I76&lt;1,"",Background!I18)</f>
        <v>4.13</v>
      </c>
      <c r="O76" s="66">
        <f>IF(Parameters!$J76&lt;1,"",Background!J18)</f>
        <v>5.28</v>
      </c>
      <c r="P76" s="63">
        <f>IF(Parameters!$Q76="None","",IF(AND(LEN(Parameters!$N76)&gt;0,LEN(Parameters!$O76)&gt;0),IF(Parameters!$Q76="Normal",
((Parameters!$O76-Parameters!$N76)/3.92),((LN(Parameters!$O76)-LN(Parameters!$N76))/3.92)),IF(LEN(Parameters!$M76)&gt;0,Parameters!$M76,0.0001)))</f>
        <v>0.2933673469</v>
      </c>
      <c r="Q76" s="63" t="s">
        <v>217</v>
      </c>
      <c r="R76" s="63">
        <v>0.0</v>
      </c>
      <c r="S76" s="63">
        <v>100.0</v>
      </c>
      <c r="T76" s="63" t="str">
        <f>IF(Parameters!$Q76="Linked",100-T75,IF(Parameters!$Q76="None",Parameters!$L76,MIN(Parameters!$S76,MAX(Parameters!$R76,IF(Parameters!$Q76="Normal",NORM.INV(W76,Parameters!$L76,Parameters!$P76),LOGNORM.INV(W76,LN(Parameters!$L76),Parameters!$P76))))))</f>
        <v>#NAME?</v>
      </c>
      <c r="U76" s="63" t="str">
        <f>"i_"&amp;Parameters!$K76</f>
        <v>i_BAC_DSWI_1y</v>
      </c>
      <c r="V76" s="63">
        <f>IF($Z$6=FALSE,Parameters!$L76,Parameters!$T76)</f>
        <v>4.67</v>
      </c>
      <c r="W76" s="28">
        <v>0.2588982582092285</v>
      </c>
      <c r="X76" s="6"/>
      <c r="Y76" s="6"/>
      <c r="Z76" s="6"/>
      <c r="AA76" s="6"/>
    </row>
    <row r="77" ht="14.25" customHeight="1">
      <c r="A77" s="6"/>
      <c r="B77" s="6"/>
      <c r="C77" s="63">
        <f t="shared" si="1"/>
        <v>71</v>
      </c>
      <c r="D77" s="63" t="s">
        <v>169</v>
      </c>
      <c r="E77" s="63" t="s">
        <v>382</v>
      </c>
      <c r="F77" s="62" t="s">
        <v>208</v>
      </c>
      <c r="G77" s="63">
        <v>20.0</v>
      </c>
      <c r="H77" s="63" t="s">
        <v>218</v>
      </c>
      <c r="I77" s="63"/>
      <c r="J77" s="63"/>
      <c r="K77" s="63" t="s">
        <v>394</v>
      </c>
      <c r="L77" s="66">
        <f>Background!F20</f>
        <v>0.61</v>
      </c>
      <c r="M77" s="66">
        <f>IF(Parameters!$H77&lt;1,"",Background!H20)</f>
        <v>0.0005748176071</v>
      </c>
      <c r="N77" s="67" t="str">
        <f>IF(Parameters!$I77&lt;1,"",Background!N20)</f>
        <v/>
      </c>
      <c r="O77" s="67" t="str">
        <f>IF(Parameters!$J77&lt;1,"",Background!O20)</f>
        <v/>
      </c>
      <c r="P77" s="63">
        <f>IF(Parameters!$Q77="None","",IF(AND(LEN(Parameters!$N77)&gt;0,LEN(Parameters!$O77)&gt;0),IF(Parameters!$Q77="Normal",
((Parameters!$O77-Parameters!$N77)/3.92),((LN(Parameters!$O77)-LN(Parameters!$N77))/3.92)),IF(LEN(Parameters!$M77)&gt;0,Parameters!$M77,0.0001)))</f>
        <v>0.0005748176071</v>
      </c>
      <c r="Q77" s="63" t="s">
        <v>217</v>
      </c>
      <c r="R77" s="63">
        <v>0.0</v>
      </c>
      <c r="S77" s="63">
        <v>100.0</v>
      </c>
      <c r="T77" s="63" t="str">
        <f>IF(Parameters!$Q77="Linked",100-T76,IF(Parameters!$Q77="None",Parameters!$L77,MIN(Parameters!$S77,MAX(Parameters!$R77,IF(Parameters!$Q77="Normal",NORM.INV(W77,Parameters!$L77,Parameters!$P77),LOGNORM.INV(W77,LN(Parameters!$L77),Parameters!$P77))))))</f>
        <v>#NAME?</v>
      </c>
      <c r="U77" s="63" t="str">
        <f>"i_"&amp;Parameters!$K77</f>
        <v>i_Bac_CABG_death</v>
      </c>
      <c r="V77" s="63">
        <f>IF($Z$6=FALSE,Parameters!$L77,Parameters!$T77)</f>
        <v>0.61</v>
      </c>
      <c r="W77" s="28">
        <v>0.41957539319992065</v>
      </c>
      <c r="X77" s="6"/>
      <c r="Y77" s="6"/>
      <c r="Z77" s="6"/>
      <c r="AA77" s="6"/>
    </row>
    <row r="78" ht="14.25" customHeight="1">
      <c r="A78" s="6"/>
      <c r="B78" s="6"/>
      <c r="C78" s="63">
        <f t="shared" si="1"/>
        <v>72</v>
      </c>
      <c r="D78" s="63" t="s">
        <v>395</v>
      </c>
      <c r="E78" s="63" t="s">
        <v>382</v>
      </c>
      <c r="F78" s="62" t="s">
        <v>208</v>
      </c>
      <c r="G78" s="63">
        <v>22.0</v>
      </c>
      <c r="H78" s="63" t="s">
        <v>218</v>
      </c>
      <c r="I78" s="63"/>
      <c r="J78" s="63"/>
      <c r="K78" s="63" t="s">
        <v>396</v>
      </c>
      <c r="L78" s="66">
        <f>Background!F22</f>
        <v>7.9</v>
      </c>
      <c r="M78" s="66">
        <f>IF(Parameters!$H78&lt;1,"",Background!H22)</f>
        <v>8.5</v>
      </c>
      <c r="N78" s="67"/>
      <c r="O78" s="67"/>
      <c r="P78" s="63">
        <f>IF(Parameters!$Q78="None","",IF(AND(LEN(Parameters!$N78)&gt;0,LEN(Parameters!$O78)&gt;0),IF(Parameters!$Q78="Normal",
((Parameters!$O78-Parameters!$N78)/3.92),((LN(Parameters!$O78)-LN(Parameters!$N78))/3.92)),IF(LEN(Parameters!$M78)&gt;0,Parameters!$M78,0.0001)))</f>
        <v>8.5</v>
      </c>
      <c r="Q78" s="63" t="s">
        <v>217</v>
      </c>
      <c r="R78" s="63">
        <v>2.0</v>
      </c>
      <c r="S78" s="63">
        <v>30.0</v>
      </c>
      <c r="T78" s="63" t="str">
        <f>IF(Parameters!$Q78="Linked",100-T77,IF(Parameters!$Q78="None",Parameters!$L78,MIN(Parameters!$S78,MAX(Parameters!$R78,IF(Parameters!$Q78="Normal",NORM.INV(W78,Parameters!$L78,Parameters!$P78),LOGNORM.INV(W78,LN(Parameters!$L78),Parameters!$P78))))))</f>
        <v>#NAME?</v>
      </c>
      <c r="U78" s="63" t="str">
        <f>"i_"&amp;Parameters!$K78</f>
        <v>i_Bac_MV_days</v>
      </c>
      <c r="V78" s="63">
        <f>IF($Z$6=FALSE,Parameters!$L78,Parameters!$T78)</f>
        <v>7.9</v>
      </c>
      <c r="W78" s="28">
        <v>0.5949536561965942</v>
      </c>
      <c r="X78" s="6"/>
      <c r="Y78" s="6"/>
      <c r="Z78" s="6"/>
      <c r="AA78" s="6"/>
    </row>
    <row r="79" ht="14.25" customHeight="1">
      <c r="A79" s="6"/>
      <c r="B79" s="6"/>
      <c r="C79" s="63">
        <f t="shared" si="1"/>
        <v>73</v>
      </c>
      <c r="D79" s="65" t="s">
        <v>397</v>
      </c>
      <c r="E79" s="63" t="s">
        <v>369</v>
      </c>
      <c r="F79" s="62" t="s">
        <v>208</v>
      </c>
      <c r="G79" s="63">
        <v>22.0</v>
      </c>
      <c r="H79" s="63" t="s">
        <v>218</v>
      </c>
      <c r="I79" s="63"/>
      <c r="J79" s="63"/>
      <c r="K79" s="63" t="str">
        <f>MID(Parameters!$E79,1,3)&amp;"_"&amp;MID(Parameters!$D79,1,4)</f>
        <v>Cos_Mort</v>
      </c>
      <c r="L79" s="76">
        <f>'Costs AE'!F22</f>
        <v>0</v>
      </c>
      <c r="M79" s="76">
        <f>IF(Parameters!$H79&lt;1,"",'Costs AE'!H22)</f>
        <v>100</v>
      </c>
      <c r="N79" s="67" t="str">
        <f>IF(Parameters!$I79&lt;1,"",'Costs AE'!N22)</f>
        <v/>
      </c>
      <c r="O79" s="67" t="str">
        <f>IF(Parameters!$J79&lt;1,"",'Costs AE'!O22)</f>
        <v/>
      </c>
      <c r="P79" s="79">
        <f>IF(Parameters!$Q79="None","",IF(AND(LEN(Parameters!$N79)&gt;0,LEN(Parameters!$O79)&gt;0),IF(Parameters!$Q79="Normal",
((Parameters!$O79-Parameters!$N79)/3.92),((LN(Parameters!$O79)-LN(Parameters!$N79))/3.92)),IF(LEN(Parameters!$M79)&gt;0,Parameters!$M79,0.0001)))</f>
        <v>100</v>
      </c>
      <c r="Q79" s="63" t="s">
        <v>217</v>
      </c>
      <c r="R79" s="63">
        <v>0.0</v>
      </c>
      <c r="S79" s="63">
        <v>20000.0</v>
      </c>
      <c r="T79" s="63" t="str">
        <f>IF(Parameters!$Q79="Linked",100-T78,IF(Parameters!$Q79="None",Parameters!$L79,MIN(Parameters!$S79,MAX(Parameters!$R79,IF(Parameters!$Q79="Normal",NORM.INV(W79,Parameters!$L79,Parameters!$P79),LOGNORM.INV(W79,LN(Parameters!$L79),Parameters!$P79))))))</f>
        <v>#NAME?</v>
      </c>
      <c r="U79" s="63" t="str">
        <f>"i_"&amp;Parameters!$K79</f>
        <v>i_Cos_Mort</v>
      </c>
      <c r="V79" s="79">
        <f>IF($Z$6=FALSE,Parameters!$L79,Parameters!$T79)</f>
        <v>0</v>
      </c>
      <c r="W79" s="28">
        <v>0.2840898633003235</v>
      </c>
      <c r="X79" s="6"/>
      <c r="Y79" s="6"/>
      <c r="Z79" s="6"/>
      <c r="AA79" s="6"/>
    </row>
    <row r="80" ht="14.25" customHeight="1">
      <c r="A80" s="6"/>
      <c r="B80" s="6"/>
      <c r="C80" s="63">
        <f t="shared" si="1"/>
        <v>74</v>
      </c>
      <c r="D80" s="65" t="s">
        <v>398</v>
      </c>
      <c r="E80" s="63" t="s">
        <v>382</v>
      </c>
      <c r="F80" s="62" t="s">
        <v>208</v>
      </c>
      <c r="G80" s="63">
        <v>24.0</v>
      </c>
      <c r="H80" s="63" t="s">
        <v>218</v>
      </c>
      <c r="I80" s="63"/>
      <c r="J80" s="63"/>
      <c r="K80" s="63" t="str">
        <f>MID(Parameters!$E80,1,3)&amp;"_"&amp;MID(Parameters!$D80,1,4)</f>
        <v>Bac_ICU </v>
      </c>
      <c r="L80" s="66">
        <f>Background!F24</f>
        <v>0.18230563</v>
      </c>
      <c r="M80" s="66">
        <f>IF(Parameters!$H80&lt;1,"",Background!H24)</f>
        <v>0.018230563</v>
      </c>
      <c r="N80" s="67" t="str">
        <f>IF(Parameters!$I80&lt;1,"",Background!N24)</f>
        <v/>
      </c>
      <c r="O80" s="67" t="str">
        <f>IF(Parameters!$J80&lt;1,"",Background!O24)</f>
        <v/>
      </c>
      <c r="P80" s="63">
        <f>IF(Parameters!$Q80="None","",IF(AND(LEN(Parameters!$N80)&gt;0,LEN(Parameters!$O80)&gt;0),IF(Parameters!$Q80="Normal",
((Parameters!$O80-Parameters!$N80)/3.92),((LN(Parameters!$O80)-LN(Parameters!$N80))/3.92)),IF(LEN(Parameters!$M80)&gt;0,Parameters!$M80,0.0001)))</f>
        <v>0.018230563</v>
      </c>
      <c r="Q80" s="63" t="s">
        <v>217</v>
      </c>
      <c r="R80" s="63">
        <v>0.0</v>
      </c>
      <c r="S80" s="63">
        <v>1.0</v>
      </c>
      <c r="T80" s="63" t="str">
        <f>IF(Parameters!$Q80="Linked",100-T79,IF(Parameters!$Q80="None",Parameters!$L80,MIN(Parameters!$S80,MAX(Parameters!$R80,IF(Parameters!$Q80="Normal",NORM.INV(W80,Parameters!$L80,Parameters!$P80),LOGNORM.INV(W80,LN(Parameters!$L80),Parameters!$P80))))))</f>
        <v>#NAME?</v>
      </c>
      <c r="U80" s="63" t="str">
        <f>"i_"&amp;Parameters!$K80</f>
        <v>i_Bac_ICU </v>
      </c>
      <c r="V80" s="63">
        <f>IF($Z$6=FALSE,Parameters!$L80,Parameters!$T80)</f>
        <v>0.18230563</v>
      </c>
      <c r="W80" s="28">
        <v>0.008368253707885742</v>
      </c>
      <c r="X80" s="28"/>
      <c r="Y80" s="6"/>
      <c r="Z80" s="6"/>
      <c r="AA80" s="6"/>
    </row>
    <row r="81" ht="14.25" customHeight="1">
      <c r="A81" s="6"/>
      <c r="B81" s="6"/>
      <c r="C81" s="63">
        <f t="shared" si="1"/>
        <v>75</v>
      </c>
      <c r="D81" s="65" t="s">
        <v>399</v>
      </c>
      <c r="E81" s="63" t="s">
        <v>382</v>
      </c>
      <c r="F81" s="62" t="s">
        <v>208</v>
      </c>
      <c r="G81" s="63">
        <v>26.0</v>
      </c>
      <c r="H81" s="63" t="s">
        <v>218</v>
      </c>
      <c r="I81" s="63"/>
      <c r="J81" s="63"/>
      <c r="K81" s="63" t="str">
        <f>MID(Parameters!$E81,1,3)&amp;"_"&amp;MID(Parameters!$D81,1,4)</f>
        <v>Bac_Obes</v>
      </c>
      <c r="L81" s="66">
        <f>Background!F26</f>
        <v>65</v>
      </c>
      <c r="M81" s="66">
        <f>IF(Parameters!$H81&lt;1,"",Background!H26)</f>
        <v>6.5</v>
      </c>
      <c r="N81" s="67" t="str">
        <f>IF(Parameters!$I81&lt;1,"",Background!N26)</f>
        <v/>
      </c>
      <c r="O81" s="67" t="str">
        <f>IF(Parameters!$J81&lt;1,"",Background!O26)</f>
        <v/>
      </c>
      <c r="P81" s="63">
        <f>IF(Parameters!$Q81="None","",IF(AND(LEN(Parameters!$N81)&gt;0,LEN(Parameters!$O81)&gt;0),IF(Parameters!$Q81="Normal",
((Parameters!$O81-Parameters!$N81)/3.92),((LN(Parameters!$O81)-LN(Parameters!$N81))/3.92)),IF(LEN(Parameters!$M81)&gt;0,Parameters!$M81,0.0001)))</f>
        <v>6.5</v>
      </c>
      <c r="Q81" s="63" t="s">
        <v>217</v>
      </c>
      <c r="R81" s="63">
        <v>0.01</v>
      </c>
      <c r="S81" s="63">
        <v>99.99</v>
      </c>
      <c r="T81" s="63" t="str">
        <f>IF(Parameters!$Q81="Linked",100-T80,IF(Parameters!$Q81="None",Parameters!$L81,MIN(Parameters!$S81,MAX(Parameters!$R81,IF(Parameters!$Q81="Normal",NORM.INV(W81,Parameters!$L81,Parameters!$P81),LOGNORM.INV(W81,LN(Parameters!$L81),Parameters!$P81))))))</f>
        <v>#NAME?</v>
      </c>
      <c r="U81" s="63" t="str">
        <f>"i_"&amp;Parameters!$K81</f>
        <v>i_Bac_Obes</v>
      </c>
      <c r="V81" s="63">
        <f>IF($Z$6=FALSE,Parameters!$L81,Parameters!$T81)</f>
        <v>65</v>
      </c>
      <c r="W81" s="28">
        <v>0.14797204732894897</v>
      </c>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v>0.7293437719345093</v>
      </c>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21.0"/>
    <col customWidth="1" min="2" max="3" width="8.63"/>
    <col customWidth="1" min="4" max="4" width="19.0"/>
    <col customWidth="1" min="5" max="5" width="14.75"/>
    <col customWidth="1" min="6" max="6" width="8.63"/>
    <col customWidth="1" min="7" max="7" width="15.0"/>
    <col customWidth="1" min="8" max="8" width="9.88"/>
    <col customWidth="1" min="9" max="9" width="10.38"/>
    <col customWidth="1" min="10" max="10" width="11.38"/>
    <col customWidth="1" min="11" max="11" width="11.25"/>
    <col customWidth="1" min="12" max="13" width="8.63"/>
    <col customWidth="1" min="14" max="14" width="11.88"/>
    <col customWidth="1" min="15" max="15" width="13.88"/>
    <col customWidth="1" min="16" max="16" width="17.13"/>
    <col customWidth="1" min="17" max="18" width="35.0"/>
    <col customWidth="1" min="19" max="19" width="12.5"/>
    <col customWidth="1" min="20" max="27" width="8.63"/>
  </cols>
  <sheetData>
    <row r="1" ht="14.2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2"/>
      <c r="Y1" s="2"/>
      <c r="Z1" s="2"/>
      <c r="AA1" s="6"/>
    </row>
    <row r="2" ht="14.2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8"/>
      <c r="Y2" s="8"/>
      <c r="Z2" s="8"/>
      <c r="AA2" s="6"/>
    </row>
    <row r="3" ht="14.25" customHeight="1">
      <c r="A3" s="12"/>
      <c r="AA3" s="6"/>
    </row>
    <row r="4" ht="14.25" customHeight="1">
      <c r="A4" s="13" t="s">
        <v>2</v>
      </c>
      <c r="B4" s="14"/>
      <c r="C4" s="15" t="s">
        <v>224</v>
      </c>
      <c r="D4" s="15"/>
      <c r="E4" s="15"/>
      <c r="F4" s="16" t="s">
        <v>225</v>
      </c>
      <c r="G4" s="17"/>
      <c r="H4" s="17"/>
      <c r="I4" s="17"/>
      <c r="J4" s="17"/>
      <c r="K4" s="17"/>
      <c r="L4" s="17"/>
      <c r="M4" s="17"/>
      <c r="N4" s="17"/>
      <c r="O4" s="17"/>
      <c r="P4" s="17"/>
      <c r="Q4" s="17"/>
      <c r="R4" s="17"/>
      <c r="S4" s="17"/>
      <c r="T4" s="17"/>
      <c r="U4" s="17"/>
      <c r="V4" s="18"/>
      <c r="W4" s="14"/>
      <c r="X4" s="14"/>
      <c r="Y4" s="14"/>
      <c r="Z4" s="14"/>
      <c r="AA4" s="6"/>
    </row>
    <row r="5" ht="14.25" customHeight="1">
      <c r="A5" s="12"/>
      <c r="B5" t="s">
        <v>226</v>
      </c>
      <c r="C5" s="30">
        <f>Setup!G11</f>
        <v>2016</v>
      </c>
      <c r="AA5" s="6"/>
    </row>
    <row r="6" ht="14.25" customHeight="1">
      <c r="A6" s="19" t="s">
        <v>7</v>
      </c>
      <c r="B6" s="6"/>
      <c r="C6" s="71" t="s">
        <v>186</v>
      </c>
      <c r="D6" s="71" t="s">
        <v>9</v>
      </c>
      <c r="E6" s="71" t="s">
        <v>227</v>
      </c>
      <c r="F6" s="71" t="s">
        <v>228</v>
      </c>
      <c r="G6" s="71" t="s">
        <v>229</v>
      </c>
      <c r="H6" s="71" t="s">
        <v>230</v>
      </c>
      <c r="I6" s="71" t="s">
        <v>231</v>
      </c>
      <c r="J6" s="71" t="s">
        <v>232</v>
      </c>
      <c r="K6" s="71" t="s">
        <v>195</v>
      </c>
      <c r="L6" s="71" t="s">
        <v>233</v>
      </c>
      <c r="M6" s="71" t="s">
        <v>234</v>
      </c>
      <c r="N6" s="71" t="s">
        <v>200</v>
      </c>
      <c r="O6" s="71" t="s">
        <v>201</v>
      </c>
      <c r="P6" s="71" t="s">
        <v>235</v>
      </c>
      <c r="Q6" s="71" t="s">
        <v>18</v>
      </c>
      <c r="R6" s="71" t="s">
        <v>236</v>
      </c>
      <c r="S6" s="71" t="s">
        <v>12</v>
      </c>
      <c r="T6" s="71" t="s">
        <v>179</v>
      </c>
      <c r="U6" s="71" t="s">
        <v>237</v>
      </c>
      <c r="V6" s="71" t="s">
        <v>238</v>
      </c>
      <c r="W6" s="71" t="s">
        <v>239</v>
      </c>
      <c r="X6" s="6"/>
      <c r="Y6" s="6"/>
      <c r="Z6" s="6"/>
      <c r="AA6" s="6"/>
    </row>
    <row r="7" ht="14.25" customHeight="1">
      <c r="A7" s="12"/>
      <c r="B7" s="6"/>
      <c r="C7" s="64">
        <v>1.0</v>
      </c>
      <c r="D7" s="64" t="str">
        <f>Parameters!$D7</f>
        <v>Time horizon</v>
      </c>
      <c r="E7" s="62" t="str">
        <f>Parameters!$E7</f>
        <v>Setup</v>
      </c>
      <c r="F7" s="62" t="str">
        <f>Parameters!$F7&amp;Parameters!$G7</f>
        <v>F10</v>
      </c>
      <c r="G7" s="62" t="str">
        <f>IF(LEN(Parameters!$H7)&gt;0,Parameters!$H7&amp;Parameters!$G7,"")</f>
        <v/>
      </c>
      <c r="H7" s="62" t="str">
        <f>IF(LEN(Parameters!$I7)&gt;0,Parameters!$I7&amp;Parameters!$G7,"")</f>
        <v/>
      </c>
      <c r="I7" s="62" t="str">
        <f>IF(LEN(Parameters!$J7)&gt;0,Parameters!$J7&amp;Parameters!$G7,"")</f>
        <v/>
      </c>
      <c r="J7" s="62">
        <v>1.0</v>
      </c>
      <c r="K7" s="62" t="s">
        <v>240</v>
      </c>
      <c r="L7" s="62" t="s">
        <v>240</v>
      </c>
      <c r="M7" s="62" t="s">
        <v>240</v>
      </c>
      <c r="N7" s="62" t="s">
        <v>240</v>
      </c>
      <c r="O7" s="62" t="s">
        <v>240</v>
      </c>
      <c r="P7" s="62" t="str">
        <f>"The base case value is "&amp;IF(ISNUMBER(Defaults!$J7),ROUND(Defaults!$J7,3),Defaults!$J7)&amp;
IF(LEN(Defaults!$K7)&gt;0,", with a variance of "&amp;ROUND(Defaults!$K7,3)&amp;".","")&amp;
IF(LEN(Defaults!$N7)&gt;0," The limits of the parameter are set at: "&amp;ROUND(Defaults!$N7,2)&amp;"--&gt;"&amp;ROUND(Defaults!$O7,2)&amp;".","")</f>
        <v>The base case value is 1</v>
      </c>
      <c r="Q7" s="72" t="s">
        <v>241</v>
      </c>
      <c r="R7" s="72"/>
      <c r="S7" s="63"/>
      <c r="T7" s="63"/>
      <c r="U7" s="63"/>
      <c r="V7" s="63"/>
      <c r="W7" s="63"/>
      <c r="X7" s="6"/>
      <c r="Y7" s="6"/>
      <c r="Z7" s="6"/>
      <c r="AA7" s="6"/>
    </row>
    <row r="8" ht="14.25" customHeight="1">
      <c r="A8" s="19" t="s">
        <v>4</v>
      </c>
      <c r="B8" s="6"/>
      <c r="C8" s="64">
        <f t="shared" ref="C8:C81" si="1">C7+1</f>
        <v>2</v>
      </c>
      <c r="D8" s="62" t="str">
        <f>Parameters!$D8</f>
        <v>Currency</v>
      </c>
      <c r="E8" s="62" t="str">
        <f>Parameters!$E8</f>
        <v>Setup</v>
      </c>
      <c r="F8" s="64" t="str">
        <f>Parameters!$F8&amp;Parameters!$G8</f>
        <v>F11</v>
      </c>
      <c r="G8" s="64" t="str">
        <f>IF(LEN(Parameters!$H8)&gt;0,Parameters!$H8&amp;Parameters!$G8,"")</f>
        <v/>
      </c>
      <c r="H8" s="64" t="str">
        <f>IF(LEN(Parameters!$I8)&gt;0,Parameters!$I8&amp;Parameters!$G8,"")</f>
        <v/>
      </c>
      <c r="I8" s="64" t="str">
        <f>IF(LEN(Parameters!$J8)&gt;0,Parameters!$J8&amp;Parameters!$G8,"")</f>
        <v/>
      </c>
      <c r="J8" s="64" t="s">
        <v>31</v>
      </c>
      <c r="K8" s="64" t="s">
        <v>240</v>
      </c>
      <c r="L8" s="62" t="s">
        <v>240</v>
      </c>
      <c r="M8" s="62" t="s">
        <v>240</v>
      </c>
      <c r="N8" s="64" t="s">
        <v>240</v>
      </c>
      <c r="O8" s="64" t="s">
        <v>240</v>
      </c>
      <c r="P8" s="62" t="str">
        <f>"The base case value is "&amp;IF(ISNUMBER(Defaults!$J8),ROUND(Defaults!$J8,3),Defaults!$J8)&amp;
IF(LEN(Defaults!$K8)&gt;0,", with a variance of "&amp;ROUND(Defaults!$K8,3)&amp;".","")&amp;
IF(LEN(Defaults!$N8)&gt;0," The limits of the parameter are set at: "&amp;ROUND(Defaults!$N8,2)&amp;"--&gt;"&amp;ROUND(Defaults!$O8,2)&amp;".","")</f>
        <v>The base case value is USD</v>
      </c>
      <c r="Q8" s="72" t="s">
        <v>242</v>
      </c>
      <c r="R8" s="72"/>
      <c r="S8" s="63"/>
      <c r="T8" s="63"/>
      <c r="U8" s="63"/>
      <c r="V8" s="63"/>
      <c r="W8" s="63"/>
      <c r="X8" s="6"/>
      <c r="Y8" s="6"/>
      <c r="Z8" s="6"/>
      <c r="AA8" s="6"/>
    </row>
    <row r="9" ht="14.25" customHeight="1">
      <c r="A9" s="12"/>
      <c r="B9" s="6"/>
      <c r="C9" s="62">
        <f t="shared" si="1"/>
        <v>3</v>
      </c>
      <c r="D9" s="62" t="str">
        <f>Parameters!$D9</f>
        <v>Year for currency</v>
      </c>
      <c r="E9" s="62" t="str">
        <f>Parameters!$E9</f>
        <v>Setup</v>
      </c>
      <c r="F9" s="62" t="str">
        <f>Parameters!$F9&amp;Parameters!$G9</f>
        <v>G11</v>
      </c>
      <c r="G9" s="62" t="str">
        <f>IF(LEN(Parameters!$H9)&gt;0,Parameters!$H9&amp;Parameters!$G9,"")</f>
        <v/>
      </c>
      <c r="H9" s="62" t="str">
        <f>IF(LEN(Parameters!$I9)&gt;0,Parameters!$I9&amp;Parameters!$G9,"")</f>
        <v/>
      </c>
      <c r="I9" s="62" t="str">
        <f>IF(LEN(Parameters!$J9)&gt;0,Parameters!$J9&amp;Parameters!$G9,"")</f>
        <v/>
      </c>
      <c r="J9" s="62">
        <v>2016.0</v>
      </c>
      <c r="K9" s="62" t="s">
        <v>240</v>
      </c>
      <c r="L9" s="62" t="s">
        <v>240</v>
      </c>
      <c r="M9" s="62" t="s">
        <v>240</v>
      </c>
      <c r="N9" s="62" t="s">
        <v>240</v>
      </c>
      <c r="O9" s="62" t="s">
        <v>240</v>
      </c>
      <c r="P9" s="62" t="str">
        <f>"The base case value is "&amp;IF(ISNUMBER(Defaults!$J9),ROUND(Defaults!$J9,3),Defaults!$J9)&amp;
IF(LEN(Defaults!$K9)&gt;0,", with a variance of "&amp;ROUND(Defaults!$K9,3)&amp;".","")&amp;
IF(LEN(Defaults!$N9)&gt;0," The limits of the parameter are set at: "&amp;ROUND(Defaults!$N9,2)&amp;"--&gt;"&amp;ROUND(Defaults!$O9,2)&amp;".","")</f>
        <v>The base case value is 2016</v>
      </c>
      <c r="Q9" s="72" t="s">
        <v>245</v>
      </c>
      <c r="R9" s="72"/>
      <c r="S9" s="63"/>
      <c r="T9" s="63"/>
      <c r="U9" s="63"/>
      <c r="V9" s="63"/>
      <c r="W9" s="63"/>
      <c r="X9" s="6"/>
      <c r="Y9" s="6"/>
      <c r="Z9" s="6"/>
      <c r="AA9" s="6"/>
    </row>
    <row r="10" ht="14.25" customHeight="1">
      <c r="A10" s="19" t="s">
        <v>3</v>
      </c>
      <c r="B10" s="6"/>
      <c r="C10" s="62">
        <f t="shared" si="1"/>
        <v>4</v>
      </c>
      <c r="D10" s="62" t="str">
        <f>Parameters!$D10</f>
        <v>CABG patients</v>
      </c>
      <c r="E10" s="62" t="str">
        <f>Parameters!$E10</f>
        <v>Setup</v>
      </c>
      <c r="F10" s="62" t="str">
        <f>Parameters!$F10&amp;Parameters!$G10</f>
        <v>F14</v>
      </c>
      <c r="G10" s="62" t="str">
        <f>IF(LEN(Parameters!$H10)&gt;0,Parameters!$H10&amp;Parameters!$G10,"")</f>
        <v/>
      </c>
      <c r="H10" s="62" t="str">
        <f>IF(LEN(Parameters!$I10)&gt;0,Parameters!$I10&amp;Parameters!$G10,"")</f>
        <v/>
      </c>
      <c r="I10" s="62" t="str">
        <f>IF(LEN(Parameters!$J10)&gt;0,Parameters!$J10&amp;Parameters!$G10,"")</f>
        <v/>
      </c>
      <c r="J10" s="62">
        <v>200.0</v>
      </c>
      <c r="K10" s="62" t="s">
        <v>240</v>
      </c>
      <c r="L10" s="62" t="s">
        <v>240</v>
      </c>
      <c r="M10" s="62" t="s">
        <v>240</v>
      </c>
      <c r="N10" s="62" t="s">
        <v>240</v>
      </c>
      <c r="O10" s="62" t="s">
        <v>240</v>
      </c>
      <c r="P10" s="62" t="str">
        <f>"The base case value is "&amp;IF(ISNUMBER(Defaults!$J10),ROUND(Defaults!$J10,3),Defaults!$J10)&amp;
IF(LEN(Defaults!$K10)&gt;0,", with a variance of "&amp;ROUND(Defaults!$K10,3)&amp;".","")&amp;
IF(LEN(Defaults!$N10)&gt;0," The limits of the parameter are set at: "&amp;ROUND(Defaults!$N10,2)&amp;"--&gt;"&amp;ROUND(Defaults!$O10,2)&amp;".","")</f>
        <v>The base case value is 200</v>
      </c>
      <c r="Q10" s="72" t="s">
        <v>248</v>
      </c>
      <c r="R10" s="72"/>
      <c r="S10" s="63"/>
      <c r="T10" s="63"/>
      <c r="U10" s="63"/>
      <c r="V10" s="63"/>
      <c r="W10" s="63"/>
      <c r="X10" s="6"/>
      <c r="Y10" s="6"/>
      <c r="Z10" s="6"/>
      <c r="AA10" s="6"/>
    </row>
    <row r="11" ht="14.25" customHeight="1">
      <c r="A11" s="12"/>
      <c r="B11" s="6"/>
      <c r="C11" s="62">
        <f t="shared" si="1"/>
        <v>5</v>
      </c>
      <c r="D11" s="62" t="str">
        <f>Parameters!$D11</f>
        <v>Cost discount rate</v>
      </c>
      <c r="E11" s="62" t="str">
        <f>Parameters!$E11</f>
        <v>Setup</v>
      </c>
      <c r="F11" s="62" t="str">
        <f>Parameters!$F11&amp;Parameters!$G11</f>
        <v>F12</v>
      </c>
      <c r="G11" s="62" t="str">
        <f>IF(LEN(Parameters!$H11)&gt;0,Parameters!$H11&amp;Parameters!$G11,"")</f>
        <v/>
      </c>
      <c r="H11" s="62" t="str">
        <f>IF(LEN(Parameters!$I11)&gt;0,Parameters!$I11&amp;Parameters!$G11,"")</f>
        <v/>
      </c>
      <c r="I11" s="62" t="str">
        <f>IF(LEN(Parameters!$J11)&gt;0,Parameters!$J11&amp;Parameters!$G11,"")</f>
        <v/>
      </c>
      <c r="J11" s="62">
        <v>3.5</v>
      </c>
      <c r="K11" s="62" t="s">
        <v>240</v>
      </c>
      <c r="L11" s="62" t="s">
        <v>240</v>
      </c>
      <c r="M11" s="62" t="s">
        <v>240</v>
      </c>
      <c r="N11" s="62" t="s">
        <v>240</v>
      </c>
      <c r="O11" s="62" t="s">
        <v>240</v>
      </c>
      <c r="P11" s="62" t="str">
        <f>"The base case value is "&amp;IF(ISNUMBER(Defaults!$J11),ROUND(Defaults!$J11,3),Defaults!$J11)&amp;
IF(LEN(Defaults!$K11)&gt;0,", with a variance of "&amp;ROUND(Defaults!$K11,3)&amp;".","")&amp;
IF(LEN(Defaults!$N11)&gt;0," The limits of the parameter are set at: "&amp;ROUND(Defaults!$N11,2)&amp;"--&gt;"&amp;ROUND(Defaults!$O11,2)&amp;".","")</f>
        <v>The base case value is 3,5</v>
      </c>
      <c r="Q11" s="72" t="s">
        <v>249</v>
      </c>
      <c r="R11" s="72" t="s">
        <v>250</v>
      </c>
      <c r="S11" s="63"/>
      <c r="T11" s="63"/>
      <c r="U11" s="63"/>
      <c r="V11" s="63"/>
      <c r="W11" s="63"/>
      <c r="X11" s="6"/>
      <c r="Y11" s="6"/>
      <c r="Z11" s="6"/>
      <c r="AA11" s="6"/>
    </row>
    <row r="12" ht="14.25" customHeight="1">
      <c r="A12" s="60" t="s">
        <v>22</v>
      </c>
      <c r="B12" s="6"/>
      <c r="C12" s="62">
        <f t="shared" si="1"/>
        <v>6</v>
      </c>
      <c r="D12" s="62" t="str">
        <f>Parameters!$D12</f>
        <v>Age</v>
      </c>
      <c r="E12" s="62" t="str">
        <f>Parameters!$E12</f>
        <v>Population</v>
      </c>
      <c r="F12" s="62" t="str">
        <f>Parameters!$F12&amp;Parameters!$G12</f>
        <v>F10</v>
      </c>
      <c r="G12" s="62" t="str">
        <f>IF(LEN(Parameters!$H12)&gt;0,Parameters!$H12&amp;Parameters!$G12,"")</f>
        <v/>
      </c>
      <c r="H12" s="62" t="str">
        <f>IF(LEN(Parameters!$I12)&gt;0,Parameters!$I12&amp;Parameters!$G12,"")</f>
        <v>I10</v>
      </c>
      <c r="I12" s="62" t="str">
        <f>IF(LEN(Parameters!$J12)&gt;0,Parameters!$J12&amp;Parameters!$G12,"")</f>
        <v>J10</v>
      </c>
      <c r="J12" s="62">
        <v>73.0</v>
      </c>
      <c r="K12" s="62">
        <v>2.295918367346939</v>
      </c>
      <c r="L12" s="62">
        <v>69.0</v>
      </c>
      <c r="M12" s="62">
        <v>78.0</v>
      </c>
      <c r="N12" s="62">
        <v>61.7</v>
      </c>
      <c r="O12" s="62">
        <v>85.3</v>
      </c>
      <c r="P12" s="62" t="str">
        <f>"The base case value is "&amp;IF(ISNUMBER(Defaults!$J12),ROUND(Defaults!$J12,3),Defaults!$J12)&amp;
IF(LEN(Defaults!$K12)&gt;0,", with a variance of "&amp;ROUND(Defaults!$K12,3)&amp;".","")&amp;
IF(LEN(Defaults!$N12)&gt;0," The limits of the parameter are set at: "&amp;ROUND(Defaults!$N12,2)&amp;"--&gt;"&amp;ROUND(Defaults!$O12,2)&amp;".","")</f>
        <v>The base case value is 73, with a variance of 2,296. The limits of the parameter are set at: 61,7--&gt;85,3.</v>
      </c>
      <c r="Q12" s="72" t="s">
        <v>253</v>
      </c>
      <c r="R12" s="72" t="s">
        <v>254</v>
      </c>
      <c r="S12" s="63"/>
      <c r="T12" s="63"/>
      <c r="U12" s="63"/>
      <c r="V12" s="63"/>
      <c r="W12" s="63"/>
      <c r="X12" s="6"/>
      <c r="Y12" s="6"/>
      <c r="Z12" s="6"/>
      <c r="AA12" s="6"/>
    </row>
    <row r="13" ht="14.25" customHeight="1">
      <c r="A13" s="12"/>
      <c r="B13" s="6"/>
      <c r="C13" s="62">
        <f t="shared" si="1"/>
        <v>7</v>
      </c>
      <c r="D13" s="62" t="str">
        <f>Parameters!$D13</f>
        <v>Gender, female</v>
      </c>
      <c r="E13" s="62" t="str">
        <f>Parameters!$E13</f>
        <v>Population</v>
      </c>
      <c r="F13" s="62" t="str">
        <f>Parameters!$F13&amp;Parameters!$G13</f>
        <v>F11</v>
      </c>
      <c r="G13" s="62" t="str">
        <f>IF(LEN(Parameters!$H13)&gt;0,Parameters!$H13&amp;Parameters!$G13,"")</f>
        <v>H11</v>
      </c>
      <c r="H13" s="62" t="str">
        <f>IF(LEN(Parameters!$I13)&gt;0,Parameters!$I13&amp;Parameters!$G13,"")</f>
        <v/>
      </c>
      <c r="I13" s="62" t="str">
        <f>IF(LEN(Parameters!$J13)&gt;0,Parameters!$J13&amp;Parameters!$G13,"")</f>
        <v/>
      </c>
      <c r="J13" s="62">
        <v>29.8</v>
      </c>
      <c r="K13" s="62">
        <v>0.17740017683209866</v>
      </c>
      <c r="L13" s="62" t="s">
        <v>240</v>
      </c>
      <c r="M13" s="62" t="s">
        <v>240</v>
      </c>
      <c r="N13" s="62">
        <v>0.0</v>
      </c>
      <c r="O13" s="62">
        <v>100.0</v>
      </c>
      <c r="P13" s="62" t="str">
        <f>"The base case value is "&amp;IF(ISNUMBER(Defaults!$J13),ROUND(Defaults!$J13,3),Defaults!$J13)&amp;
IF(LEN(Defaults!$K13)&gt;0,", with a variance of "&amp;ROUND(Defaults!$K13,3)&amp;".","")&amp;
IF(LEN(Defaults!$N13)&gt;0," The limits of the parameter are set at: "&amp;ROUND(Defaults!$N13,2)&amp;"--&gt;"&amp;ROUND(Defaults!$O13,2)&amp;".","")</f>
        <v>The base case value is 29,8, with a variance of 0,177. The limits of the parameter are set at: 0--&gt;100.</v>
      </c>
      <c r="Q13" s="72" t="s">
        <v>257</v>
      </c>
      <c r="R13" s="72" t="s">
        <v>254</v>
      </c>
      <c r="S13" s="63"/>
      <c r="T13" s="63"/>
      <c r="U13" s="63"/>
      <c r="V13" s="63"/>
      <c r="W13" s="63"/>
      <c r="X13" s="6"/>
      <c r="Y13" s="6"/>
      <c r="Z13" s="6"/>
      <c r="AA13" s="6"/>
    </row>
    <row r="14" ht="14.25" customHeight="1">
      <c r="A14" s="60" t="s">
        <v>27</v>
      </c>
      <c r="B14" s="6"/>
      <c r="C14" s="62">
        <f t="shared" si="1"/>
        <v>8</v>
      </c>
      <c r="D14" s="62" t="str">
        <f>Parameters!$D14</f>
        <v>Obese, body mass index</v>
      </c>
      <c r="E14" s="62" t="str">
        <f>Parameters!$E14</f>
        <v>Population</v>
      </c>
      <c r="F14" s="62" t="str">
        <f>Parameters!$F14&amp;Parameters!$G14</f>
        <v>F12</v>
      </c>
      <c r="G14" s="62" t="str">
        <f>IF(LEN(Parameters!$H14)&gt;0,Parameters!$H14&amp;Parameters!$G14,"")</f>
        <v>H12</v>
      </c>
      <c r="H14" s="62" t="str">
        <f>IF(LEN(Parameters!$I14)&gt;0,Parameters!$I14&amp;Parameters!$G14,"")</f>
        <v/>
      </c>
      <c r="I14" s="62" t="str">
        <f>IF(LEN(Parameters!$J14)&gt;0,Parameters!$J14&amp;Parameters!$G14,"")</f>
        <v/>
      </c>
      <c r="J14" s="62">
        <v>35.0</v>
      </c>
      <c r="K14" s="62">
        <v>0.484239335956647</v>
      </c>
      <c r="L14" s="62" t="s">
        <v>240</v>
      </c>
      <c r="M14" s="62" t="s">
        <v>240</v>
      </c>
      <c r="N14" s="62">
        <v>0.0</v>
      </c>
      <c r="O14" s="62">
        <v>100.0</v>
      </c>
      <c r="P14" s="62" t="str">
        <f>"The base case value is "&amp;IF(ISNUMBER(Defaults!$J14),ROUND(Defaults!$J14,3),Defaults!$J14)&amp;
IF(LEN(Defaults!$K14)&gt;0,", with a variance of "&amp;ROUND(Defaults!$K14,3)&amp;".","")&amp;
IF(LEN(Defaults!$N14)&gt;0," The limits of the parameter are set at: "&amp;ROUND(Defaults!$N14,2)&amp;"--&gt;"&amp;ROUND(Defaults!$O14,2)&amp;".","")</f>
        <v>The base case value is 35, with a variance of 0,484. The limits of the parameter are set at: 0--&gt;100.</v>
      </c>
      <c r="Q14" s="72" t="s">
        <v>259</v>
      </c>
      <c r="R14" s="72" t="s">
        <v>260</v>
      </c>
      <c r="S14" s="63"/>
      <c r="T14" s="63"/>
      <c r="U14" s="63"/>
      <c r="V14" s="63"/>
      <c r="W14" s="63"/>
      <c r="X14" s="6"/>
      <c r="Y14" s="6"/>
      <c r="Z14" s="6"/>
      <c r="AA14" s="6"/>
    </row>
    <row r="15" ht="14.25" customHeight="1">
      <c r="A15" s="12"/>
      <c r="B15" s="6"/>
      <c r="C15" s="62">
        <f t="shared" si="1"/>
        <v>9</v>
      </c>
      <c r="D15" s="62" t="str">
        <f>Parameters!$D15</f>
        <v>Morbid obesity, body mass index</v>
      </c>
      <c r="E15" s="62" t="str">
        <f>Parameters!$E15</f>
        <v>Population</v>
      </c>
      <c r="F15" s="62" t="str">
        <f>Parameters!$F15&amp;Parameters!$G15</f>
        <v>F13</v>
      </c>
      <c r="G15" s="62" t="str">
        <f>IF(LEN(Parameters!$H15)&gt;0,Parameters!$H15&amp;Parameters!$G15,"")</f>
        <v>H13</v>
      </c>
      <c r="H15" s="62" t="str">
        <f>IF(LEN(Parameters!$I15)&gt;0,Parameters!$I15&amp;Parameters!$G15,"")</f>
        <v/>
      </c>
      <c r="I15" s="62" t="str">
        <f>IF(LEN(Parameters!$J15)&gt;0,Parameters!$J15&amp;Parameters!$G15,"")</f>
        <v/>
      </c>
      <c r="J15" s="62">
        <v>6.0</v>
      </c>
      <c r="K15" s="62">
        <v>0.241106498972196</v>
      </c>
      <c r="L15" s="62" t="s">
        <v>240</v>
      </c>
      <c r="M15" s="62" t="s">
        <v>240</v>
      </c>
      <c r="N15" s="62">
        <v>0.0</v>
      </c>
      <c r="O15" s="62">
        <v>100.0</v>
      </c>
      <c r="P15" s="62" t="str">
        <f>"The base case value is "&amp;IF(ISNUMBER(Defaults!$J15),ROUND(Defaults!$J15,3),Defaults!$J15)&amp;
IF(LEN(Defaults!$K15)&gt;0,", with a variance of "&amp;ROUND(Defaults!$K15,3)&amp;".","")&amp;
IF(LEN(Defaults!$N15)&gt;0," The limits of the parameter are set at: "&amp;ROUND(Defaults!$N15,2)&amp;"--&gt;"&amp;ROUND(Defaults!$O15,2)&amp;".","")</f>
        <v>The base case value is 6, with a variance of 0,241. The limits of the parameter are set at: 0--&gt;100.</v>
      </c>
      <c r="Q15" s="72" t="s">
        <v>259</v>
      </c>
      <c r="R15" s="72" t="s">
        <v>260</v>
      </c>
      <c r="S15" s="63"/>
      <c r="T15" s="63"/>
      <c r="U15" s="63"/>
      <c r="V15" s="63"/>
      <c r="W15" s="63"/>
      <c r="X15" s="6"/>
      <c r="Y15" s="6"/>
      <c r="Z15" s="6"/>
      <c r="AA15" s="6"/>
    </row>
    <row r="16" ht="14.25" customHeight="1">
      <c r="A16" s="60" t="s">
        <v>35</v>
      </c>
      <c r="B16" s="6"/>
      <c r="C16" s="62">
        <f t="shared" si="1"/>
        <v>10</v>
      </c>
      <c r="D16" s="62" t="str">
        <f>Parameters!$D16</f>
        <v>Diabetes</v>
      </c>
      <c r="E16" s="62" t="str">
        <f>Parameters!$E16</f>
        <v>Population</v>
      </c>
      <c r="F16" s="62" t="str">
        <f>Parameters!$F16&amp;Parameters!$G16</f>
        <v>F14</v>
      </c>
      <c r="G16" s="62" t="str">
        <f>IF(LEN(Parameters!$H16)&gt;0,Parameters!$H16&amp;Parameters!$G16,"")</f>
        <v>H14</v>
      </c>
      <c r="H16" s="62" t="str">
        <f>IF(LEN(Parameters!$I16)&gt;0,Parameters!$I16&amp;Parameters!$G16,"")</f>
        <v/>
      </c>
      <c r="I16" s="62" t="str">
        <f>IF(LEN(Parameters!$J16)&gt;0,Parameters!$J16&amp;Parameters!$G16,"")</f>
        <v/>
      </c>
      <c r="J16" s="62">
        <v>45.2</v>
      </c>
      <c r="K16" s="62">
        <v>0.1930353542551674</v>
      </c>
      <c r="L16" s="62" t="s">
        <v>240</v>
      </c>
      <c r="M16" s="62" t="s">
        <v>240</v>
      </c>
      <c r="N16" s="62">
        <v>0.0</v>
      </c>
      <c r="O16" s="62">
        <v>100.0</v>
      </c>
      <c r="P16" s="62" t="str">
        <f>"The base case value is "&amp;IF(ISNUMBER(Defaults!$J16),ROUND(Defaults!$J16,3),Defaults!$J16)&amp;
IF(LEN(Defaults!$K16)&gt;0,", with a variance of "&amp;ROUND(Defaults!$K16,3)&amp;".","")&amp;
IF(LEN(Defaults!$N16)&gt;0," The limits of the parameter are set at: "&amp;ROUND(Defaults!$N16,2)&amp;"--&gt;"&amp;ROUND(Defaults!$O16,2)&amp;".","")</f>
        <v>The base case value is 45,2, with a variance of 0,193. The limits of the parameter are set at: 0--&gt;100.</v>
      </c>
      <c r="Q16" s="72" t="s">
        <v>263</v>
      </c>
      <c r="R16" s="72" t="s">
        <v>254</v>
      </c>
      <c r="S16" s="63"/>
      <c r="T16" s="63"/>
      <c r="U16" s="63"/>
      <c r="V16" s="63"/>
      <c r="W16" s="63"/>
      <c r="X16" s="6"/>
      <c r="Y16" s="6"/>
      <c r="Z16" s="6"/>
      <c r="AA16" s="6"/>
    </row>
    <row r="17" ht="14.25" customHeight="1">
      <c r="A17" s="12"/>
      <c r="B17" s="6"/>
      <c r="C17" s="62">
        <f t="shared" si="1"/>
        <v>11</v>
      </c>
      <c r="D17" s="62" t="str">
        <f>Parameters!$D17</f>
        <v>Purchase cost of lead</v>
      </c>
      <c r="E17" s="62" t="str">
        <f>Parameters!$E17</f>
        <v>Interventions</v>
      </c>
      <c r="F17" s="62" t="str">
        <f>Parameters!$F17&amp;Parameters!$G17</f>
        <v>F10</v>
      </c>
      <c r="G17" s="62" t="str">
        <f>IF(LEN(Parameters!$H17)&gt;0,Parameters!$H17&amp;Parameters!$G17,"")</f>
        <v>H10</v>
      </c>
      <c r="H17" s="62" t="str">
        <f>IF(LEN(Parameters!$I17)&gt;0,Parameters!$I17&amp;Parameters!$G17,"")</f>
        <v/>
      </c>
      <c r="I17" s="62" t="str">
        <f>IF(LEN(Parameters!$J17)&gt;0,Parameters!$J17&amp;Parameters!$G17,"")</f>
        <v/>
      </c>
      <c r="J17" s="62">
        <v>75.0</v>
      </c>
      <c r="K17" s="62">
        <v>2.0</v>
      </c>
      <c r="L17" s="62" t="s">
        <v>240</v>
      </c>
      <c r="M17" s="62" t="s">
        <v>240</v>
      </c>
      <c r="N17" s="62">
        <v>0.0</v>
      </c>
      <c r="O17" s="62">
        <v>1000.0</v>
      </c>
      <c r="P17" s="62" t="str">
        <f>"The base case value is "&amp;IF(ISNUMBER(Defaults!$J17),ROUND(Defaults!$J17,3),Defaults!$J17)&amp;
IF(LEN(Defaults!$K17)&gt;0,", with a variance of "&amp;ROUND(Defaults!$K17,3)&amp;".","")&amp;
IF(LEN(Defaults!$N17)&gt;0," The limits of the parameter are set at: "&amp;ROUND(Defaults!$N17,2)&amp;"--&gt;"&amp;ROUND(Defaults!$O17,2)&amp;".","")</f>
        <v>The base case value is 75, with a variance of 2. The limits of the parameter are set at: 0--&gt;1000.</v>
      </c>
      <c r="Q17" s="72" t="s">
        <v>266</v>
      </c>
      <c r="R17" s="62" t="s">
        <v>267</v>
      </c>
      <c r="S17" s="63"/>
      <c r="T17" s="63"/>
      <c r="U17" s="63"/>
      <c r="V17" s="63"/>
      <c r="W17" s="63"/>
      <c r="X17" s="6"/>
      <c r="Y17" s="6"/>
      <c r="Z17" s="6"/>
      <c r="AA17" s="6"/>
    </row>
    <row r="18" ht="14.25" customHeight="1">
      <c r="A18" s="60" t="s">
        <v>38</v>
      </c>
      <c r="B18" s="6"/>
      <c r="C18" s="62">
        <f t="shared" si="1"/>
        <v>12</v>
      </c>
      <c r="D18" s="62" t="str">
        <f>Parameters!$D18</f>
        <v>Number of patient uses</v>
      </c>
      <c r="E18" s="62" t="str">
        <f>Parameters!$E18</f>
        <v>Interventions</v>
      </c>
      <c r="F18" s="62" t="str">
        <f>Parameters!$F18&amp;Parameters!$G18</f>
        <v>F11</v>
      </c>
      <c r="G18" s="62" t="str">
        <f>IF(LEN(Parameters!$H18)&gt;0,Parameters!$H18&amp;Parameters!$G18,"")</f>
        <v/>
      </c>
      <c r="H18" s="62" t="str">
        <f>IF(LEN(Parameters!$I18)&gt;0,Parameters!$I18&amp;Parameters!$G18,"")</f>
        <v>I11</v>
      </c>
      <c r="I18" s="62" t="str">
        <f>IF(LEN(Parameters!$J18)&gt;0,Parameters!$J18&amp;Parameters!$G18,"")</f>
        <v>J11</v>
      </c>
      <c r="J18" s="62">
        <v>20.0</v>
      </c>
      <c r="K18" s="62">
        <v>3.826530612244898</v>
      </c>
      <c r="L18" s="62">
        <v>15.0</v>
      </c>
      <c r="M18" s="62">
        <v>30.0</v>
      </c>
      <c r="N18" s="62">
        <v>13.0</v>
      </c>
      <c r="O18" s="62">
        <v>32.0</v>
      </c>
      <c r="P18" s="62" t="str">
        <f>"The base case value is "&amp;IF(ISNUMBER(Defaults!$J18),ROUND(Defaults!$J18,3),Defaults!$J18)&amp;
IF(LEN(Defaults!$K18)&gt;0,", with a variance of "&amp;ROUND(Defaults!$K18,3)&amp;".","")&amp;
IF(LEN(Defaults!$N18)&gt;0," The limits of the parameter are set at: "&amp;ROUND(Defaults!$N18,2)&amp;"--&gt;"&amp;ROUND(Defaults!$O18,2)&amp;".","")</f>
        <v>The base case value is 20, with a variance of 3,827. The limits of the parameter are set at: 13--&gt;32.</v>
      </c>
      <c r="Q18" s="72" t="s">
        <v>266</v>
      </c>
      <c r="R18" s="72" t="s">
        <v>268</v>
      </c>
      <c r="S18" s="63"/>
      <c r="T18" s="63"/>
      <c r="U18" s="63"/>
      <c r="V18" s="63"/>
      <c r="W18" s="63"/>
      <c r="X18" s="6"/>
      <c r="Y18" s="6"/>
      <c r="Z18" s="6"/>
      <c r="AA18" s="6"/>
    </row>
    <row r="19" ht="14.25" customHeight="1">
      <c r="A19" s="12"/>
      <c r="B19" s="6"/>
      <c r="C19" s="62">
        <f t="shared" si="1"/>
        <v>13</v>
      </c>
      <c r="D19" s="62" t="str">
        <f>Parameters!$D19</f>
        <v>Purchase cost of cable</v>
      </c>
      <c r="E19" s="62" t="str">
        <f>Parameters!$E19</f>
        <v>Interventions</v>
      </c>
      <c r="F19" s="62" t="str">
        <f>Parameters!$F19&amp;Parameters!$G19</f>
        <v>F13</v>
      </c>
      <c r="G19" s="62" t="str">
        <f>IF(LEN(Parameters!$H19)&gt;0,Parameters!$H19&amp;Parameters!$G19,"")</f>
        <v>H13</v>
      </c>
      <c r="H19" s="62" t="str">
        <f>IF(LEN(Parameters!$I19)&gt;0,Parameters!$I19&amp;Parameters!$G19,"")</f>
        <v/>
      </c>
      <c r="I19" s="62" t="str">
        <f>IF(LEN(Parameters!$J19)&gt;0,Parameters!$J19&amp;Parameters!$G19,"")</f>
        <v/>
      </c>
      <c r="J19" s="62">
        <v>160.0</v>
      </c>
      <c r="K19" s="62">
        <v>10.0</v>
      </c>
      <c r="L19" s="62" t="s">
        <v>240</v>
      </c>
      <c r="M19" s="62" t="s">
        <v>240</v>
      </c>
      <c r="N19" s="62">
        <v>0.0</v>
      </c>
      <c r="O19" s="62">
        <v>1000.0</v>
      </c>
      <c r="P19" s="62" t="str">
        <f>"The base case value is "&amp;IF(ISNUMBER(Defaults!$J19),ROUND(Defaults!$J19,3),Defaults!$J19)&amp;
IF(LEN(Defaults!$K19)&gt;0,", with a variance of "&amp;ROUND(Defaults!$K19,3)&amp;".","")&amp;
IF(LEN(Defaults!$N19)&gt;0," The limits of the parameter are set at: "&amp;ROUND(Defaults!$N19,2)&amp;"--&gt;"&amp;ROUND(Defaults!$O19,2)&amp;".","")</f>
        <v>The base case value is 160, with a variance of 10. The limits of the parameter are set at: 0--&gt;1000.</v>
      </c>
      <c r="Q19" s="72" t="s">
        <v>266</v>
      </c>
      <c r="R19" s="62" t="s">
        <v>270</v>
      </c>
      <c r="S19" s="63"/>
      <c r="T19" s="63"/>
      <c r="U19" s="63"/>
      <c r="V19" s="63"/>
      <c r="W19" s="63"/>
      <c r="X19" s="6"/>
      <c r="Y19" s="6"/>
      <c r="Z19" s="6"/>
      <c r="AA19" s="6"/>
    </row>
    <row r="20" ht="14.25" customHeight="1">
      <c r="A20" s="60" t="s">
        <v>183</v>
      </c>
      <c r="B20" s="6"/>
      <c r="C20" s="62">
        <f t="shared" si="1"/>
        <v>14</v>
      </c>
      <c r="D20" s="62" t="str">
        <f>Parameters!$D20</f>
        <v>Number of patient uses</v>
      </c>
      <c r="E20" s="62" t="str">
        <f>Parameters!$E20</f>
        <v>Interventions</v>
      </c>
      <c r="F20" s="62" t="str">
        <f>Parameters!$F20&amp;Parameters!$G20</f>
        <v>F14</v>
      </c>
      <c r="G20" s="62" t="str">
        <f>IF(LEN(Parameters!$H20)&gt;0,Parameters!$H20&amp;Parameters!$G20,"")</f>
        <v/>
      </c>
      <c r="H20" s="62" t="str">
        <f>IF(LEN(Parameters!$I20)&gt;0,Parameters!$I20&amp;Parameters!$G20,"")</f>
        <v>I14</v>
      </c>
      <c r="I20" s="62" t="str">
        <f>IF(LEN(Parameters!$J20)&gt;0,Parameters!$J20&amp;Parameters!$G20,"")</f>
        <v>J14</v>
      </c>
      <c r="J20" s="62">
        <v>30.0</v>
      </c>
      <c r="K20" s="62">
        <v>5.1020408163265305</v>
      </c>
      <c r="L20" s="62">
        <v>20.0</v>
      </c>
      <c r="M20" s="62">
        <v>40.0</v>
      </c>
      <c r="N20" s="62">
        <v>17.0</v>
      </c>
      <c r="O20" s="62">
        <v>43.0</v>
      </c>
      <c r="P20" s="62" t="str">
        <f>"The base case value is "&amp;IF(ISNUMBER(Defaults!$J20),ROUND(Defaults!$J20,3),Defaults!$J20)&amp;
IF(LEN(Defaults!$K20)&gt;0,", with a variance of "&amp;ROUND(Defaults!$K20,3)&amp;".","")&amp;
IF(LEN(Defaults!$N20)&gt;0," The limits of the parameter are set at: "&amp;ROUND(Defaults!$N20,2)&amp;"--&gt;"&amp;ROUND(Defaults!$O20,2)&amp;".","")</f>
        <v>The base case value is 30, with a variance of 5,102. The limits of the parameter are set at: 17--&gt;43.</v>
      </c>
      <c r="Q20" s="72" t="s">
        <v>266</v>
      </c>
      <c r="R20" s="72" t="s">
        <v>268</v>
      </c>
      <c r="S20" s="63"/>
      <c r="T20" s="63"/>
      <c r="U20" s="63"/>
      <c r="V20" s="63"/>
      <c r="W20" s="63"/>
      <c r="X20" s="6"/>
      <c r="Y20" s="6"/>
      <c r="Z20" s="6"/>
      <c r="AA20" s="6"/>
    </row>
    <row r="21" ht="14.25" customHeight="1">
      <c r="A21" s="12"/>
      <c r="B21" s="6"/>
      <c r="C21" s="62">
        <f t="shared" si="1"/>
        <v>15</v>
      </c>
      <c r="D21" s="62" t="str">
        <f>Parameters!$D21</f>
        <v>Cost per patient use</v>
      </c>
      <c r="E21" s="62" t="str">
        <f>Parameters!$E21</f>
        <v>Interventions</v>
      </c>
      <c r="F21" s="62"/>
      <c r="G21" s="62" t="str">
        <f>IF(LEN(Parameters!$H21)&gt;0,Parameters!$H21&amp;Parameters!$G21,"")</f>
        <v/>
      </c>
      <c r="H21" s="62"/>
      <c r="I21" s="62"/>
      <c r="J21" s="62">
        <v>9.083333333333332</v>
      </c>
      <c r="K21" s="62">
        <v>1.6581632653061225</v>
      </c>
      <c r="L21" s="62">
        <v>6.5</v>
      </c>
      <c r="M21" s="62">
        <v>13.0</v>
      </c>
      <c r="N21" s="62">
        <v>5.591666666666667</v>
      </c>
      <c r="O21" s="62">
        <v>13.908333333333333</v>
      </c>
      <c r="P21" s="64" t="str">
        <f>"The base case value is "&amp;IF(ISNUMBER(Defaults!$J21),ROUND(Defaults!$J21,3),Defaults!$J21)&amp;
IF(LEN(Defaults!$K21)&gt;0,", with a variance of "&amp;ROUND(Defaults!$K21,3)&amp;".","")&amp;
IF(LEN(Defaults!$N21)&gt;0," The limits of the parameter are set at: "&amp;ROUND(Defaults!$N21,2)&amp;"--&gt;"&amp;ROUND(Defaults!$O21,2)&amp;".","")</f>
        <v>The base case value is 9,083, with a variance of 1,658. The limits of the parameter are set at: 5,59--&gt;13,91.</v>
      </c>
      <c r="Q21" s="72"/>
      <c r="R21" s="72" t="s">
        <v>272</v>
      </c>
      <c r="S21" s="63"/>
      <c r="T21" s="63"/>
      <c r="U21" s="63"/>
      <c r="V21" s="63"/>
      <c r="W21" s="63"/>
      <c r="X21" s="6"/>
      <c r="Y21" s="6"/>
      <c r="Z21" s="6"/>
      <c r="AA21" s="6"/>
    </row>
    <row r="22" ht="14.25" customHeight="1">
      <c r="A22" s="12"/>
      <c r="B22" s="6"/>
      <c r="C22" s="62">
        <f t="shared" si="1"/>
        <v>16</v>
      </c>
      <c r="D22" s="62" t="str">
        <f>Parameters!$D22</f>
        <v>Market share</v>
      </c>
      <c r="E22" s="62" t="str">
        <f>Parameters!$E22</f>
        <v>Interventions</v>
      </c>
      <c r="F22" s="62" t="str">
        <f>Parameters!$F22&amp;Parameters!$G22</f>
        <v>F17</v>
      </c>
      <c r="G22" s="62" t="str">
        <f>IF(LEN(Parameters!$H22)&gt;0,Parameters!$H22&amp;Parameters!$G22,"")</f>
        <v>H17</v>
      </c>
      <c r="H22" s="62" t="str">
        <f>IF(LEN(Parameters!$I22)&gt;0,Parameters!$I22&amp;Parameters!$G22,"")</f>
        <v/>
      </c>
      <c r="I22" s="62" t="str">
        <f>IF(LEN(Parameters!$J22)&gt;0,Parameters!$J22&amp;Parameters!$G22,"")</f>
        <v/>
      </c>
      <c r="J22" s="62">
        <v>100.0</v>
      </c>
      <c r="K22" s="62" t="s">
        <v>240</v>
      </c>
      <c r="L22" s="62" t="s">
        <v>240</v>
      </c>
      <c r="M22" s="62" t="s">
        <v>240</v>
      </c>
      <c r="N22" s="62">
        <v>0.0</v>
      </c>
      <c r="O22" s="62">
        <v>100.0</v>
      </c>
      <c r="P22" s="62" t="str">
        <f>"The base case value is "&amp;IF(ISNUMBER(Defaults!$J22),ROUND(Defaults!$J22,3),Defaults!$J22)&amp;
IF(LEN(Defaults!$K22)&gt;0,", with a variance of "&amp;ROUND(Defaults!$K22,3)&amp;".","")&amp;
IF(LEN(Defaults!$N22)&gt;0," The limits of the parameter are set at: "&amp;ROUND(Defaults!$N22,2)&amp;"--&gt;"&amp;ROUND(Defaults!$O22,2)&amp;".","")</f>
        <v>The base case value is 100 The limits of the parameter are set at: 0--&gt;100.</v>
      </c>
      <c r="Q22" s="72"/>
      <c r="R22" s="72"/>
      <c r="S22" s="63"/>
      <c r="T22" s="63"/>
      <c r="U22" s="63"/>
      <c r="V22" s="63"/>
      <c r="W22" s="63"/>
      <c r="X22" s="6"/>
      <c r="Y22" s="6"/>
      <c r="Z22" s="6"/>
      <c r="AA22" s="6"/>
    </row>
    <row r="23" ht="14.25" customHeight="1">
      <c r="A23" s="12"/>
      <c r="B23" s="6"/>
      <c r="C23" s="62">
        <f t="shared" si="1"/>
        <v>17</v>
      </c>
      <c r="D23" s="62" t="str">
        <f>Parameters!$D23</f>
        <v>Efficacy and safety</v>
      </c>
      <c r="E23" s="62" t="str">
        <f>Parameters!$E23</f>
        <v>Interventions</v>
      </c>
      <c r="F23" s="62" t="str">
        <f>Parameters!$F23&amp;Parameters!$G23</f>
        <v>F18</v>
      </c>
      <c r="G23" s="62" t="str">
        <f>IF(LEN(Parameters!$H23)&gt;0,Parameters!$H23&amp;Parameters!$G23,"")</f>
        <v/>
      </c>
      <c r="H23" s="62" t="str">
        <f>IF(LEN(Parameters!$I23)&gt;0,Parameters!$I23&amp;Parameters!$G23,"")</f>
        <v/>
      </c>
      <c r="I23" s="62" t="str">
        <f>IF(LEN(Parameters!$J23)&gt;0,Parameters!$J23&amp;Parameters!$G23,"")</f>
        <v/>
      </c>
      <c r="J23" s="62" t="s">
        <v>17</v>
      </c>
      <c r="K23" s="62" t="s">
        <v>240</v>
      </c>
      <c r="L23" s="62" t="s">
        <v>240</v>
      </c>
      <c r="M23" s="62" t="s">
        <v>240</v>
      </c>
      <c r="N23" s="62" t="s">
        <v>240</v>
      </c>
      <c r="O23" s="62" t="s">
        <v>240</v>
      </c>
      <c r="P23" s="62" t="str">
        <f>"The base case value is "&amp;IF(ISNUMBER(Defaults!$J23),ROUND(Defaults!$J23,3),Defaults!$J23)&amp;
IF(LEN(Defaults!$K23)&gt;0,", with a variance of "&amp;ROUND(Defaults!$K23,3)&amp;".","")&amp;
IF(LEN(Defaults!$N23)&gt;0," The limits of the parameter are set at: "&amp;ROUND(Defaults!$N23,2)&amp;"--&gt;"&amp;ROUND(Defaults!$O23,2)&amp;".","")</f>
        <v>The base case value is Reference</v>
      </c>
      <c r="Q23" s="72" t="s">
        <v>274</v>
      </c>
      <c r="R23" s="72"/>
      <c r="S23" s="63"/>
      <c r="T23" s="63"/>
      <c r="U23" s="63"/>
      <c r="V23" s="63"/>
      <c r="W23" s="63"/>
      <c r="X23" s="6"/>
      <c r="Y23" s="6"/>
      <c r="Z23" s="6"/>
      <c r="AA23" s="6"/>
    </row>
    <row r="24" ht="14.25" customHeight="1">
      <c r="A24" s="12"/>
      <c r="B24" s="6"/>
      <c r="C24" s="62">
        <f t="shared" si="1"/>
        <v>18</v>
      </c>
      <c r="D24" s="62" t="str">
        <f>Parameters!$D24</f>
        <v>Kendall DL purchase cost</v>
      </c>
      <c r="E24" s="62" t="str">
        <f>Parameters!$E24</f>
        <v>Interventions</v>
      </c>
      <c r="F24" s="62" t="str">
        <f>Parameters!$F24&amp;Parameters!$G24</f>
        <v>F22</v>
      </c>
      <c r="G24" s="62" t="str">
        <f>IF(LEN(Parameters!$H24)&gt;0,Parameters!$H24&amp;Parameters!$G24,"")</f>
        <v>H22</v>
      </c>
      <c r="H24" s="62" t="str">
        <f>IF(LEN(Parameters!$I24)&gt;0,Parameters!$I24&amp;Parameters!$G24,"")</f>
        <v/>
      </c>
      <c r="I24" s="62" t="str">
        <f>IF(LEN(Parameters!$J24)&gt;0,Parameters!$J24&amp;Parameters!$G24,"")</f>
        <v/>
      </c>
      <c r="J24" s="62">
        <v>15.0</v>
      </c>
      <c r="K24" s="62">
        <v>2.0</v>
      </c>
      <c r="L24" s="62" t="s">
        <v>240</v>
      </c>
      <c r="M24" s="62" t="s">
        <v>240</v>
      </c>
      <c r="N24" s="62">
        <v>0.0</v>
      </c>
      <c r="O24" s="62">
        <v>1000.0</v>
      </c>
      <c r="P24" s="62" t="str">
        <f>"The base case value is "&amp;IF(ISNUMBER(Defaults!$J24),ROUND(Defaults!$J24,3),Defaults!$J24)&amp;
IF(LEN(Defaults!$K24)&gt;0,", with a variance of "&amp;ROUND(Defaults!$K24,3)&amp;".","")&amp;
IF(LEN(Defaults!$N24)&gt;0," The limits of the parameter are set at: "&amp;ROUND(Defaults!$N24,2)&amp;"--&gt;"&amp;ROUND(Defaults!$O24,2)&amp;".","")</f>
        <v>The base case value is 15, with a variance of 2. The limits of the parameter are set at: 0--&gt;1000.</v>
      </c>
      <c r="Q24" s="72" t="s">
        <v>276</v>
      </c>
      <c r="R24" s="72" t="s">
        <v>277</v>
      </c>
      <c r="S24" s="63"/>
      <c r="T24" s="63"/>
      <c r="U24" s="63"/>
      <c r="V24" s="63"/>
      <c r="W24" s="63"/>
      <c r="X24" s="6"/>
      <c r="Y24" s="6"/>
      <c r="Z24" s="6"/>
      <c r="AA24" s="6"/>
    </row>
    <row r="25" ht="14.25" customHeight="1">
      <c r="A25" s="12"/>
      <c r="B25" s="6"/>
      <c r="C25" s="62">
        <f t="shared" si="1"/>
        <v>19</v>
      </c>
      <c r="D25" s="62" t="str">
        <f>Parameters!$D25</f>
        <v>Kendall DL market share…</v>
      </c>
      <c r="E25" s="62" t="str">
        <f>Parameters!$E25</f>
        <v>Interventions</v>
      </c>
      <c r="F25" s="62"/>
      <c r="G25" s="62"/>
      <c r="H25" s="62"/>
      <c r="I25" s="62"/>
      <c r="J25" s="62">
        <v>0.0</v>
      </c>
      <c r="K25" s="62" t="s">
        <v>240</v>
      </c>
      <c r="L25" s="62"/>
      <c r="M25" s="62"/>
      <c r="N25" s="62" t="s">
        <v>240</v>
      </c>
      <c r="O25" s="62" t="s">
        <v>240</v>
      </c>
      <c r="P25" s="62" t="str">
        <f>"The base case value is "&amp;IF(ISNUMBER(Defaults!$J25),ROUND(Defaults!$J25,3),Defaults!$J25)&amp;
IF(LEN(Defaults!$K25)&gt;0,", with a variance of "&amp;ROUND(Defaults!$K25,3)&amp;".","")&amp;
IF(LEN(Defaults!$N25)&gt;0," The limits of the parameter are set at: "&amp;ROUND(Defaults!$N25,2)&amp;"--&gt;"&amp;ROUND(Defaults!$O25,2)&amp;".","")</f>
        <v>The base case value is 0</v>
      </c>
      <c r="Q25" s="72" t="s">
        <v>278</v>
      </c>
      <c r="R25" s="72"/>
      <c r="S25" s="63"/>
      <c r="T25" s="63"/>
      <c r="U25" s="63"/>
      <c r="V25" s="63"/>
      <c r="W25" s="63"/>
      <c r="X25" s="6"/>
      <c r="Y25" s="6"/>
      <c r="Z25" s="6"/>
      <c r="AA25" s="6"/>
    </row>
    <row r="26" ht="14.25" customHeight="1">
      <c r="A26" s="12"/>
      <c r="B26" s="6"/>
      <c r="C26" s="63">
        <f t="shared" si="1"/>
        <v>20</v>
      </c>
      <c r="D26" s="62" t="str">
        <f>Parameters!$D26</f>
        <v>Kendall DL market share…increasing </v>
      </c>
      <c r="E26" s="62" t="str">
        <f>Parameters!$E26</f>
        <v>Interventions</v>
      </c>
      <c r="F26" s="62" t="str">
        <f>Parameters!$F26&amp;Parameters!$G26</f>
        <v>F24</v>
      </c>
      <c r="G26" s="62" t="str">
        <f>IF(LEN(Parameters!$H26)&gt;0,Parameters!$H26&amp;Parameters!$G26,"")</f>
        <v/>
      </c>
      <c r="H26" s="62" t="str">
        <f>IF(LEN(Parameters!$I26)&gt;0,Parameters!$I26&amp;Parameters!$G26,"")</f>
        <v>I24</v>
      </c>
      <c r="I26" s="62" t="str">
        <f>IF(LEN(Parameters!$J26)&gt;0,Parameters!$J26&amp;Parameters!$G26,"")</f>
        <v>J24</v>
      </c>
      <c r="J26" s="62">
        <v>100.0</v>
      </c>
      <c r="K26" s="62">
        <v>0.25510204081632654</v>
      </c>
      <c r="L26" s="62">
        <v>99.0</v>
      </c>
      <c r="M26" s="62">
        <v>100.0</v>
      </c>
      <c r="N26" s="62">
        <v>1.0</v>
      </c>
      <c r="O26" s="62">
        <v>100.0</v>
      </c>
      <c r="P26" s="62" t="str">
        <f>"The base case value is "&amp;IF(ISNUMBER(Defaults!$J26),ROUND(Defaults!$J26,3),Defaults!$J26)&amp;
IF(LEN(Defaults!$K26)&gt;0,", with a variance of "&amp;ROUND(Defaults!$K26,3)&amp;".","")&amp;
IF(LEN(Defaults!$N26)&gt;0," The limits of the parameter are set at: "&amp;ROUND(Defaults!$N26,2)&amp;"--&gt;"&amp;ROUND(Defaults!$O26,2)&amp;".","")</f>
        <v>The base case value is 100, with a variance of 0,255. The limits of the parameter are set at: 1--&gt;100.</v>
      </c>
      <c r="Q26" s="72" t="s">
        <v>280</v>
      </c>
      <c r="R26" s="72"/>
      <c r="S26" s="63"/>
      <c r="T26" s="63"/>
      <c r="U26" s="63"/>
      <c r="V26" s="63"/>
      <c r="W26" s="63"/>
      <c r="X26" s="6"/>
      <c r="Y26" s="6"/>
      <c r="Z26" s="6"/>
      <c r="AA26" s="6"/>
    </row>
    <row r="27" ht="14.25" customHeight="1">
      <c r="A27" s="12"/>
      <c r="B27" s="6"/>
      <c r="C27" s="63">
        <f t="shared" si="1"/>
        <v>21</v>
      </c>
      <c r="D27" s="62" t="str">
        <f>Parameters!$D27</f>
        <v>Kendall DL surgical site infection RR</v>
      </c>
      <c r="E27" s="62" t="str">
        <f>Parameters!$E27</f>
        <v>Interventions</v>
      </c>
      <c r="F27" s="62" t="str">
        <f>Parameters!$F27&amp;Parameters!$G27</f>
        <v>F26</v>
      </c>
      <c r="G27" s="62" t="str">
        <f>IF(LEN(Parameters!$H27)&gt;0,Parameters!$H27&amp;Parameters!$G27,"")</f>
        <v/>
      </c>
      <c r="H27" s="62" t="str">
        <f>IF(LEN(Parameters!$I27)&gt;0,Parameters!$I27&amp;Parameters!$G27,"")</f>
        <v>I26</v>
      </c>
      <c r="I27" s="62" t="str">
        <f>IF(LEN(Parameters!$J27)&gt;0,Parameters!$J27&amp;Parameters!$G27,"")</f>
        <v>J26</v>
      </c>
      <c r="J27" s="62">
        <v>0.74</v>
      </c>
      <c r="K27" s="62">
        <v>0.08525563471598821</v>
      </c>
      <c r="L27" s="62">
        <v>0.63</v>
      </c>
      <c r="M27" s="62">
        <v>0.88</v>
      </c>
      <c r="N27" s="62">
        <v>0.556</v>
      </c>
      <c r="O27" s="62">
        <v>0.954</v>
      </c>
      <c r="P27" s="62" t="str">
        <f>"The base case value is "&amp;IF(ISNUMBER(Defaults!$J27),ROUND(Defaults!$J27,3),Defaults!$J27)&amp;
IF(LEN(Defaults!$K27)&gt;0,", with a variance of "&amp;ROUND(Defaults!$K27,3)&amp;".","")&amp;
IF(LEN(Defaults!$N27)&gt;0," The limits of the parameter are set at: "&amp;ROUND(Defaults!$N27,2)&amp;"--&gt;"&amp;ROUND(Defaults!$O27,2)&amp;".","")</f>
        <v>The base case value is 0,74, with a variance of 0,085. The limits of the parameter are set at: 0,56--&gt;0,95.</v>
      </c>
      <c r="Q27" s="72" t="s">
        <v>281</v>
      </c>
      <c r="R27" s="72" t="s">
        <v>282</v>
      </c>
      <c r="S27" s="63"/>
      <c r="T27" s="63"/>
      <c r="U27" s="63"/>
      <c r="V27" s="63"/>
      <c r="W27" s="63"/>
      <c r="X27" s="6"/>
      <c r="Y27" s="6"/>
      <c r="Z27" s="6"/>
      <c r="AA27" s="6"/>
    </row>
    <row r="28" ht="14.25" customHeight="1">
      <c r="A28" s="12"/>
      <c r="B28" s="6"/>
      <c r="C28" s="63">
        <f t="shared" si="1"/>
        <v>22</v>
      </c>
      <c r="D28" s="62" t="str">
        <f>Parameters!$D28</f>
        <v>Kendall DL false alarms RR</v>
      </c>
      <c r="E28" s="62" t="str">
        <f>Parameters!$E28</f>
        <v>Interventions</v>
      </c>
      <c r="F28" s="62" t="str">
        <f>Parameters!$F28&amp;Parameters!$G28</f>
        <v>F27</v>
      </c>
      <c r="G28" s="62" t="str">
        <f>IF(LEN(Parameters!$H28)&gt;0,Parameters!$H28&amp;Parameters!$G28,"")</f>
        <v/>
      </c>
      <c r="H28" s="62" t="str">
        <f>IF(LEN(Parameters!$I28)&gt;0,Parameters!$I28&amp;Parameters!$G28,"")</f>
        <v>I27</v>
      </c>
      <c r="I28" s="62" t="str">
        <f>IF(LEN(Parameters!$J28)&gt;0,Parameters!$J28&amp;Parameters!$G28,"")</f>
        <v>J27</v>
      </c>
      <c r="J28" s="62">
        <v>0.81</v>
      </c>
      <c r="K28" s="62">
        <v>0.13273070605115675</v>
      </c>
      <c r="L28" s="62">
        <v>0.63</v>
      </c>
      <c r="M28" s="62">
        <v>1.06</v>
      </c>
      <c r="N28" s="62">
        <v>0.549</v>
      </c>
      <c r="O28" s="62">
        <v>1.141</v>
      </c>
      <c r="P28" s="62" t="str">
        <f>"The base case value is "&amp;IF(ISNUMBER(Defaults!$J28),ROUND(Defaults!$J28,3),Defaults!$J28)&amp;
IF(LEN(Defaults!$K28)&gt;0,", with a variance of "&amp;ROUND(Defaults!$K28,3)&amp;".","")&amp;
IF(LEN(Defaults!$N28)&gt;0," The limits of the parameter are set at: "&amp;ROUND(Defaults!$N28,2)&amp;"--&gt;"&amp;ROUND(Defaults!$O28,2)&amp;".","")</f>
        <v>The base case value is 0,81, with a variance of 0,133. The limits of the parameter are set at: 0,55--&gt;1,14.</v>
      </c>
      <c r="Q28" s="72" t="s">
        <v>284</v>
      </c>
      <c r="R28" s="72" t="s">
        <v>285</v>
      </c>
      <c r="S28" s="63"/>
      <c r="T28" s="63"/>
      <c r="U28" s="63"/>
      <c r="V28" s="63"/>
      <c r="W28" s="63"/>
      <c r="X28" s="6"/>
      <c r="Y28" s="6"/>
      <c r="Z28" s="6"/>
      <c r="AA28" s="6"/>
    </row>
    <row r="29" ht="14.25" customHeight="1">
      <c r="A29" s="12"/>
      <c r="B29" s="6"/>
      <c r="C29" s="63">
        <f t="shared" si="1"/>
        <v>23</v>
      </c>
      <c r="D29" s="62" t="str">
        <f>Parameters!$D29</f>
        <v>Kendall DL leads-off alarms, RR</v>
      </c>
      <c r="E29" s="62" t="str">
        <f>Parameters!$E29</f>
        <v>Interventions</v>
      </c>
      <c r="F29" s="62" t="str">
        <f>Parameters!$F29&amp;Parameters!$G29</f>
        <v>F28</v>
      </c>
      <c r="G29" s="62" t="str">
        <f>IF(LEN(Parameters!$H29)&gt;0,Parameters!$H29&amp;Parameters!$G29,"")</f>
        <v/>
      </c>
      <c r="H29" s="62" t="str">
        <f>IF(LEN(Parameters!$I29)&gt;0,Parameters!$I29&amp;Parameters!$G29,"")</f>
        <v>I28</v>
      </c>
      <c r="I29" s="62" t="str">
        <f>IF(LEN(Parameters!$J29)&gt;0,Parameters!$J29&amp;Parameters!$G29,"")</f>
        <v>J28</v>
      </c>
      <c r="J29" s="62">
        <v>0.71</v>
      </c>
      <c r="K29" s="62">
        <v>0.1515449688560496</v>
      </c>
      <c r="L29" s="62">
        <v>0.53</v>
      </c>
      <c r="M29" s="62">
        <v>0.96</v>
      </c>
      <c r="N29" s="62">
        <v>0.459</v>
      </c>
      <c r="O29" s="62">
        <v>1.031</v>
      </c>
      <c r="P29" s="62" t="str">
        <f>"The base case value is "&amp;IF(ISNUMBER(Defaults!$J29),ROUND(Defaults!$J29,3),Defaults!$J29)&amp;
IF(LEN(Defaults!$K29)&gt;0,", with a variance of "&amp;ROUND(Defaults!$K29,3)&amp;".","")&amp;
IF(LEN(Defaults!$N29)&gt;0," The limits of the parameter are set at: "&amp;ROUND(Defaults!$N29,2)&amp;"--&gt;"&amp;ROUND(Defaults!$O29,2)&amp;".","")</f>
        <v>The base case value is 0,71, with a variance of 0,152. The limits of the parameter are set at: 0,46--&gt;1,03.</v>
      </c>
      <c r="Q29" s="72" t="s">
        <v>284</v>
      </c>
      <c r="R29" s="72" t="s">
        <v>285</v>
      </c>
      <c r="S29" s="63"/>
      <c r="T29" s="63"/>
      <c r="U29" s="63"/>
      <c r="V29" s="63"/>
      <c r="W29" s="63"/>
      <c r="X29" s="6"/>
      <c r="Y29" s="6"/>
      <c r="Z29" s="6"/>
      <c r="AA29" s="6"/>
    </row>
    <row r="30" ht="14.25" customHeight="1">
      <c r="A30" s="12"/>
      <c r="B30" s="6"/>
      <c r="C30" s="63">
        <f t="shared" si="1"/>
        <v>24</v>
      </c>
      <c r="D30" s="62" t="str">
        <f>Parameters!$D30</f>
        <v>Time on MV</v>
      </c>
      <c r="E30" s="62" t="str">
        <f>Parameters!$E30</f>
        <v>Events</v>
      </c>
      <c r="F30" s="62" t="str">
        <f>Parameters!$F30&amp;Parameters!$G30</f>
        <v>F10</v>
      </c>
      <c r="G30" s="62" t="str">
        <f>IF(LEN(Parameters!$H30)&gt;0,Parameters!$H30&amp;Parameters!$G30,"")</f>
        <v/>
      </c>
      <c r="H30" s="62" t="str">
        <f>IF(LEN(Parameters!$I30)&gt;0,Parameters!$I30&amp;Parameters!$G30,"")</f>
        <v/>
      </c>
      <c r="I30" s="62" t="str">
        <f>IF(LEN(Parameters!$J30)&gt;0,Parameters!$J30&amp;Parameters!$G30,"")</f>
        <v/>
      </c>
      <c r="J30" s="62">
        <v>0.5</v>
      </c>
      <c r="K30" s="62">
        <v>1.0E-4</v>
      </c>
      <c r="L30" s="62" t="s">
        <v>240</v>
      </c>
      <c r="M30" s="62" t="s">
        <v>240</v>
      </c>
      <c r="N30" s="62">
        <v>0.5</v>
      </c>
      <c r="O30" s="62">
        <v>30.0</v>
      </c>
      <c r="P30" s="62" t="str">
        <f>"The base case value is "&amp;IF(ISNUMBER(Defaults!$J30),ROUND(Defaults!$J30,3),Defaults!$J30)&amp;
IF(LEN(Defaults!$K30)&gt;0,", with a variance of "&amp;ROUND(Defaults!$K30,3)&amp;".","")&amp;
IF(LEN(Defaults!$N30)&gt;0," The limits of the parameter are set at: "&amp;ROUND(Defaults!$N30,2)&amp;"--&gt;"&amp;ROUND(Defaults!$O30,2)&amp;".","")</f>
        <v>The base case value is 0,5, with a variance of 0. The limits of the parameter are set at: 0,5--&gt;30.</v>
      </c>
      <c r="Q30" s="72" t="s">
        <v>291</v>
      </c>
      <c r="R30" s="72" t="s">
        <v>292</v>
      </c>
      <c r="S30" s="63"/>
      <c r="T30" s="63"/>
      <c r="U30" s="63"/>
      <c r="V30" s="63"/>
      <c r="W30" s="63"/>
      <c r="X30" s="6"/>
      <c r="Y30" s="6"/>
      <c r="Z30" s="6"/>
      <c r="AA30" s="6"/>
    </row>
    <row r="31" ht="14.25" customHeight="1">
      <c r="A31" s="12"/>
      <c r="B31" s="6"/>
      <c r="C31" s="63">
        <f t="shared" si="1"/>
        <v>25</v>
      </c>
      <c r="D31" s="62" t="str">
        <f>Parameters!$D31</f>
        <v>ICU time</v>
      </c>
      <c r="E31" s="62" t="str">
        <f>Parameters!$E31</f>
        <v>Events</v>
      </c>
      <c r="F31" s="62" t="str">
        <f>Parameters!$F31&amp;Parameters!$G31</f>
        <v>F11</v>
      </c>
      <c r="G31" s="62" t="str">
        <f>IF(LEN(Parameters!$H31)&gt;0,Parameters!$H31&amp;Parameters!$G31,"")</f>
        <v/>
      </c>
      <c r="H31" s="62" t="str">
        <f>IF(LEN(Parameters!$I31)&gt;0,Parameters!$I31&amp;Parameters!$G31,"")</f>
        <v/>
      </c>
      <c r="I31" s="62" t="str">
        <f>IF(LEN(Parameters!$J31)&gt;0,Parameters!$J31&amp;Parameters!$G31,"")</f>
        <v/>
      </c>
      <c r="J31" s="62">
        <v>1.0</v>
      </c>
      <c r="K31" s="62">
        <v>1.0E-4</v>
      </c>
      <c r="L31" s="62" t="s">
        <v>240</v>
      </c>
      <c r="M31" s="62" t="s">
        <v>240</v>
      </c>
      <c r="N31" s="62">
        <v>0.5</v>
      </c>
      <c r="O31" s="62">
        <v>30.0</v>
      </c>
      <c r="P31" s="62" t="str">
        <f>"The base case value is "&amp;IF(ISNUMBER(Defaults!$J31),ROUND(Defaults!$J31,3),Defaults!$J31)&amp;
IF(LEN(Defaults!$K31)&gt;0,", with a variance of "&amp;ROUND(Defaults!$K31,3)&amp;".","")&amp;
IF(LEN(Defaults!$N31)&gt;0," The limits of the parameter are set at: "&amp;ROUND(Defaults!$N31,2)&amp;"--&gt;"&amp;ROUND(Defaults!$O31,2)&amp;".","")</f>
        <v>The base case value is 1, with a variance of 0. The limits of the parameter are set at: 0,5--&gt;30.</v>
      </c>
      <c r="Q31" s="72" t="s">
        <v>300</v>
      </c>
      <c r="R31" s="72" t="s">
        <v>292</v>
      </c>
      <c r="S31" s="63"/>
      <c r="T31" s="63"/>
      <c r="U31" s="63"/>
      <c r="V31" s="63"/>
      <c r="W31" s="63"/>
      <c r="X31" s="6"/>
      <c r="Y31" s="6"/>
      <c r="Z31" s="6"/>
      <c r="AA31" s="6"/>
    </row>
    <row r="32" ht="14.25" customHeight="1">
      <c r="A32" s="12"/>
      <c r="B32" s="6"/>
      <c r="C32" s="63">
        <f t="shared" si="1"/>
        <v>26</v>
      </c>
      <c r="D32" s="62" t="str">
        <f>Parameters!$D32</f>
        <v>Hospital time</v>
      </c>
      <c r="E32" s="62" t="str">
        <f>Parameters!$E32</f>
        <v>Events</v>
      </c>
      <c r="F32" s="62" t="str">
        <f>Parameters!$F32&amp;Parameters!$G32</f>
        <v>F12</v>
      </c>
      <c r="G32" s="62" t="str">
        <f>IF(LEN(Parameters!$H32)&gt;0,Parameters!$H32&amp;Parameters!$G32,"")</f>
        <v/>
      </c>
      <c r="H32" s="62" t="str">
        <f>IF(LEN(Parameters!$I32)&gt;0,Parameters!$I32&amp;Parameters!$G32,"")</f>
        <v>I12</v>
      </c>
      <c r="I32" s="62" t="str">
        <f>IF(LEN(Parameters!$J32)&gt;0,Parameters!$J32&amp;Parameters!$G32,"")</f>
        <v>J12</v>
      </c>
      <c r="J32" s="62">
        <v>8.0</v>
      </c>
      <c r="K32" s="62">
        <v>1.7857142857142858</v>
      </c>
      <c r="L32" s="62">
        <v>6.0</v>
      </c>
      <c r="M32" s="62">
        <v>13.0</v>
      </c>
      <c r="N32" s="62">
        <v>5.2</v>
      </c>
      <c r="O32" s="62">
        <v>13.8</v>
      </c>
      <c r="P32" s="62" t="str">
        <f>"The base case value is "&amp;IF(ISNUMBER(Defaults!$J32),ROUND(Defaults!$J32,3),Defaults!$J32)&amp;
IF(LEN(Defaults!$K32)&gt;0,", with a variance of "&amp;ROUND(Defaults!$K32,3)&amp;".","")&amp;
IF(LEN(Defaults!$N32)&gt;0," The limits of the parameter are set at: "&amp;ROUND(Defaults!$N32,2)&amp;"--&gt;"&amp;ROUND(Defaults!$O32,2)&amp;".","")</f>
        <v>The base case value is 8, with a variance of 1,786. The limits of the parameter are set at: 5,2--&gt;13,8.</v>
      </c>
      <c r="Q32" s="72" t="s">
        <v>306</v>
      </c>
      <c r="R32" s="72" t="s">
        <v>254</v>
      </c>
      <c r="S32" s="63"/>
      <c r="T32" s="63"/>
      <c r="U32" s="63"/>
      <c r="V32" s="63"/>
      <c r="W32" s="63"/>
      <c r="X32" s="6"/>
      <c r="Y32" s="6"/>
      <c r="Z32" s="6"/>
      <c r="AA32" s="6"/>
    </row>
    <row r="33" ht="14.25" customHeight="1">
      <c r="A33" s="12"/>
      <c r="B33" s="6"/>
      <c r="C33" s="63">
        <f t="shared" si="1"/>
        <v>27</v>
      </c>
      <c r="D33" s="62" t="str">
        <f>Parameters!$D33</f>
        <v>Prolonged MV patients</v>
      </c>
      <c r="E33" s="62" t="str">
        <f>Parameters!$E33</f>
        <v>Events</v>
      </c>
      <c r="F33" s="62" t="str">
        <f>Parameters!$F33&amp;Parameters!$G33</f>
        <v>F13</v>
      </c>
      <c r="G33" s="62" t="str">
        <f>IF(LEN(Parameters!$H33)&gt;0,Parameters!$H33&amp;Parameters!$G33,"")</f>
        <v/>
      </c>
      <c r="H33" s="62" t="str">
        <f>IF(LEN(Parameters!$I33)&gt;0,Parameters!$I33&amp;Parameters!$G33,"")</f>
        <v/>
      </c>
      <c r="I33" s="62" t="str">
        <f>IF(LEN(Parameters!$J33)&gt;0,Parameters!$J33&amp;Parameters!$G33,"")</f>
        <v/>
      </c>
      <c r="J33" s="62">
        <v>10.6</v>
      </c>
      <c r="K33" s="62">
        <v>1.0E-4</v>
      </c>
      <c r="L33" s="62" t="s">
        <v>240</v>
      </c>
      <c r="M33" s="62" t="s">
        <v>240</v>
      </c>
      <c r="N33" s="62">
        <v>0.5</v>
      </c>
      <c r="O33" s="62">
        <v>90.0</v>
      </c>
      <c r="P33" s="62" t="str">
        <f>"The base case value is "&amp;IF(ISNUMBER(Defaults!$J33),ROUND(Defaults!$J33,3),Defaults!$J33)&amp;
IF(LEN(Defaults!$K33)&gt;0,", with a variance of "&amp;ROUND(Defaults!$K33,3)&amp;".","")&amp;
IF(LEN(Defaults!$N33)&gt;0," The limits of the parameter are set at: "&amp;ROUND(Defaults!$N33,2)&amp;"--&gt;"&amp;ROUND(Defaults!$O33,2)&amp;".","")</f>
        <v>The base case value is 10,6, with a variance of 0. The limits of the parameter are set at: 0,5--&gt;90.</v>
      </c>
      <c r="Q33" s="72" t="s">
        <v>311</v>
      </c>
      <c r="R33" s="72" t="s">
        <v>260</v>
      </c>
      <c r="S33" s="63"/>
      <c r="T33" s="63"/>
      <c r="U33" s="63"/>
      <c r="V33" s="63"/>
      <c r="W33" s="63"/>
      <c r="X33" s="6"/>
      <c r="Y33" s="6"/>
      <c r="Z33" s="6"/>
      <c r="AA33" s="6"/>
    </row>
    <row r="34" ht="14.25" customHeight="1">
      <c r="A34" s="12"/>
      <c r="B34" s="6"/>
      <c r="C34" s="63">
        <f t="shared" si="1"/>
        <v>28</v>
      </c>
      <c r="D34" s="62" t="str">
        <f>Parameters!$D34</f>
        <v>ECG monitoring</v>
      </c>
      <c r="E34" s="62" t="str">
        <f>Parameters!$E34</f>
        <v>Events</v>
      </c>
      <c r="F34" s="62" t="str">
        <f>Parameters!$F34&amp;Parameters!$G34</f>
        <v>F14</v>
      </c>
      <c r="G34" s="62" t="str">
        <f>IF(LEN(Parameters!$H34)&gt;0,Parameters!$H34&amp;Parameters!$G34,"")</f>
        <v/>
      </c>
      <c r="H34" s="62" t="str">
        <f>IF(LEN(Parameters!$I34)&gt;0,Parameters!$I34&amp;Parameters!$G34,"")</f>
        <v>I14</v>
      </c>
      <c r="I34" s="62" t="str">
        <f>IF(LEN(Parameters!$J34)&gt;0,Parameters!$J34&amp;Parameters!$G34,"")</f>
        <v>J14</v>
      </c>
      <c r="J34" s="62">
        <v>8.0</v>
      </c>
      <c r="K34" s="62">
        <v>1.7857142857142858</v>
      </c>
      <c r="L34" s="62">
        <v>6.0</v>
      </c>
      <c r="M34" s="62">
        <v>13.0</v>
      </c>
      <c r="N34" s="62">
        <v>5.2</v>
      </c>
      <c r="O34" s="62">
        <v>13.8</v>
      </c>
      <c r="P34" s="62" t="str">
        <f>"The base case value is "&amp;IF(ISNUMBER(Defaults!$J34),ROUND(Defaults!$J34,3),Defaults!$J34)&amp;
IF(LEN(Defaults!$K34)&gt;0,", with a variance of "&amp;ROUND(Defaults!$K34,3)&amp;".","")&amp;
IF(LEN(Defaults!$N34)&gt;0," The limits of the parameter are set at: "&amp;ROUND(Defaults!$N34,2)&amp;"--&gt;"&amp;ROUND(Defaults!$O34,2)&amp;".","")</f>
        <v>The base case value is 8, with a variance of 1,786. The limits of the parameter are set at: 5,2--&gt;13,8.</v>
      </c>
      <c r="Q34" s="72" t="s">
        <v>314</v>
      </c>
      <c r="R34" s="72" t="s">
        <v>254</v>
      </c>
      <c r="S34" s="63"/>
      <c r="T34" s="63"/>
      <c r="U34" s="63"/>
      <c r="V34" s="63"/>
      <c r="W34" s="63"/>
      <c r="X34" s="6"/>
      <c r="Y34" s="6"/>
      <c r="Z34" s="6"/>
      <c r="AA34" s="6"/>
    </row>
    <row r="35" ht="14.25" customHeight="1">
      <c r="A35" s="12"/>
      <c r="B35" s="6"/>
      <c r="C35" s="63">
        <f t="shared" si="1"/>
        <v>29</v>
      </c>
      <c r="D35" s="62" t="str">
        <f>Parameters!$D35</f>
        <v>Home discharge</v>
      </c>
      <c r="E35" s="62" t="str">
        <f>Parameters!$E35</f>
        <v>Events</v>
      </c>
      <c r="F35" s="62" t="str">
        <f>Parameters!$F35&amp;Parameters!$G35</f>
        <v>F16</v>
      </c>
      <c r="G35" s="62" t="str">
        <f>IF(LEN(Parameters!$H35)&gt;0,Parameters!$H35&amp;Parameters!$G35,"")</f>
        <v>H16</v>
      </c>
      <c r="H35" s="62" t="str">
        <f>IF(LEN(Parameters!$I35)&gt;0,Parameters!$I35&amp;Parameters!$G35,"")</f>
        <v/>
      </c>
      <c r="I35" s="62" t="str">
        <f>IF(LEN(Parameters!$J35)&gt;0,Parameters!$J35&amp;Parameters!$G35,"")</f>
        <v/>
      </c>
      <c r="J35" s="62">
        <v>74.5</v>
      </c>
      <c r="K35" s="62">
        <v>0.1690540528572076</v>
      </c>
      <c r="L35" s="62" t="s">
        <v>240</v>
      </c>
      <c r="M35" s="62" t="s">
        <v>240</v>
      </c>
      <c r="N35" s="62">
        <v>0.0</v>
      </c>
      <c r="O35" s="62">
        <v>100.0</v>
      </c>
      <c r="P35" s="62" t="str">
        <f>"The base case value is "&amp;IF(ISNUMBER(Defaults!$J35),ROUND(Defaults!$J35,3),Defaults!$J35)&amp;
IF(LEN(Defaults!$K35)&gt;0,", with a variance of "&amp;ROUND(Defaults!$K35,3)&amp;".","")&amp;
IF(LEN(Defaults!$N35)&gt;0," The limits of the parameter are set at: "&amp;ROUND(Defaults!$N35,2)&amp;"--&gt;"&amp;ROUND(Defaults!$O35,2)&amp;".","")</f>
        <v>The base case value is 74,5, with a variance of 0,169. The limits of the parameter are set at: 0--&gt;100.</v>
      </c>
      <c r="Q35" s="72" t="s">
        <v>316</v>
      </c>
      <c r="R35" s="72" t="s">
        <v>254</v>
      </c>
      <c r="S35" s="63"/>
      <c r="T35" s="63"/>
      <c r="U35" s="63"/>
      <c r="V35" s="63"/>
      <c r="W35" s="63"/>
      <c r="X35" s="6"/>
      <c r="Y35" s="6"/>
      <c r="Z35" s="6"/>
      <c r="AA35" s="6"/>
    </row>
    <row r="36" ht="14.25" customHeight="1">
      <c r="A36" s="12"/>
      <c r="B36" s="6"/>
      <c r="C36" s="63">
        <f t="shared" si="1"/>
        <v>30</v>
      </c>
      <c r="D36" s="62" t="str">
        <f>Parameters!$D36</f>
        <v>Care facility discharge</v>
      </c>
      <c r="E36" s="62" t="str">
        <f>Parameters!$E36</f>
        <v>Events</v>
      </c>
      <c r="F36" s="62"/>
      <c r="G36" s="62" t="str">
        <f>IF(LEN(Parameters!$H36)&gt;0,Parameters!$H36&amp;Parameters!$G36,"")</f>
        <v/>
      </c>
      <c r="H36" s="62" t="str">
        <f>IF(LEN(Parameters!$I36)&gt;0,Parameters!$I36&amp;Parameters!$G36,"")</f>
        <v/>
      </c>
      <c r="I36" s="62" t="str">
        <f>IF(LEN(Parameters!$J36)&gt;0,Parameters!$J36&amp;Parameters!$G36,"")</f>
        <v/>
      </c>
      <c r="J36" s="62">
        <v>25.5</v>
      </c>
      <c r="K36" s="62">
        <v>0.001</v>
      </c>
      <c r="L36" s="62" t="s">
        <v>240</v>
      </c>
      <c r="M36" s="62" t="s">
        <v>240</v>
      </c>
      <c r="N36" s="62" t="s">
        <v>240</v>
      </c>
      <c r="O36" s="62" t="s">
        <v>240</v>
      </c>
      <c r="P36" s="62" t="str">
        <f>"The base case value is "&amp;IF(ISNUMBER(Defaults!$J36),ROUND(Defaults!$J36,3),Defaults!$J36)&amp;
IF(LEN(Defaults!$K36)&gt;0,", with a variance of "&amp;ROUND(Defaults!$K36,3)&amp;".","")&amp;
IF(LEN(Defaults!$N36)&gt;0," The limits of the parameter are set at: "&amp;ROUND(Defaults!$N36,2)&amp;"--&gt;"&amp;ROUND(Defaults!$O36,2)&amp;".","")</f>
        <v>The base case value is 25,5, with a variance of 0,001.</v>
      </c>
      <c r="Q36" s="72" t="s">
        <v>318</v>
      </c>
      <c r="R36" s="72" t="s">
        <v>254</v>
      </c>
      <c r="S36" s="63"/>
      <c r="T36" s="63"/>
      <c r="U36" s="63"/>
      <c r="V36" s="63"/>
      <c r="W36" s="63"/>
      <c r="X36" s="6"/>
      <c r="Y36" s="6"/>
      <c r="Z36" s="6"/>
      <c r="AA36" s="6"/>
    </row>
    <row r="37" ht="14.25" customHeight="1">
      <c r="A37" s="12"/>
      <c r="B37" s="6"/>
      <c r="C37" s="63">
        <f t="shared" si="1"/>
        <v>31</v>
      </c>
      <c r="D37" s="62" t="str">
        <f>Parameters!$D37</f>
        <v>Facility stay, days</v>
      </c>
      <c r="E37" s="62" t="str">
        <f>Parameters!$E37</f>
        <v>Events</v>
      </c>
      <c r="F37" s="62" t="str">
        <f>Parameters!$F37&amp;Parameters!$G37</f>
        <v>F18</v>
      </c>
      <c r="G37" s="62" t="str">
        <f>IF(LEN(Parameters!$H37)&gt;0,Parameters!$H37&amp;Parameters!$G37,"")</f>
        <v/>
      </c>
      <c r="H37" s="62" t="str">
        <f>IF(LEN(Parameters!$I37)&gt;0,Parameters!$I37&amp;Parameters!$G37,"")</f>
        <v>I18</v>
      </c>
      <c r="I37" s="62" t="str">
        <f>IF(LEN(Parameters!$J37)&gt;0,Parameters!$J37&amp;Parameters!$G37,"")</f>
        <v>J18</v>
      </c>
      <c r="J37" s="62">
        <v>27.0</v>
      </c>
      <c r="K37" s="62">
        <v>11.91326530612245</v>
      </c>
      <c r="L37" s="62">
        <v>13.3</v>
      </c>
      <c r="M37" s="62">
        <v>60.0</v>
      </c>
      <c r="N37" s="62">
        <v>10.600000000000001</v>
      </c>
      <c r="O37" s="62">
        <v>62.7</v>
      </c>
      <c r="P37" s="62" t="str">
        <f>"The base case value is "&amp;IF(ISNUMBER(Defaults!$J37),ROUND(Defaults!$J37,3),Defaults!$J37)&amp;
IF(LEN(Defaults!$K37)&gt;0,", with a variance of "&amp;ROUND(Defaults!$K37,3)&amp;".","")&amp;
IF(LEN(Defaults!$N37)&gt;0," The limits of the parameter are set at: "&amp;ROUND(Defaults!$N37,2)&amp;"--&gt;"&amp;ROUND(Defaults!$O37,2)&amp;".","")</f>
        <v>The base case value is 27, with a variance of 11,913. The limits of the parameter are set at: 10,6--&gt;62,7.</v>
      </c>
      <c r="Q37" s="72" t="s">
        <v>320</v>
      </c>
      <c r="R37" s="72" t="s">
        <v>321</v>
      </c>
      <c r="S37" s="63"/>
      <c r="T37" s="63"/>
      <c r="U37" s="63"/>
      <c r="V37" s="63"/>
      <c r="W37" s="63"/>
      <c r="X37" s="6"/>
      <c r="Y37" s="6"/>
      <c r="Z37" s="6"/>
      <c r="AA37" s="6"/>
    </row>
    <row r="38" ht="14.25" customHeight="1">
      <c r="A38" s="12"/>
      <c r="B38" s="6"/>
      <c r="C38" s="63">
        <f t="shared" si="1"/>
        <v>32</v>
      </c>
      <c r="D38" s="62" t="str">
        <f>Parameters!$D38</f>
        <v>Reoperation rates</v>
      </c>
      <c r="E38" s="62" t="str">
        <f>Parameters!$E38</f>
        <v>Events</v>
      </c>
      <c r="F38" s="62" t="str">
        <f>Parameters!$F38&amp;Parameters!$G38</f>
        <v>F19</v>
      </c>
      <c r="G38" s="62" t="str">
        <f>IF(LEN(Parameters!$H38)&gt;0,Parameters!$H38&amp;Parameters!$G38,"")</f>
        <v>H19</v>
      </c>
      <c r="H38" s="62" t="str">
        <f>IF(LEN(Parameters!$I38)&gt;0,Parameters!$I38&amp;Parameters!$G38,"")</f>
        <v/>
      </c>
      <c r="I38" s="62" t="str">
        <f>IF(LEN(Parameters!$J38)&gt;0,Parameters!$J38&amp;Parameters!$G38,"")</f>
        <v/>
      </c>
      <c r="J38" s="62">
        <v>5.0</v>
      </c>
      <c r="K38" s="62">
        <v>1.97</v>
      </c>
      <c r="L38" s="62" t="s">
        <v>240</v>
      </c>
      <c r="M38" s="62" t="s">
        <v>240</v>
      </c>
      <c r="N38" s="62">
        <v>1.06</v>
      </c>
      <c r="O38" s="62">
        <v>8.94</v>
      </c>
      <c r="P38" s="62" t="str">
        <f>"The base case value is "&amp;IF(ISNUMBER(Defaults!$J38),ROUND(Defaults!$J38,3),Defaults!$J38)&amp;
IF(LEN(Defaults!$K38)&gt;0,", with a variance of "&amp;ROUND(Defaults!$K38,3)&amp;".","")&amp;
IF(LEN(Defaults!$N38)&gt;0," The limits of the parameter are set at: "&amp;ROUND(Defaults!$N38,2)&amp;"--&gt;"&amp;ROUND(Defaults!$O38,2)&amp;".","")</f>
        <v>The base case value is 5, with a variance of 1,97. The limits of the parameter are set at: 1,06--&gt;8,94.</v>
      </c>
      <c r="Q38" s="72" t="s">
        <v>323</v>
      </c>
      <c r="R38" s="72" t="s">
        <v>324</v>
      </c>
      <c r="S38" s="63"/>
      <c r="T38" s="63"/>
      <c r="U38" s="63"/>
      <c r="V38" s="63"/>
      <c r="W38" s="63"/>
      <c r="X38" s="6"/>
      <c r="Y38" s="6"/>
      <c r="Z38" s="6"/>
      <c r="AA38" s="6"/>
    </row>
    <row r="39" ht="14.25" customHeight="1">
      <c r="A39" s="12"/>
      <c r="B39" s="6"/>
      <c r="C39" s="63">
        <f t="shared" si="1"/>
        <v>33</v>
      </c>
      <c r="D39" s="62" t="str">
        <f>Parameters!$D39</f>
        <v>In-hospital mortality, %</v>
      </c>
      <c r="E39" s="62" t="str">
        <f>Parameters!$E39</f>
        <v>Adverse events</v>
      </c>
      <c r="F39" s="62" t="str">
        <f>Parameters!$F39&amp;Parameters!$G39</f>
        <v>F10</v>
      </c>
      <c r="G39" s="62" t="str">
        <f>IF(LEN(Parameters!$H39)&gt;0,Parameters!$H39&amp;Parameters!$G39,"")</f>
        <v>H10</v>
      </c>
      <c r="H39" s="62" t="str">
        <f>IF(LEN(Parameters!$I39)&gt;0,Parameters!$I39&amp;Parameters!$G39,"")</f>
        <v/>
      </c>
      <c r="I39" s="62" t="str">
        <f>IF(LEN(Parameters!$J39)&gt;0,Parameters!$J39&amp;Parameters!$G39,"")</f>
        <v/>
      </c>
      <c r="J39" s="62">
        <v>2.7</v>
      </c>
      <c r="K39" s="62">
        <v>0.06286597601550309</v>
      </c>
      <c r="L39" s="62" t="s">
        <v>240</v>
      </c>
      <c r="M39" s="62" t="s">
        <v>240</v>
      </c>
      <c r="N39" s="62">
        <v>0.001</v>
      </c>
      <c r="O39" s="62">
        <v>100.0</v>
      </c>
      <c r="P39" s="62" t="str">
        <f>"The base case value is "&amp;IF(ISNUMBER(Defaults!$J39),ROUND(Defaults!$J39,3),Defaults!$J39)&amp;
IF(LEN(Defaults!$K39)&gt;0,", with a variance of "&amp;ROUND(Defaults!$K39,3)&amp;".","")&amp;
IF(LEN(Defaults!$N39)&gt;0," The limits of the parameter are set at: "&amp;ROUND(Defaults!$N39,2)&amp;"--&gt;"&amp;ROUND(Defaults!$O39,2)&amp;".","")</f>
        <v>The base case value is 2,7, with a variance of 0,063. The limits of the parameter are set at: 0--&gt;100.</v>
      </c>
      <c r="Q39" s="72" t="s">
        <v>325</v>
      </c>
      <c r="R39" s="72" t="s">
        <v>254</v>
      </c>
      <c r="S39" s="63"/>
      <c r="T39" s="63"/>
      <c r="U39" s="63"/>
      <c r="V39" s="63"/>
      <c r="W39" s="63"/>
      <c r="X39" s="6"/>
      <c r="Y39" s="6"/>
      <c r="Z39" s="6"/>
      <c r="AA39" s="6"/>
    </row>
    <row r="40" ht="14.25" customHeight="1">
      <c r="A40" s="12"/>
      <c r="B40" s="6"/>
      <c r="C40" s="63">
        <f t="shared" si="1"/>
        <v>34</v>
      </c>
      <c r="D40" s="62" t="str">
        <f>Parameters!$D40</f>
        <v>Mortality after N days</v>
      </c>
      <c r="E40" s="62" t="str">
        <f>Parameters!$E40</f>
        <v>Adverse events</v>
      </c>
      <c r="F40" s="62" t="str">
        <f>Parameters!$F40&amp;Parameters!$G40</f>
        <v>F11</v>
      </c>
      <c r="G40" s="62" t="str">
        <f>IF(LEN(Parameters!$H40)&gt;0,Parameters!$H40&amp;Parameters!$G40,"")</f>
        <v/>
      </c>
      <c r="H40" s="62" t="str">
        <f>IF(LEN(Parameters!$I40)&gt;0,Parameters!$I40&amp;Parameters!$G40,"")</f>
        <v/>
      </c>
      <c r="I40" s="62" t="str">
        <f>IF(LEN(Parameters!$J40)&gt;0,Parameters!$J40&amp;Parameters!$G40,"")</f>
        <v/>
      </c>
      <c r="J40" s="62">
        <v>13.0</v>
      </c>
      <c r="K40" s="62">
        <v>1.0E-4</v>
      </c>
      <c r="L40" s="62" t="s">
        <v>240</v>
      </c>
      <c r="M40" s="62" t="s">
        <v>240</v>
      </c>
      <c r="N40" s="62">
        <v>0.0</v>
      </c>
      <c r="O40" s="62">
        <v>1000.0</v>
      </c>
      <c r="P40" s="62" t="str">
        <f>"The base case value is "&amp;IF(ISNUMBER(Defaults!$J40),ROUND(Defaults!$J40,3),Defaults!$J40)&amp;
IF(LEN(Defaults!$K40)&gt;0,", with a variance of "&amp;ROUND(Defaults!$K40,3)&amp;".","")&amp;
IF(LEN(Defaults!$N40)&gt;0," The limits of the parameter are set at: "&amp;ROUND(Defaults!$N40,2)&amp;"--&gt;"&amp;ROUND(Defaults!$O40,2)&amp;".","")</f>
        <v>The base case value is 13, with a variance of 0. The limits of the parameter are set at: 0--&gt;1000.</v>
      </c>
      <c r="Q40" s="72" t="s">
        <v>327</v>
      </c>
      <c r="R40" s="72" t="s">
        <v>254</v>
      </c>
      <c r="S40" s="63"/>
      <c r="T40" s="63"/>
      <c r="U40" s="63"/>
      <c r="V40" s="63"/>
      <c r="W40" s="63"/>
      <c r="X40" s="6"/>
      <c r="Y40" s="6"/>
      <c r="Z40" s="6"/>
      <c r="AA40" s="6"/>
    </row>
    <row r="41" ht="14.25" customHeight="1">
      <c r="A41" s="6"/>
      <c r="B41" s="6"/>
      <c r="C41" s="63">
        <f t="shared" si="1"/>
        <v>35</v>
      </c>
      <c r="D41" s="62" t="str">
        <f>Parameters!$D41</f>
        <v>Surgical site infections, %</v>
      </c>
      <c r="E41" s="62" t="str">
        <f>Parameters!$E41</f>
        <v>Adverse events</v>
      </c>
      <c r="F41" s="62" t="str">
        <f>Parameters!$F41&amp;Parameters!$G41</f>
        <v>F13</v>
      </c>
      <c r="G41" s="62" t="str">
        <f>IF(LEN(Parameters!$H41)&gt;0,Parameters!$H41&amp;Parameters!$G41,"")</f>
        <v>H13</v>
      </c>
      <c r="H41" s="62" t="str">
        <f>IF(LEN(Parameters!$I41)&gt;0,Parameters!$I41&amp;Parameters!$G41,"")</f>
        <v/>
      </c>
      <c r="I41" s="62" t="str">
        <f>IF(LEN(Parameters!$J41)&gt;0,Parameters!$J41&amp;Parameters!$G41,"")</f>
        <v/>
      </c>
      <c r="J41" s="62">
        <v>5.49</v>
      </c>
      <c r="K41" s="62">
        <v>0.5</v>
      </c>
      <c r="L41" s="62" t="s">
        <v>240</v>
      </c>
      <c r="M41" s="62" t="s">
        <v>240</v>
      </c>
      <c r="N41" s="62">
        <v>0.1</v>
      </c>
      <c r="O41" s="62">
        <v>100.0</v>
      </c>
      <c r="P41" s="62" t="str">
        <f>"The base case value is "&amp;IF(ISNUMBER(Defaults!$J41),ROUND(Defaults!$J41,3),Defaults!$J41)&amp;
IF(LEN(Defaults!$K41)&gt;0,", with a variance of "&amp;ROUND(Defaults!$K41,3)&amp;".","")&amp;
IF(LEN(Defaults!$N41)&gt;0," The limits of the parameter are set at: "&amp;ROUND(Defaults!$N41,2)&amp;"--&gt;"&amp;ROUND(Defaults!$O41,2)&amp;".","")</f>
        <v>The base case value is 5,49, with a variance of 0,5. The limits of the parameter are set at: 0,1--&gt;100.</v>
      </c>
      <c r="Q41" s="72"/>
      <c r="R41" s="72" t="s">
        <v>329</v>
      </c>
      <c r="S41" s="63"/>
      <c r="T41" s="63"/>
      <c r="U41" s="63"/>
      <c r="V41" s="63"/>
      <c r="W41" s="63"/>
      <c r="X41" s="6"/>
      <c r="Y41" s="6"/>
      <c r="Z41" s="6"/>
      <c r="AA41" s="6"/>
    </row>
    <row r="42" ht="14.25" customHeight="1">
      <c r="A42" s="6"/>
      <c r="B42" s="6"/>
      <c r="C42" s="63">
        <f t="shared" si="1"/>
        <v>36</v>
      </c>
      <c r="D42" s="62" t="str">
        <f>Parameters!$D42</f>
        <v>SSI after N days</v>
      </c>
      <c r="E42" s="62" t="str">
        <f>Parameters!$E42</f>
        <v>Adverse events</v>
      </c>
      <c r="F42" s="62" t="str">
        <f>Parameters!$F42&amp;Parameters!$G42</f>
        <v>F14</v>
      </c>
      <c r="G42" s="62" t="str">
        <f>IF(LEN(Parameters!$H42)&gt;0,Parameters!$H42&amp;Parameters!$G42,"")</f>
        <v/>
      </c>
      <c r="H42" s="62" t="str">
        <f>IF(LEN(Parameters!$I42)&gt;0,Parameters!$I42&amp;Parameters!$G42,"")</f>
        <v/>
      </c>
      <c r="I42" s="62" t="str">
        <f>IF(LEN(Parameters!$J42)&gt;0,Parameters!$J42&amp;Parameters!$G42,"")</f>
        <v/>
      </c>
      <c r="J42" s="62">
        <v>90.0</v>
      </c>
      <c r="K42" s="62">
        <v>1.0E-4</v>
      </c>
      <c r="L42" s="62" t="s">
        <v>240</v>
      </c>
      <c r="M42" s="62" t="s">
        <v>240</v>
      </c>
      <c r="N42" s="62">
        <v>1.0</v>
      </c>
      <c r="O42" s="62">
        <v>365.0</v>
      </c>
      <c r="P42" s="62" t="str">
        <f>"The base case value is "&amp;IF(ISNUMBER(Defaults!$J42),ROUND(Defaults!$J42,3),Defaults!$J42)&amp;
IF(LEN(Defaults!$K42)&gt;0,", with a variance of "&amp;ROUND(Defaults!$K42,3)&amp;".","")&amp;
IF(LEN(Defaults!$N42)&gt;0," The limits of the parameter are set at: "&amp;ROUND(Defaults!$N42,2)&amp;"--&gt;"&amp;ROUND(Defaults!$O42,2)&amp;".","")</f>
        <v>The base case value is 90, with a variance of 0. The limits of the parameter are set at: 1--&gt;365.</v>
      </c>
      <c r="Q42" s="72"/>
      <c r="R42" s="72" t="s">
        <v>329</v>
      </c>
      <c r="S42" s="63"/>
      <c r="T42" s="63"/>
      <c r="U42" s="63"/>
      <c r="V42" s="63"/>
      <c r="W42" s="63"/>
      <c r="X42" s="6"/>
      <c r="Y42" s="6"/>
      <c r="Z42" s="6"/>
      <c r="AA42" s="6"/>
    </row>
    <row r="43" ht="14.25" customHeight="1">
      <c r="A43" s="6"/>
      <c r="B43" s="6"/>
      <c r="C43" s="63">
        <f t="shared" si="1"/>
        <v>37</v>
      </c>
      <c r="D43" s="62" t="str">
        <f>Parameters!$D43</f>
        <v>DSWI, % of SSIs</v>
      </c>
      <c r="E43" s="62" t="str">
        <f>Parameters!$E43</f>
        <v>Adverse events</v>
      </c>
      <c r="F43" s="62" t="str">
        <f>Parameters!$F43&amp;Parameters!$G43</f>
        <v>F15</v>
      </c>
      <c r="G43" s="62" t="str">
        <f>IF(LEN(Parameters!$H43)&gt;0,Parameters!$H43&amp;Parameters!$G43,"")</f>
        <v>H15</v>
      </c>
      <c r="H43" s="62" t="str">
        <f>IF(LEN(Parameters!$I43)&gt;0,Parameters!$I43&amp;Parameters!$G43,"")</f>
        <v/>
      </c>
      <c r="I43" s="62" t="str">
        <f>IF(LEN(Parameters!$J43)&gt;0,Parameters!$J43&amp;Parameters!$G43,"")</f>
        <v/>
      </c>
      <c r="J43" s="62">
        <v>40.75</v>
      </c>
      <c r="K43" s="62">
        <v>2.641617508948601</v>
      </c>
      <c r="L43" s="62" t="s">
        <v>240</v>
      </c>
      <c r="M43" s="62" t="s">
        <v>240</v>
      </c>
      <c r="N43" s="62">
        <v>0.0</v>
      </c>
      <c r="O43" s="62">
        <v>100.0</v>
      </c>
      <c r="P43" s="62" t="str">
        <f>"The base case value is "&amp;IF(ISNUMBER(Defaults!$J43),ROUND(Defaults!$J43,3),Defaults!$J43)&amp;
IF(LEN(Defaults!$K43)&gt;0,", with a variance of "&amp;ROUND(Defaults!$K43,3)&amp;".","")&amp;
IF(LEN(Defaults!$N43)&gt;0," The limits of the parameter are set at: "&amp;ROUND(Defaults!$N43,2)&amp;"--&gt;"&amp;ROUND(Defaults!$O43,2)&amp;".","")</f>
        <v>The base case value is 40,75, with a variance of 2,642. The limits of the parameter are set at: 0--&gt;100.</v>
      </c>
      <c r="Q43" s="72" t="s">
        <v>331</v>
      </c>
      <c r="R43" s="72" t="s">
        <v>332</v>
      </c>
      <c r="S43" s="63"/>
      <c r="T43" s="63"/>
      <c r="U43" s="63"/>
      <c r="V43" s="63"/>
      <c r="W43" s="63"/>
      <c r="X43" s="6"/>
      <c r="Y43" s="6"/>
      <c r="Z43" s="6"/>
      <c r="AA43" s="6"/>
    </row>
    <row r="44" ht="14.25" customHeight="1">
      <c r="A44" s="6"/>
      <c r="B44" s="6"/>
      <c r="C44" s="63">
        <f t="shared" si="1"/>
        <v>38</v>
      </c>
      <c r="D44" s="62" t="str">
        <f>Parameters!$D44</f>
        <v>False alarms, N</v>
      </c>
      <c r="E44" s="62" t="str">
        <f>Parameters!$E44</f>
        <v>Adverse events</v>
      </c>
      <c r="F44" s="62" t="str">
        <f>Parameters!$F44&amp;Parameters!$G44</f>
        <v>F18</v>
      </c>
      <c r="G44" s="62" t="str">
        <f>IF(LEN(Parameters!$H44)&gt;0,Parameters!$H44&amp;Parameters!$G44,"")</f>
        <v/>
      </c>
      <c r="H44" s="62" t="str">
        <f>IF(LEN(Parameters!$I44)&gt;0,Parameters!$I44&amp;Parameters!$G44,"")</f>
        <v/>
      </c>
      <c r="I44" s="62" t="str">
        <f>IF(LEN(Parameters!$J44)&gt;0,Parameters!$J44&amp;Parameters!$G44,"")</f>
        <v/>
      </c>
      <c r="J44" s="62">
        <v>97.9</v>
      </c>
      <c r="K44" s="62">
        <v>1.4338409953687303</v>
      </c>
      <c r="L44" s="62" t="s">
        <v>240</v>
      </c>
      <c r="M44" s="62" t="s">
        <v>240</v>
      </c>
      <c r="N44" s="62">
        <v>0.0</v>
      </c>
      <c r="O44" s="62">
        <v>1000.0</v>
      </c>
      <c r="P44" s="62" t="str">
        <f>"The base case value is "&amp;IF(ISNUMBER(Defaults!$J44),ROUND(Defaults!$J44,3),Defaults!$J44)&amp;
IF(LEN(Defaults!$K44)&gt;0,", with a variance of "&amp;ROUND(Defaults!$K44,3)&amp;".","")&amp;
IF(LEN(Defaults!$N44)&gt;0," The limits of the parameter are set at: "&amp;ROUND(Defaults!$N44,2)&amp;"--&gt;"&amp;ROUND(Defaults!$O44,2)&amp;".","")</f>
        <v>The base case value is 97,9, with a variance of 1,434. The limits of the parameter are set at: 0--&gt;1000.</v>
      </c>
      <c r="Q44" s="72" t="s">
        <v>333</v>
      </c>
      <c r="R44" s="72" t="s">
        <v>285</v>
      </c>
      <c r="S44" s="63"/>
      <c r="T44" s="63"/>
      <c r="U44" s="63"/>
      <c r="V44" s="63"/>
      <c r="W44" s="63"/>
      <c r="X44" s="6"/>
      <c r="Y44" s="6"/>
      <c r="Z44" s="6"/>
      <c r="AA44" s="6"/>
    </row>
    <row r="45" ht="14.25" customHeight="1">
      <c r="A45" s="6"/>
      <c r="B45" s="6"/>
      <c r="C45" s="63">
        <f t="shared" si="1"/>
        <v>39</v>
      </c>
      <c r="D45" s="62" t="str">
        <f>Parameters!$D45</f>
        <v>Leads-off alarms, N</v>
      </c>
      <c r="E45" s="62" t="str">
        <f>Parameters!$E45</f>
        <v>Adverse events</v>
      </c>
      <c r="F45" s="62" t="str">
        <f>Parameters!$F45&amp;Parameters!$G45</f>
        <v>F19</v>
      </c>
      <c r="G45" s="62" t="str">
        <f>IF(LEN(Parameters!$H45)&gt;0,Parameters!$H45&amp;Parameters!$G45,"")</f>
        <v/>
      </c>
      <c r="H45" s="62" t="str">
        <f>IF(LEN(Parameters!$I45)&gt;0,Parameters!$I45&amp;Parameters!$G45,"")</f>
        <v/>
      </c>
      <c r="I45" s="62" t="str">
        <f>IF(LEN(Parameters!$J45)&gt;0,Parameters!$J45&amp;Parameters!$G45,"")</f>
        <v/>
      </c>
      <c r="J45" s="62">
        <v>40.9</v>
      </c>
      <c r="K45" s="62">
        <v>4.916492652287808</v>
      </c>
      <c r="L45" s="62" t="s">
        <v>240</v>
      </c>
      <c r="M45" s="62" t="s">
        <v>240</v>
      </c>
      <c r="N45" s="62">
        <v>0.0</v>
      </c>
      <c r="O45" s="62">
        <v>1000.0</v>
      </c>
      <c r="P45" s="62" t="str">
        <f>"The base case value is "&amp;IF(ISNUMBER(Defaults!$J45),ROUND(Defaults!$J45,3),Defaults!$J45)&amp;
IF(LEN(Defaults!$K45)&gt;0,", with a variance of "&amp;ROUND(Defaults!$K45,3)&amp;".","")&amp;
IF(LEN(Defaults!$N45)&gt;0," The limits of the parameter are set at: "&amp;ROUND(Defaults!$N45,2)&amp;"--&gt;"&amp;ROUND(Defaults!$O45,2)&amp;".","")</f>
        <v>The base case value is 40,9, with a variance of 4,916. The limits of the parameter are set at: 0--&gt;1000.</v>
      </c>
      <c r="Q45" s="72" t="s">
        <v>333</v>
      </c>
      <c r="R45" s="72" t="s">
        <v>285</v>
      </c>
      <c r="S45" s="63"/>
      <c r="T45" s="63"/>
      <c r="U45" s="63"/>
      <c r="V45" s="63"/>
      <c r="W45" s="63"/>
      <c r="X45" s="6"/>
      <c r="Y45" s="6"/>
      <c r="Z45" s="6"/>
      <c r="AA45" s="6"/>
    </row>
    <row r="46" ht="14.25" customHeight="1">
      <c r="A46" s="6"/>
      <c r="B46" s="6"/>
      <c r="C46" s="63">
        <f t="shared" si="1"/>
        <v>40</v>
      </c>
      <c r="D46" s="62" t="str">
        <f>Parameters!$D46</f>
        <v>Alarms per N days</v>
      </c>
      <c r="E46" s="62" t="str">
        <f>Parameters!$E46</f>
        <v>Adverse events</v>
      </c>
      <c r="F46" s="62" t="str">
        <f>Parameters!$F46&amp;Parameters!$G46</f>
        <v>F20</v>
      </c>
      <c r="G46" s="62" t="str">
        <f>IF(LEN(Parameters!$H46)&gt;0,Parameters!$H46&amp;Parameters!$G46,"")</f>
        <v/>
      </c>
      <c r="H46" s="62" t="str">
        <f>IF(LEN(Parameters!$I46)&gt;0,Parameters!$I46&amp;Parameters!$G46,"")</f>
        <v/>
      </c>
      <c r="I46" s="62" t="str">
        <f>IF(LEN(Parameters!$J46)&gt;0,Parameters!$J46&amp;Parameters!$G46,"")</f>
        <v/>
      </c>
      <c r="J46" s="62">
        <v>100.0</v>
      </c>
      <c r="K46" s="62">
        <v>1.0E-4</v>
      </c>
      <c r="L46" s="62" t="s">
        <v>240</v>
      </c>
      <c r="M46" s="62" t="s">
        <v>240</v>
      </c>
      <c r="N46" s="62">
        <v>0.0</v>
      </c>
      <c r="O46" s="62">
        <v>1000.0</v>
      </c>
      <c r="P46" s="62" t="str">
        <f>"The base case value is "&amp;IF(ISNUMBER(Defaults!$J46),ROUND(Defaults!$J46,3),Defaults!$J46)&amp;
IF(LEN(Defaults!$K46)&gt;0,", with a variance of "&amp;ROUND(Defaults!$K46,3)&amp;".","")&amp;
IF(LEN(Defaults!$N46)&gt;0," The limits of the parameter are set at: "&amp;ROUND(Defaults!$N46,2)&amp;"--&gt;"&amp;ROUND(Defaults!$O46,2)&amp;".","")</f>
        <v>The base case value is 100, with a variance of 0. The limits of the parameter are set at: 0--&gt;1000.</v>
      </c>
      <c r="Q46" s="72" t="s">
        <v>336</v>
      </c>
      <c r="R46" s="72" t="s">
        <v>285</v>
      </c>
      <c r="S46" s="63"/>
      <c r="T46" s="63"/>
      <c r="U46" s="63"/>
      <c r="V46" s="63"/>
      <c r="W46" s="63"/>
      <c r="X46" s="6"/>
      <c r="Y46" s="6"/>
      <c r="Z46" s="6"/>
      <c r="AA46" s="6"/>
    </row>
    <row r="47" ht="14.25" customHeight="1">
      <c r="A47" s="6"/>
      <c r="B47" s="6"/>
      <c r="C47" s="63">
        <f t="shared" si="1"/>
        <v>41</v>
      </c>
      <c r="D47" s="62" t="str">
        <f>Parameters!$D47</f>
        <v>Age, life expectancy</v>
      </c>
      <c r="E47" s="62" t="str">
        <f>Parameters!$E47</f>
        <v>Risk factors</v>
      </c>
      <c r="F47" s="62" t="str">
        <f>Parameters!$F47&amp;Parameters!$G47</f>
        <v>F11</v>
      </c>
      <c r="G47" s="62" t="str">
        <f>IF(LEN(Parameters!$H47)&gt;0,Parameters!$H47&amp;Parameters!$G47,"")</f>
        <v/>
      </c>
      <c r="H47" s="62" t="str">
        <f>IF(LEN(Parameters!$I47)&gt;0,Parameters!$I47&amp;Parameters!$G47,"")</f>
        <v/>
      </c>
      <c r="I47" s="62" t="str">
        <f>IF(LEN(Parameters!$J47)&gt;0,Parameters!$J47&amp;Parameters!$G47,"")</f>
        <v/>
      </c>
      <c r="J47" s="62" t="s">
        <v>99</v>
      </c>
      <c r="K47" s="62" t="s">
        <v>240</v>
      </c>
      <c r="L47" s="62" t="s">
        <v>240</v>
      </c>
      <c r="M47" s="62" t="s">
        <v>240</v>
      </c>
      <c r="N47" s="62" t="s">
        <v>240</v>
      </c>
      <c r="O47" s="62" t="s">
        <v>240</v>
      </c>
      <c r="P47" s="62" t="str">
        <f>"The base case value is "&amp;IF(ISNUMBER(Defaults!$J47),ROUND(Defaults!$J47,3),Defaults!$J47)&amp;
IF(LEN(Defaults!$K47)&gt;0,", with a variance of "&amp;ROUND(Defaults!$K47,3)&amp;".","")&amp;
IF(LEN(Defaults!$N47)&gt;0," The limits of the parameter are set at: "&amp;ROUND(Defaults!$N47,2)&amp;"--&gt;"&amp;ROUND(Defaults!$O47,2)&amp;".","")</f>
        <v>The base case value is Life tables</v>
      </c>
      <c r="Q47" s="72" t="s">
        <v>337</v>
      </c>
      <c r="R47" s="75" t="s">
        <v>338</v>
      </c>
      <c r="S47" s="63"/>
      <c r="T47" s="63"/>
      <c r="U47" s="63"/>
      <c r="V47" s="63"/>
      <c r="W47" s="63"/>
      <c r="X47" s="6"/>
      <c r="Y47" s="6"/>
      <c r="Z47" s="6"/>
      <c r="AA47" s="6"/>
    </row>
    <row r="48" ht="14.25" customHeight="1">
      <c r="A48" s="6"/>
      <c r="B48" s="6"/>
      <c r="C48" s="63">
        <f t="shared" si="1"/>
        <v>42</v>
      </c>
      <c r="D48" s="62" t="str">
        <f>Parameters!$D48</f>
        <v>Gender, life expectancy</v>
      </c>
      <c r="E48" s="62" t="str">
        <f>Parameters!$E48</f>
        <v>Risk factors</v>
      </c>
      <c r="F48" s="62" t="str">
        <f>Parameters!$F48&amp;Parameters!$G48</f>
        <v>F14</v>
      </c>
      <c r="G48" s="62" t="str">
        <f>IF(LEN(Parameters!$H48)&gt;0,Parameters!$H48&amp;Parameters!$G48,"")</f>
        <v/>
      </c>
      <c r="H48" s="62" t="str">
        <f>IF(LEN(Parameters!$I48)&gt;0,Parameters!$I48&amp;Parameters!$G48,"")</f>
        <v/>
      </c>
      <c r="I48" s="62" t="str">
        <f>IF(LEN(Parameters!$J48)&gt;0,Parameters!$J48&amp;Parameters!$G48,"")</f>
        <v/>
      </c>
      <c r="J48" s="62" t="s">
        <v>99</v>
      </c>
      <c r="K48" s="62" t="s">
        <v>240</v>
      </c>
      <c r="L48" s="62" t="s">
        <v>240</v>
      </c>
      <c r="M48" s="62" t="s">
        <v>240</v>
      </c>
      <c r="N48" s="62" t="s">
        <v>240</v>
      </c>
      <c r="O48" s="62" t="s">
        <v>240</v>
      </c>
      <c r="P48" s="62" t="str">
        <f>"The base case value is "&amp;IF(ISNUMBER(Defaults!$J48),ROUND(Defaults!$J48,3),Defaults!$J48)&amp;
IF(LEN(Defaults!$K48)&gt;0,", with a variance of "&amp;ROUND(Defaults!$K48,3)&amp;".","")&amp;
IF(LEN(Defaults!$N48)&gt;0," The limits of the parameter are set at: "&amp;ROUND(Defaults!$N48,2)&amp;"--&gt;"&amp;ROUND(Defaults!$O48,2)&amp;".","")</f>
        <v>The base case value is Life tables</v>
      </c>
      <c r="Q48" s="72" t="s">
        <v>340</v>
      </c>
      <c r="R48" s="75" t="s">
        <v>338</v>
      </c>
      <c r="S48" s="63"/>
      <c r="T48" s="63"/>
      <c r="U48" s="63"/>
      <c r="V48" s="63"/>
      <c r="W48" s="63"/>
      <c r="X48" s="6"/>
      <c r="Y48" s="6"/>
      <c r="Z48" s="6"/>
      <c r="AA48" s="6"/>
    </row>
    <row r="49" ht="14.25" customHeight="1">
      <c r="A49" s="6"/>
      <c r="B49" s="6"/>
      <c r="C49" s="63">
        <f t="shared" si="1"/>
        <v>43</v>
      </c>
      <c r="D49" s="62" t="str">
        <f>Parameters!$D49</f>
        <v>Length of stay in ICU, BMI</v>
      </c>
      <c r="E49" s="62" t="str">
        <f>Parameters!$E49</f>
        <v>Risk factors</v>
      </c>
      <c r="F49" s="62" t="str">
        <f>Parameters!$F49&amp;Parameters!$G49</f>
        <v>F17</v>
      </c>
      <c r="G49" s="62" t="str">
        <f>IF(LEN(Parameters!$H49)&gt;0,Parameters!$H49&amp;Parameters!$G49,"")</f>
        <v/>
      </c>
      <c r="H49" s="62" t="str">
        <f>IF(LEN(Parameters!$I49)&gt;0,Parameters!$I49&amp;Parameters!$G49,"")</f>
        <v>I17</v>
      </c>
      <c r="I49" s="62" t="str">
        <f>IF(LEN(Parameters!$J49)&gt;0,Parameters!$J49&amp;Parameters!$G49,"")</f>
        <v>J17</v>
      </c>
      <c r="J49" s="62">
        <v>4.0</v>
      </c>
      <c r="K49" s="62">
        <v>5.1020408163265305</v>
      </c>
      <c r="L49" s="62">
        <v>2.0</v>
      </c>
      <c r="M49" s="62">
        <v>22.0</v>
      </c>
      <c r="N49" s="62">
        <v>1.6</v>
      </c>
      <c r="O49" s="62">
        <v>22.4</v>
      </c>
      <c r="P49" s="62" t="str">
        <f>"The base case value is "&amp;IF(ISNUMBER(Defaults!$J49),ROUND(Defaults!$J49,3),Defaults!$J49)&amp;
IF(LEN(Defaults!$K49)&gt;0,", with a variance of "&amp;ROUND(Defaults!$K49,3)&amp;".","")&amp;
IF(LEN(Defaults!$N49)&gt;0," The limits of the parameter are set at: "&amp;ROUND(Defaults!$N49,2)&amp;"--&gt;"&amp;ROUND(Defaults!$O49,2)&amp;".","")</f>
        <v>The base case value is 4, with a variance of 5,102. The limits of the parameter are set at: 1,6--&gt;22,4.</v>
      </c>
      <c r="Q49" s="72" t="s">
        <v>259</v>
      </c>
      <c r="R49" s="72" t="s">
        <v>260</v>
      </c>
      <c r="S49" s="63"/>
      <c r="T49" s="63"/>
      <c r="U49" s="63"/>
      <c r="V49" s="63"/>
      <c r="W49" s="63"/>
      <c r="X49" s="6"/>
      <c r="Y49" s="6"/>
      <c r="Z49" s="6"/>
      <c r="AA49" s="6"/>
    </row>
    <row r="50" ht="14.25" customHeight="1">
      <c r="A50" s="6"/>
      <c r="B50" s="6"/>
      <c r="C50" s="63">
        <f t="shared" si="1"/>
        <v>44</v>
      </c>
      <c r="D50" s="62" t="str">
        <f>Parameters!$D50</f>
        <v>DSWI, BMI</v>
      </c>
      <c r="E50" s="62" t="str">
        <f>Parameters!$E50</f>
        <v>Risk factors</v>
      </c>
      <c r="F50" s="62" t="str">
        <f>Parameters!$F50&amp;Parameters!$G50</f>
        <v>F18</v>
      </c>
      <c r="G50" s="62" t="str">
        <f>IF(LEN(Parameters!$H50)&gt;0,Parameters!$H50&amp;Parameters!$G50,"")</f>
        <v/>
      </c>
      <c r="H50" s="62" t="str">
        <f>IF(LEN(Parameters!$I50)&gt;0,Parameters!$I50&amp;Parameters!$G50,"")</f>
        <v>I18</v>
      </c>
      <c r="I50" s="62" t="str">
        <f>IF(LEN(Parameters!$J50)&gt;0,Parameters!$J50&amp;Parameters!$G50,"")</f>
        <v>J18</v>
      </c>
      <c r="J50" s="62">
        <v>6.45</v>
      </c>
      <c r="K50" s="62">
        <v>0.4043809414373646</v>
      </c>
      <c r="L50" s="62">
        <v>2.92</v>
      </c>
      <c r="M50" s="62">
        <v>14.25</v>
      </c>
      <c r="N50" s="62">
        <v>2.275</v>
      </c>
      <c r="O50" s="62">
        <v>14.895</v>
      </c>
      <c r="P50" s="62" t="str">
        <f>"The base case value is "&amp;IF(ISNUMBER(Defaults!$J50),ROUND(Defaults!$J50,3),Defaults!$J50)&amp;
IF(LEN(Defaults!$K50)&gt;0,", with a variance of "&amp;ROUND(Defaults!$K50,3)&amp;".","")&amp;
IF(LEN(Defaults!$N50)&gt;0," The limits of the parameter are set at: "&amp;ROUND(Defaults!$N50,2)&amp;"--&gt;"&amp;ROUND(Defaults!$O50,2)&amp;".","")</f>
        <v>The base case value is 6,45, with a variance of 0,404. The limits of the parameter are set at: 2,28--&gt;14,9.</v>
      </c>
      <c r="Q50" s="72" t="s">
        <v>259</v>
      </c>
      <c r="R50" s="72" t="s">
        <v>260</v>
      </c>
      <c r="S50" s="63"/>
      <c r="T50" s="63"/>
      <c r="U50" s="63"/>
      <c r="V50" s="63"/>
      <c r="W50" s="63"/>
      <c r="X50" s="6"/>
      <c r="Y50" s="6"/>
      <c r="Z50" s="6"/>
      <c r="AA50" s="6"/>
    </row>
    <row r="51" ht="14.25" customHeight="1">
      <c r="A51" s="6"/>
      <c r="B51" s="6"/>
      <c r="C51" s="63">
        <f t="shared" si="1"/>
        <v>45</v>
      </c>
      <c r="D51" s="62" t="str">
        <f>Parameters!$D51</f>
        <v>Prolonged MV, BMI</v>
      </c>
      <c r="E51" s="62" t="str">
        <f>Parameters!$E51</f>
        <v>Risk factors</v>
      </c>
      <c r="F51" s="62" t="str">
        <f>Parameters!$F51&amp;Parameters!$G51</f>
        <v>F19</v>
      </c>
      <c r="G51" s="62" t="str">
        <f>IF(LEN(Parameters!$H51)&gt;0,Parameters!$H51&amp;Parameters!$G51,"")</f>
        <v/>
      </c>
      <c r="H51" s="62" t="str">
        <f>IF(LEN(Parameters!$I51)&gt;0,Parameters!$I51&amp;Parameters!$G51,"")</f>
        <v>I19</v>
      </c>
      <c r="I51" s="62" t="str">
        <f>IF(LEN(Parameters!$J51)&gt;0,Parameters!$J51&amp;Parameters!$G51,"")</f>
        <v>J19</v>
      </c>
      <c r="J51" s="62">
        <v>1.73</v>
      </c>
      <c r="K51" s="62">
        <v>0.102234494150702</v>
      </c>
      <c r="L51" s="62">
        <v>1.42</v>
      </c>
      <c r="M51" s="62">
        <v>2.12</v>
      </c>
      <c r="N51" s="62">
        <v>1.2469999999999999</v>
      </c>
      <c r="O51" s="62">
        <v>2.293</v>
      </c>
      <c r="P51" s="62" t="str">
        <f>"The base case value is "&amp;IF(ISNUMBER(Defaults!$J51),ROUND(Defaults!$J51,3),Defaults!$J51)&amp;
IF(LEN(Defaults!$K51)&gt;0,", with a variance of "&amp;ROUND(Defaults!$K51,3)&amp;".","")&amp;
IF(LEN(Defaults!$N51)&gt;0," The limits of the parameter are set at: "&amp;ROUND(Defaults!$N51,2)&amp;"--&gt;"&amp;ROUND(Defaults!$O51,2)&amp;".","")</f>
        <v>The base case value is 1,73, with a variance of 0,102. The limits of the parameter are set at: 1,25--&gt;2,29.</v>
      </c>
      <c r="Q51" s="72" t="s">
        <v>259</v>
      </c>
      <c r="R51" s="72" t="s">
        <v>260</v>
      </c>
      <c r="S51" s="63"/>
      <c r="T51" s="63"/>
      <c r="U51" s="63"/>
      <c r="V51" s="63"/>
      <c r="W51" s="63"/>
      <c r="X51" s="6"/>
      <c r="Y51" s="6"/>
      <c r="Z51" s="6"/>
      <c r="AA51" s="6"/>
    </row>
    <row r="52" ht="14.25" customHeight="1">
      <c r="A52" s="6"/>
      <c r="B52" s="6"/>
      <c r="C52" s="63">
        <f t="shared" si="1"/>
        <v>46</v>
      </c>
      <c r="D52" s="62" t="str">
        <f>Parameters!$D52</f>
        <v>Hospital mortality, BMI</v>
      </c>
      <c r="E52" s="62" t="str">
        <f>Parameters!$E52</f>
        <v>Risk factors</v>
      </c>
      <c r="F52" s="62" t="str">
        <f>Parameters!$F52&amp;Parameters!$G52</f>
        <v>F20</v>
      </c>
      <c r="G52" s="62" t="str">
        <f>IF(LEN(Parameters!$H52)&gt;0,Parameters!$H52&amp;Parameters!$G52,"")</f>
        <v/>
      </c>
      <c r="H52" s="62" t="str">
        <f>IF(LEN(Parameters!$I52)&gt;0,Parameters!$I52&amp;Parameters!$G52,"")</f>
        <v>I20</v>
      </c>
      <c r="I52" s="62" t="str">
        <f>IF(LEN(Parameters!$J52)&gt;0,Parameters!$J52&amp;Parameters!$G52,"")</f>
        <v>J20</v>
      </c>
      <c r="J52" s="62">
        <v>1.64</v>
      </c>
      <c r="K52" s="62">
        <v>0.1823095371890074</v>
      </c>
      <c r="L52" s="62">
        <v>1.15</v>
      </c>
      <c r="M52" s="62">
        <v>2.35</v>
      </c>
      <c r="N52" s="62">
        <v>0.986</v>
      </c>
      <c r="O52" s="62">
        <v>2.5140000000000002</v>
      </c>
      <c r="P52" s="62" t="str">
        <f>"The base case value is "&amp;IF(ISNUMBER(Defaults!$J52),ROUND(Defaults!$J52,3),Defaults!$J52)&amp;
IF(LEN(Defaults!$K52)&gt;0,", with a variance of "&amp;ROUND(Defaults!$K52,3)&amp;".","")&amp;
IF(LEN(Defaults!$N52)&gt;0," The limits of the parameter are set at: "&amp;ROUND(Defaults!$N52,2)&amp;"--&gt;"&amp;ROUND(Defaults!$O52,2)&amp;".","")</f>
        <v>The base case value is 1,64, with a variance of 0,182. The limits of the parameter are set at: 0,99--&gt;2,51.</v>
      </c>
      <c r="Q52" s="72" t="s">
        <v>259</v>
      </c>
      <c r="R52" s="72" t="s">
        <v>260</v>
      </c>
      <c r="S52" s="63"/>
      <c r="T52" s="63"/>
      <c r="U52" s="63"/>
      <c r="V52" s="63"/>
      <c r="W52" s="63"/>
      <c r="X52" s="6"/>
      <c r="Y52" s="6"/>
      <c r="Z52" s="6"/>
      <c r="AA52" s="6"/>
    </row>
    <row r="53" ht="14.25" customHeight="1">
      <c r="A53" s="6"/>
      <c r="B53" s="6"/>
      <c r="C53" s="63">
        <f t="shared" si="1"/>
        <v>47</v>
      </c>
      <c r="D53" s="62" t="str">
        <f>Parameters!$D53</f>
        <v>Risk when BMI over N kg/m2</v>
      </c>
      <c r="E53" s="62" t="str">
        <f>Parameters!$E53</f>
        <v>Risk factors</v>
      </c>
      <c r="F53" s="62" t="str">
        <f>Parameters!$F53&amp;Parameters!$G53</f>
        <v>F21</v>
      </c>
      <c r="G53" s="62" t="str">
        <f>IF(LEN(Parameters!$H53)&gt;0,Parameters!$H53&amp;Parameters!$G53,"")</f>
        <v/>
      </c>
      <c r="H53" s="62"/>
      <c r="I53" s="62"/>
      <c r="J53" s="62" t="s">
        <v>115</v>
      </c>
      <c r="K53" s="62" t="s">
        <v>240</v>
      </c>
      <c r="L53" s="62"/>
      <c r="M53" s="62"/>
      <c r="N53" s="62"/>
      <c r="O53" s="62"/>
      <c r="P53" s="62" t="str">
        <f>"The base case value is "&amp;IF(ISNUMBER(Defaults!$J53),ROUND(Defaults!$J53,3),Defaults!$J53)&amp;
IF(LEN(Defaults!$K53)&gt;0,", with a variance of "&amp;ROUND(Defaults!$K53,3)&amp;".","")&amp;
IF(LEN(Defaults!$N53)&gt;0," The limits of the parameter are set at: "&amp;ROUND(Defaults!$N53,2)&amp;"--&gt;"&amp;ROUND(Defaults!$O53,2)&amp;".","")</f>
        <v>The base case value is Morbidly obese</v>
      </c>
      <c r="Q53" s="72" t="s">
        <v>259</v>
      </c>
      <c r="R53" s="72" t="s">
        <v>260</v>
      </c>
      <c r="S53" s="63"/>
      <c r="T53" s="63"/>
      <c r="U53" s="63"/>
      <c r="V53" s="63"/>
      <c r="W53" s="63"/>
      <c r="X53" s="6"/>
      <c r="Y53" s="6"/>
      <c r="Z53" s="6"/>
      <c r="AA53" s="6"/>
    </row>
    <row r="54" ht="14.25" customHeight="1">
      <c r="A54" s="6"/>
      <c r="B54" s="6"/>
      <c r="C54" s="63">
        <f t="shared" si="1"/>
        <v>48</v>
      </c>
      <c r="D54" s="62" t="str">
        <f>Parameters!$D54</f>
        <v>Diabetes, DSWI</v>
      </c>
      <c r="E54" s="62" t="str">
        <f>Parameters!$E54</f>
        <v>Risk factors</v>
      </c>
      <c r="F54" s="62" t="str">
        <f>Parameters!$F54&amp;Parameters!$G54</f>
        <v>F24</v>
      </c>
      <c r="G54" s="62" t="str">
        <f>IF(LEN(Parameters!$H54)&gt;0,Parameters!$H54&amp;Parameters!$G54,"")</f>
        <v/>
      </c>
      <c r="H54" s="62" t="str">
        <f>IF(LEN(Parameters!$I54)&gt;0,Parameters!$I54&amp;Parameters!$G54,"")</f>
        <v>I24</v>
      </c>
      <c r="I54" s="62" t="str">
        <f>IF(LEN(Parameters!$J54)&gt;0,Parameters!$J54&amp;Parameters!$G54,"")</f>
        <v>J24</v>
      </c>
      <c r="J54" s="62">
        <v>1.71</v>
      </c>
      <c r="K54" s="62">
        <v>0.20408163265306123</v>
      </c>
      <c r="L54" s="62">
        <v>1.36</v>
      </c>
      <c r="M54" s="62">
        <v>2.16</v>
      </c>
      <c r="N54" s="62">
        <v>1.189</v>
      </c>
      <c r="O54" s="62">
        <v>2.331</v>
      </c>
      <c r="P54" s="62" t="str">
        <f>"The base case value is "&amp;IF(ISNUMBER(Defaults!$J54),ROUND(Defaults!$J54,3),Defaults!$J54)&amp;
IF(LEN(Defaults!$K54)&gt;0,", with a variance of "&amp;ROUND(Defaults!$K54,3)&amp;".","")&amp;
IF(LEN(Defaults!$N54)&gt;0," The limits of the parameter are set at: "&amp;ROUND(Defaults!$N54,2)&amp;"--&gt;"&amp;ROUND(Defaults!$O54,2)&amp;".","")</f>
        <v>The base case value is 1,71, with a variance of 0,204. The limits of the parameter are set at: 1,19--&gt;2,33.</v>
      </c>
      <c r="Q54" s="72" t="s">
        <v>344</v>
      </c>
      <c r="R54" s="72" t="s">
        <v>292</v>
      </c>
      <c r="S54" s="63"/>
      <c r="T54" s="63"/>
      <c r="U54" s="63"/>
      <c r="V54" s="63"/>
      <c r="W54" s="63"/>
      <c r="X54" s="6"/>
      <c r="Y54" s="6"/>
      <c r="Z54" s="6"/>
      <c r="AA54" s="6"/>
    </row>
    <row r="55" ht="14.25" customHeight="1">
      <c r="A55" s="6"/>
      <c r="B55" s="6"/>
      <c r="C55" s="63">
        <f t="shared" si="1"/>
        <v>49</v>
      </c>
      <c r="D55" s="62" t="str">
        <f>Parameters!$D55</f>
        <v>CABG</v>
      </c>
      <c r="E55" s="62" t="str">
        <f>Parameters!$E55</f>
        <v>Costs</v>
      </c>
      <c r="F55" s="62" t="str">
        <f>Parameters!$F55&amp;Parameters!$G55</f>
        <v>F10</v>
      </c>
      <c r="G55" s="62" t="str">
        <f>IF(LEN(Parameters!$H55)&gt;0,Parameters!$H55&amp;Parameters!$G55,"")</f>
        <v>H10</v>
      </c>
      <c r="H55" s="62" t="str">
        <f>IF(LEN(Parameters!$I55)&gt;0,Parameters!$I55&amp;Parameters!$G55,"")</f>
        <v/>
      </c>
      <c r="I55" s="62" t="str">
        <f>IF(LEN(Parameters!$J55)&gt;0,Parameters!$J55&amp;Parameters!$G55,"")</f>
        <v/>
      </c>
      <c r="J55" s="62">
        <f>ROUND(Defaults!$S55/VLOOKUP(Defaults!$T55,Inflation,3,FALSE)*VLOOKUP($C$5,Inflation,3,FALSE),2)</f>
        <v>10244.05</v>
      </c>
      <c r="K55" s="62">
        <f>ROUND(Defaults!$U55/VLOOKUP(Defaults!$T55,Inflation,3,FALSE)*VLOOKUP($C$5,Inflation,3,FALSE),2)</f>
        <v>2663.69</v>
      </c>
      <c r="L55" s="62" t="str">
        <f>Parameters!$N55</f>
        <v/>
      </c>
      <c r="M55" s="62" t="str">
        <f>Parameters!$O55</f>
        <v/>
      </c>
      <c r="N55" s="62">
        <f>IF(LEN(Parameters!$R55)&gt;0,Parameters!$R55,"")</f>
        <v>0</v>
      </c>
      <c r="O55" s="62">
        <f>IF(LEN(Parameters!$S55)&gt;0,Parameters!$S55,"")</f>
        <v>50000</v>
      </c>
      <c r="P55" s="62" t="str">
        <f>"The base case value is "&amp;IF(ISNUMBER(Defaults!$J55),ROUND(Defaults!$J55,3),Defaults!$J55)&amp;
IF(LEN(Defaults!$K55)&gt;0,", with a variance of "&amp;ROUND(Defaults!$K55,3)&amp;".","")&amp;
IF(LEN(Defaults!$N55)&gt;0," The limits of the parameter are set at: "&amp;ROUND(Defaults!$N55,2)&amp;"--&gt;"&amp;ROUND(Defaults!$O55,2)&amp;".","")</f>
        <v>The base case value is 10244,05, with a variance of 2663,69. The limits of the parameter are set at: 0--&gt;50000.</v>
      </c>
      <c r="Q55" s="72" t="s">
        <v>346</v>
      </c>
      <c r="R55" s="72" t="s">
        <v>347</v>
      </c>
      <c r="S55" s="63">
        <v>8580.0</v>
      </c>
      <c r="T55" s="63">
        <v>2010.0</v>
      </c>
      <c r="U55" s="63">
        <v>2231.0</v>
      </c>
      <c r="V55" s="63"/>
      <c r="W55" s="63"/>
      <c r="X55" s="6"/>
      <c r="Y55" s="6"/>
      <c r="Z55" s="6"/>
      <c r="AA55" s="6"/>
    </row>
    <row r="56" ht="14.25" customHeight="1">
      <c r="A56" s="6"/>
      <c r="B56" s="6"/>
      <c r="C56" s="63">
        <f t="shared" si="1"/>
        <v>50</v>
      </c>
      <c r="D56" s="62" t="str">
        <f>Parameters!$D56</f>
        <v>Mechanical ventilation</v>
      </c>
      <c r="E56" s="62" t="str">
        <f>Parameters!$E56</f>
        <v>Costs</v>
      </c>
      <c r="F56" s="62" t="str">
        <f>Parameters!$F56&amp;Parameters!$G56</f>
        <v>F11</v>
      </c>
      <c r="G56" s="62" t="str">
        <f>IF(LEN(Parameters!$H56)&gt;0,Parameters!$H56&amp;Parameters!$G56,"")</f>
        <v/>
      </c>
      <c r="H56" s="62" t="str">
        <f>IF(LEN(Parameters!$I56)&gt;0,Parameters!$I56&amp;Parameters!$G56,"")</f>
        <v>I11</v>
      </c>
      <c r="I56" s="62" t="str">
        <f>IF(LEN(Parameters!$J56)&gt;0,Parameters!$J56&amp;Parameters!$G56,"")</f>
        <v>J11</v>
      </c>
      <c r="J56" s="62">
        <f>ROUND(Defaults!$S56/VLOOKUP(Defaults!$T56,Inflation,3,FALSE)*VLOOKUP($C$5,Inflation,3,FALSE),2)</f>
        <v>755.75</v>
      </c>
      <c r="K56" s="62">
        <f>Parameters!$P56</f>
        <v>177.4923469</v>
      </c>
      <c r="L56" s="62">
        <f>ROUND($V56/VLOOKUP($T56,Inflation,3,FALSE)*VLOOKUP($C$5,Inflation,3,FALSE),2)</f>
        <v>210.48</v>
      </c>
      <c r="M56" s="62">
        <f>ROUND($W56/VLOOKUP($T56,Inflation,3,FALSE)*VLOOKUP($C$5,Inflation,3,FALSE),2)</f>
        <v>906.25</v>
      </c>
      <c r="N56" s="62">
        <f>IF(LEN(Parameters!$R56)&gt;0,Parameters!$R56,"")</f>
        <v>134.905</v>
      </c>
      <c r="O56" s="62">
        <f>IF(LEN(Parameters!$S56)&gt;0,Parameters!$S56,"")</f>
        <v>981.825</v>
      </c>
      <c r="P56" s="62" t="str">
        <f>"The base case value is "&amp;IF(ISNUMBER(Defaults!$J56),ROUND(Defaults!$J56,3),Defaults!$J56)&amp;
IF(LEN(Defaults!$K56)&gt;0,", with a variance of "&amp;ROUND(Defaults!$K56,3)&amp;".","")&amp;
IF(LEN(Defaults!$N56)&gt;0," The limits of the parameter are set at: "&amp;ROUND(Defaults!$N56,2)&amp;"--&gt;"&amp;ROUND(Defaults!$O56,2)&amp;".","")</f>
        <v>The base case value is 755,75, with a variance of 177,492. The limits of the parameter are set at: 134,91--&gt;981,83.</v>
      </c>
      <c r="Q56" s="72" t="s">
        <v>349</v>
      </c>
      <c r="R56" s="72" t="s">
        <v>350</v>
      </c>
      <c r="S56" s="63">
        <v>693.0</v>
      </c>
      <c r="T56" s="63">
        <v>2013.0</v>
      </c>
      <c r="U56" s="63"/>
      <c r="V56" s="63">
        <v>193.0</v>
      </c>
      <c r="W56" s="63">
        <v>831.0</v>
      </c>
      <c r="X56" s="6"/>
      <c r="Y56" s="6"/>
      <c r="Z56" s="6"/>
      <c r="AA56" s="6"/>
    </row>
    <row r="57" ht="14.25" customHeight="1">
      <c r="A57" s="6"/>
      <c r="B57" s="6"/>
      <c r="C57" s="63">
        <f t="shared" si="1"/>
        <v>51</v>
      </c>
      <c r="D57" s="62" t="str">
        <f>Parameters!$D57</f>
        <v>ICU per day</v>
      </c>
      <c r="E57" s="62" t="str">
        <f>Parameters!$E57</f>
        <v>Costs</v>
      </c>
      <c r="F57" s="62" t="str">
        <f>Parameters!$F57&amp;Parameters!$G57</f>
        <v>F12</v>
      </c>
      <c r="G57" s="62" t="str">
        <f>IF(LEN(Parameters!$H57)&gt;0,Parameters!$H57&amp;Parameters!$G57,"")</f>
        <v/>
      </c>
      <c r="H57" s="62" t="str">
        <f>IF(LEN(Parameters!$I57)&gt;0,Parameters!$I57&amp;Parameters!$G57,"")</f>
        <v>I12</v>
      </c>
      <c r="I57" s="62" t="str">
        <f>IF(LEN(Parameters!$J57)&gt;0,Parameters!$J57&amp;Parameters!$G57,"")</f>
        <v>J12</v>
      </c>
      <c r="J57" s="62">
        <f>ROUND(Defaults!$S57/VLOOKUP(Defaults!$T57,Inflation,3,FALSE)*VLOOKUP($C$5,Inflation,3,FALSE),2)</f>
        <v>2535.52</v>
      </c>
      <c r="K57" s="62">
        <f>Parameters!$P57</f>
        <v>221.7270408</v>
      </c>
      <c r="L57" s="62">
        <f>ROUND($V57/VLOOKUP($T57,Inflation,3,FALSE)*VLOOKUP($C$5,Inflation,3,FALSE),2)</f>
        <v>2197.45</v>
      </c>
      <c r="M57" s="62">
        <f>ROUND($W57/VLOOKUP($T57,Inflation,3,FALSE)*VLOOKUP($C$5,Inflation,3,FALSE),2)</f>
        <v>3066.62</v>
      </c>
      <c r="N57" s="62">
        <f>IF(LEN(Parameters!$R57)&gt;0,Parameters!$R57,"")</f>
        <v>1943.898</v>
      </c>
      <c r="O57" s="62">
        <f>IF(LEN(Parameters!$S57)&gt;0,Parameters!$S57,"")</f>
        <v>3320.172</v>
      </c>
      <c r="P57" s="62" t="str">
        <f>"The base case value is "&amp;IF(ISNUMBER(Defaults!$J57),ROUND(Defaults!$J57,3),Defaults!$J57)&amp;
IF(LEN(Defaults!$K57)&gt;0,", with a variance of "&amp;ROUND(Defaults!$K57,3)&amp;".","")&amp;
IF(LEN(Defaults!$N57)&gt;0," The limits of the parameter are set at: "&amp;ROUND(Defaults!$N57,2)&amp;"--&gt;"&amp;ROUND(Defaults!$O57,2)&amp;".","")</f>
        <v>The base case value is 2535,52, with a variance of 221,727. The limits of the parameter are set at: 1943,9--&gt;3320,17.</v>
      </c>
      <c r="Q57" s="72" t="s">
        <v>352</v>
      </c>
      <c r="R57" s="72" t="s">
        <v>350</v>
      </c>
      <c r="S57" s="63">
        <v>2325.0</v>
      </c>
      <c r="T57" s="63">
        <v>2013.0</v>
      </c>
      <c r="U57" s="63"/>
      <c r="V57" s="63">
        <v>2015.0</v>
      </c>
      <c r="W57" s="63">
        <v>2812.0</v>
      </c>
      <c r="X57" s="6"/>
      <c r="Y57" s="6"/>
      <c r="Z57" s="6"/>
      <c r="AA57" s="6"/>
    </row>
    <row r="58" ht="14.25" customHeight="1">
      <c r="A58" s="6"/>
      <c r="B58" s="6"/>
      <c r="C58" s="63">
        <f t="shared" si="1"/>
        <v>52</v>
      </c>
      <c r="D58" s="62" t="str">
        <f>Parameters!$D58</f>
        <v>General ward per day</v>
      </c>
      <c r="E58" s="62" t="str">
        <f>Parameters!$E58</f>
        <v>Costs</v>
      </c>
      <c r="F58" s="62" t="str">
        <f>Parameters!$F58&amp;Parameters!$G58</f>
        <v>F13</v>
      </c>
      <c r="G58" s="62" t="str">
        <f>IF(LEN(Parameters!$H58)&gt;0,Parameters!$H58&amp;Parameters!$G58,"")</f>
        <v>H13</v>
      </c>
      <c r="H58" s="62" t="str">
        <f>IF(LEN(Parameters!$I58)&gt;0,Parameters!$I58&amp;Parameters!$G58,"")</f>
        <v/>
      </c>
      <c r="I58" s="62" t="str">
        <f>IF(LEN(Parameters!$J58)&gt;0,Parameters!$J58&amp;Parameters!$G58,"")</f>
        <v/>
      </c>
      <c r="J58" s="62">
        <f>ROUND(Defaults!$S58/VLOOKUP(Defaults!$T58,Inflation,3,FALSE)*VLOOKUP($C$5,Inflation,3,FALSE),2)</f>
        <v>2357.3</v>
      </c>
      <c r="K58" s="62">
        <f>Defaults!$J58/10</f>
        <v>235.73</v>
      </c>
      <c r="L58" s="62" t="str">
        <f>Parameters!$N58</f>
        <v/>
      </c>
      <c r="M58" s="62" t="str">
        <f>Parameters!$O58</f>
        <v/>
      </c>
      <c r="N58" s="62">
        <f>IF(LEN(Parameters!$R58)&gt;0,Parameters!$R58,"")</f>
        <v>0</v>
      </c>
      <c r="O58" s="62">
        <f>IF(LEN(Parameters!$S58)&gt;0,Parameters!$S58,"")</f>
        <v>50000</v>
      </c>
      <c r="P58" s="62" t="str">
        <f>"The base case value is "&amp;IF(ISNUMBER(Defaults!$J58),ROUND(Defaults!$J58,3),Defaults!$J58)&amp;
IF(LEN(Defaults!$K58)&gt;0,", with a variance of "&amp;ROUND(Defaults!$K58,3)&amp;".","")&amp;
IF(LEN(Defaults!$N58)&gt;0," The limits of the parameter are set at: "&amp;ROUND(Defaults!$N58,2)&amp;"--&gt;"&amp;ROUND(Defaults!$O58,2)&amp;".","")</f>
        <v>The base case value is 2357,3, with a variance of 235,73. The limits of the parameter are set at: 0--&gt;50000.</v>
      </c>
      <c r="Q58" s="72" t="s">
        <v>354</v>
      </c>
      <c r="R58" s="72" t="s">
        <v>355</v>
      </c>
      <c r="S58" s="63">
        <v>2271.0</v>
      </c>
      <c r="T58" s="63">
        <v>2015.0</v>
      </c>
      <c r="U58" s="63"/>
      <c r="V58" s="63"/>
      <c r="W58" s="63"/>
      <c r="X58" s="6"/>
      <c r="Y58" s="6"/>
      <c r="Z58" s="6"/>
      <c r="AA58" s="6"/>
    </row>
    <row r="59" ht="14.25" customHeight="1">
      <c r="A59" s="6"/>
      <c r="B59" s="6"/>
      <c r="C59" s="63">
        <f t="shared" si="1"/>
        <v>53</v>
      </c>
      <c r="D59" s="62" t="str">
        <f>Parameters!$D59</f>
        <v>Nurse time</v>
      </c>
      <c r="E59" s="62" t="str">
        <f>Parameters!$E59</f>
        <v>Costs</v>
      </c>
      <c r="F59" s="62" t="str">
        <f>Parameters!$F59&amp;Parameters!$G59</f>
        <v>F15</v>
      </c>
      <c r="G59" s="62" t="str">
        <f>IF(LEN(Parameters!$H59)&gt;0,Parameters!$H59&amp;Parameters!$G59,"")</f>
        <v/>
      </c>
      <c r="H59" s="62" t="str">
        <f>IF(LEN(Parameters!$I59)&gt;0,Parameters!$I59&amp;Parameters!$G59,"")</f>
        <v>I15</v>
      </c>
      <c r="I59" s="62" t="str">
        <f>IF(LEN(Parameters!$J59)&gt;0,Parameters!$J59&amp;Parameters!$G59,"")</f>
        <v>J15</v>
      </c>
      <c r="J59" s="62">
        <f>ROUND(Defaults!$S59/VLOOKUP(Defaults!$T59,Inflation,3,FALSE)*VLOOKUP($C$5,Inflation,3,FALSE),2)</f>
        <v>57.93</v>
      </c>
      <c r="K59" s="62">
        <f>Parameters!$P59</f>
        <v>4.573979592</v>
      </c>
      <c r="L59" s="62">
        <f>ROUND($V59/VLOOKUP($T59,Inflation,3,FALSE)*VLOOKUP($C$5,Inflation,3,FALSE),2)</f>
        <v>48.97</v>
      </c>
      <c r="M59" s="62">
        <f>ROUND($W59/VLOOKUP($T59,Inflation,3,FALSE)*VLOOKUP($C$5,Inflation,3,FALSE),2)</f>
        <v>66.9</v>
      </c>
      <c r="N59" s="62">
        <f>IF(LEN(Parameters!$R59)&gt;0,Parameters!$R59,"")</f>
        <v>43.177</v>
      </c>
      <c r="O59" s="62">
        <f>IF(LEN(Parameters!$S59)&gt;0,Parameters!$S59,"")</f>
        <v>72.693</v>
      </c>
      <c r="P59" s="62" t="str">
        <f>"The base case value is "&amp;IF(ISNUMBER(Defaults!$J59),ROUND(Defaults!$J59,3),Defaults!$J59)&amp;
IF(LEN(Defaults!$K59)&gt;0,", with a variance of "&amp;ROUND(Defaults!$K59,3)&amp;".","")&amp;
IF(LEN(Defaults!$N59)&gt;0," The limits of the parameter are set at: "&amp;ROUND(Defaults!$N59,2)&amp;"--&gt;"&amp;ROUND(Defaults!$O59,2)&amp;".","")</f>
        <v>The base case value is 57,93, with a variance of 4,574. The limits of the parameter are set at: 43,18--&gt;72,69.</v>
      </c>
      <c r="Q59" s="72" t="s">
        <v>356</v>
      </c>
      <c r="R59" s="72" t="s">
        <v>357</v>
      </c>
      <c r="S59" s="63">
        <v>42.0</v>
      </c>
      <c r="T59" s="63">
        <v>2006.0</v>
      </c>
      <c r="U59" s="63"/>
      <c r="V59" s="63">
        <v>35.5</v>
      </c>
      <c r="W59" s="63">
        <v>48.5</v>
      </c>
      <c r="X59" s="6"/>
      <c r="Y59" s="6"/>
      <c r="Z59" s="6"/>
      <c r="AA59" s="6"/>
    </row>
    <row r="60" ht="14.25" customHeight="1">
      <c r="A60" s="6"/>
      <c r="B60" s="6"/>
      <c r="C60" s="63">
        <f t="shared" si="1"/>
        <v>54</v>
      </c>
      <c r="D60" s="62" t="str">
        <f>Parameters!$D60</f>
        <v>Care facility</v>
      </c>
      <c r="E60" s="62" t="str">
        <f>Parameters!$E60</f>
        <v>Costs</v>
      </c>
      <c r="F60" s="62" t="str">
        <f>Parameters!$F60&amp;Parameters!$G60</f>
        <v>F17</v>
      </c>
      <c r="G60" s="62" t="str">
        <f>IF(LEN(Parameters!$H60)&gt;0,Parameters!$H60&amp;Parameters!$G60,"")</f>
        <v/>
      </c>
      <c r="H60" s="62" t="str">
        <f>IF(LEN(Parameters!$I60)&gt;0,Parameters!$I60&amp;Parameters!$G60,"")</f>
        <v>I17</v>
      </c>
      <c r="I60" s="62" t="str">
        <f>IF(LEN(Parameters!$J60)&gt;0,Parameters!$J60&amp;Parameters!$G60,"")</f>
        <v>J17</v>
      </c>
      <c r="J60" s="62">
        <f>ROUND(Defaults!$S60/VLOOKUP(Defaults!$T60,Inflation,3,FALSE)*VLOOKUP($C$5,Inflation,3,FALSE),2)</f>
        <v>420.43</v>
      </c>
      <c r="K60" s="62">
        <f>Parameters!$P60</f>
        <v>413.3341837</v>
      </c>
      <c r="L60" s="62">
        <f>ROUND($V60/VLOOKUP($T60,Inflation,3,FALSE)*VLOOKUP($C$5,Inflation,3,FALSE),2)</f>
        <v>59.37</v>
      </c>
      <c r="M60" s="62">
        <f>ROUND($W60/VLOOKUP($T60,Inflation,3,FALSE)*VLOOKUP($C$5,Inflation,3,FALSE),2)</f>
        <v>1679.64</v>
      </c>
      <c r="N60" s="62">
        <f>IF(LEN(Parameters!$R60)&gt;0,Parameters!$R60,"")</f>
        <v>17.327</v>
      </c>
      <c r="O60" s="62">
        <f>IF(LEN(Parameters!$S60)&gt;0,Parameters!$S60,"")</f>
        <v>1721.683</v>
      </c>
      <c r="P60" s="62" t="str">
        <f>"The base case value is "&amp;IF(ISNUMBER(Defaults!$J60),ROUND(Defaults!$J60,3),Defaults!$J60)&amp;
IF(LEN(Defaults!$K60)&gt;0,", with a variance of "&amp;ROUND(Defaults!$K60,3)&amp;".","")&amp;
IF(LEN(Defaults!$N60)&gt;0," The limits of the parameter are set at: "&amp;ROUND(Defaults!$N60,2)&amp;"--&gt;"&amp;ROUND(Defaults!$O60,2)&amp;".","")</f>
        <v>The base case value is 420,43, with a variance of 413,334. The limits of the parameter are set at: 17,33--&gt;1721,68.</v>
      </c>
      <c r="Q60" s="72" t="s">
        <v>358</v>
      </c>
      <c r="R60" s="72" t="s">
        <v>321</v>
      </c>
      <c r="S60" s="63">
        <v>330.0</v>
      </c>
      <c r="T60" s="63">
        <v>2008.0</v>
      </c>
      <c r="U60" s="63"/>
      <c r="V60" s="63">
        <v>46.6</v>
      </c>
      <c r="W60" s="63">
        <v>1318.35</v>
      </c>
      <c r="X60" s="6"/>
      <c r="Y60" s="6"/>
      <c r="Z60" s="6"/>
      <c r="AA60" s="6"/>
    </row>
    <row r="61" ht="14.25" customHeight="1">
      <c r="A61" s="6"/>
      <c r="B61" s="6"/>
      <c r="C61" s="63">
        <f t="shared" si="1"/>
        <v>55</v>
      </c>
      <c r="D61" s="62" t="str">
        <f>Parameters!$D61</f>
        <v>Patient at home, cost</v>
      </c>
      <c r="E61" s="62" t="str">
        <f>Parameters!$E61</f>
        <v>Costs</v>
      </c>
      <c r="F61" s="62" t="str">
        <f>Parameters!$F61&amp;Parameters!$G61</f>
        <v>F18</v>
      </c>
      <c r="G61" s="62" t="str">
        <f>IF(LEN(Parameters!$H61)&gt;0,Parameters!$H61&amp;Parameters!$G61,"")</f>
        <v>H18</v>
      </c>
      <c r="H61" s="62" t="str">
        <f>IF(LEN(Parameters!$I61)&gt;0,Parameters!$I61&amp;Parameters!$G61,"")</f>
        <v/>
      </c>
      <c r="I61" s="62" t="str">
        <f>IF(LEN(Parameters!$J61)&gt;0,Parameters!$J61&amp;Parameters!$G61,"")</f>
        <v/>
      </c>
      <c r="J61" s="62">
        <v>0.0</v>
      </c>
      <c r="K61" s="62">
        <v>5.0</v>
      </c>
      <c r="L61" s="62" t="s">
        <v>240</v>
      </c>
      <c r="M61" s="62" t="s">
        <v>240</v>
      </c>
      <c r="N61" s="62">
        <v>0.0</v>
      </c>
      <c r="O61" s="62">
        <v>50.0</v>
      </c>
      <c r="P61" s="62" t="str">
        <f>"The base case value is "&amp;IF(ISNUMBER(Defaults!$J61),ROUND(Defaults!$J61,3),Defaults!$J61)&amp;
IF(LEN(Defaults!$K61)&gt;0,", with a variance of "&amp;ROUND(Defaults!$K61,3)&amp;".","")&amp;
IF(LEN(Defaults!$N61)&gt;0," The limits of the parameter are set at: "&amp;ROUND(Defaults!$N61,2)&amp;"--&gt;"&amp;ROUND(Defaults!$O61,2)&amp;".","")</f>
        <v>The base case value is 0, with a variance of 5. The limits of the parameter are set at: 0--&gt;50.</v>
      </c>
      <c r="Q61" s="72"/>
      <c r="R61" s="72" t="s">
        <v>268</v>
      </c>
      <c r="S61" s="63"/>
      <c r="T61" s="63"/>
      <c r="U61" s="63"/>
      <c r="V61" s="63"/>
      <c r="W61" s="63"/>
      <c r="X61" s="6"/>
      <c r="Y61" s="6"/>
      <c r="Z61" s="6"/>
      <c r="AA61" s="6"/>
    </row>
    <row r="62" ht="14.25" customHeight="1">
      <c r="A62" s="6"/>
      <c r="B62" s="6"/>
      <c r="C62" s="63">
        <f t="shared" si="1"/>
        <v>56</v>
      </c>
      <c r="D62" s="62" t="str">
        <f>Parameters!$D62</f>
        <v>Days of home care</v>
      </c>
      <c r="E62" s="62" t="str">
        <f>Parameters!$E62</f>
        <v>Costs</v>
      </c>
      <c r="F62" s="62" t="str">
        <f>Parameters!$F62&amp;Parameters!$G62</f>
        <v>F19</v>
      </c>
      <c r="G62" s="62" t="str">
        <f>IF(LEN(Parameters!$H62)&gt;0,Parameters!$H62&amp;Parameters!$G62,"")</f>
        <v>H19</v>
      </c>
      <c r="H62" s="62" t="str">
        <f>IF(LEN(Parameters!$I62)&gt;0,Parameters!$I62&amp;Parameters!$G62,"")</f>
        <v/>
      </c>
      <c r="I62" s="62" t="str">
        <f>IF(LEN(Parameters!$J62)&gt;0,Parameters!$J62&amp;Parameters!$G62,"")</f>
        <v/>
      </c>
      <c r="J62" s="62">
        <v>0.0</v>
      </c>
      <c r="K62" s="62">
        <v>5.0</v>
      </c>
      <c r="L62" s="62" t="s">
        <v>240</v>
      </c>
      <c r="M62" s="62" t="s">
        <v>240</v>
      </c>
      <c r="N62" s="62">
        <v>0.0</v>
      </c>
      <c r="O62" s="62">
        <v>14.0</v>
      </c>
      <c r="P62" s="62" t="str">
        <f>"The base case value is "&amp;IF(ISNUMBER(Defaults!$J62),ROUND(Defaults!$J62,3),Defaults!$J62)&amp;
IF(LEN(Defaults!$K62)&gt;0,", with a variance of "&amp;ROUND(Defaults!$K62,3)&amp;".","")&amp;
IF(LEN(Defaults!$N62)&gt;0," The limits of the parameter are set at: "&amp;ROUND(Defaults!$N62,2)&amp;"--&gt;"&amp;ROUND(Defaults!$O62,2)&amp;".","")</f>
        <v>The base case value is 0, with a variance of 5. The limits of the parameter are set at: 0--&gt;14.</v>
      </c>
      <c r="Q62" s="72"/>
      <c r="R62" s="72" t="s">
        <v>268</v>
      </c>
      <c r="S62" s="63"/>
      <c r="T62" s="63"/>
      <c r="U62" s="63"/>
      <c r="V62" s="63"/>
      <c r="W62" s="63"/>
      <c r="X62" s="6"/>
      <c r="Y62" s="6"/>
      <c r="Z62" s="6"/>
      <c r="AA62" s="6"/>
    </row>
    <row r="63" ht="14.25" customHeight="1">
      <c r="A63" s="6"/>
      <c r="B63" s="6"/>
      <c r="C63" s="63">
        <f t="shared" si="1"/>
        <v>57</v>
      </c>
      <c r="D63" s="62" t="str">
        <f>Parameters!$D63</f>
        <v>Inpatient SSI</v>
      </c>
      <c r="E63" s="62" t="str">
        <f>Parameters!$E63</f>
        <v>Costs AE</v>
      </c>
      <c r="F63" s="62" t="str">
        <f>Parameters!$F63&amp;Parameters!$G63</f>
        <v>F10</v>
      </c>
      <c r="G63" s="62" t="str">
        <f>IF(LEN(Parameters!$H63)&gt;0,Parameters!$H63&amp;Parameters!$G63,"")</f>
        <v/>
      </c>
      <c r="H63" s="62" t="str">
        <f>IF(LEN(Parameters!$I63)&gt;0,Parameters!$I63&amp;Parameters!$G63,"")</f>
        <v>I10</v>
      </c>
      <c r="I63" s="62" t="str">
        <f>IF(LEN(Parameters!$J63)&gt;0,Parameters!$J63&amp;Parameters!$G63,"")</f>
        <v>J10</v>
      </c>
      <c r="J63" s="62">
        <f>ROUND(Defaults!$S63/VLOOKUP(Defaults!$T63,Inflation,3,FALSE)*VLOOKUP($C$5,Inflation,3,FALSE),2)</f>
        <v>-157.6</v>
      </c>
      <c r="K63" s="62">
        <f>Parameters!$P63</f>
        <v>209.5510204</v>
      </c>
      <c r="L63" s="62">
        <f>ROUND($V63/VLOOKUP($T63,Inflation,3,FALSE)*VLOOKUP($C$5,Inflation,3,FALSE),2)</f>
        <v>-568.32</v>
      </c>
      <c r="M63" s="62">
        <f>ROUND($W63/VLOOKUP($T63,Inflation,3,FALSE)*VLOOKUP($C$5,Inflation,3,FALSE),2)</f>
        <v>253.12</v>
      </c>
      <c r="N63" s="62">
        <f>IF(LEN(Parameters!$R63)&gt;0,Parameters!$R63,"")</f>
        <v>-584.08</v>
      </c>
      <c r="O63" s="62">
        <f>IF(LEN(Parameters!$S63)&gt;0,Parameters!$S63,"")</f>
        <v>268.88</v>
      </c>
      <c r="P63" s="62" t="str">
        <f>"The base case value is "&amp;IF(ISNUMBER(Defaults!$J63),ROUND(Defaults!$J63,3),Defaults!$J63)&amp;
IF(LEN(Defaults!$K63)&gt;0,", with a variance of "&amp;ROUND(Defaults!$K63,3)&amp;".","")&amp;
IF(LEN(Defaults!$N63)&gt;0," The limits of the parameter are set at: "&amp;ROUND(Defaults!$N63,2)&amp;"--&gt;"&amp;ROUND(Defaults!$O63,2)&amp;".","")</f>
        <v>The base case value is -157,6, with a variance of 209,551. The limits of the parameter are set at: -584,08--&gt;268,88.</v>
      </c>
      <c r="Q63" s="72" t="s">
        <v>359</v>
      </c>
      <c r="R63" s="72" t="s">
        <v>360</v>
      </c>
      <c r="S63" s="62">
        <v>-132.0</v>
      </c>
      <c r="T63" s="63">
        <v>2010.0</v>
      </c>
      <c r="U63" s="63"/>
      <c r="V63" s="63">
        <v>-476.0</v>
      </c>
      <c r="W63" s="63">
        <v>212.0</v>
      </c>
      <c r="X63" s="6"/>
      <c r="Y63" s="6"/>
      <c r="Z63" s="6"/>
      <c r="AA63" s="6"/>
    </row>
    <row r="64" ht="14.25" customHeight="1">
      <c r="A64" s="6"/>
      <c r="B64" s="6"/>
      <c r="C64" s="63">
        <f t="shared" si="1"/>
        <v>58</v>
      </c>
      <c r="D64" s="62" t="str">
        <f>Parameters!$D64</f>
        <v>Outpatient care for SSI</v>
      </c>
      <c r="E64" s="62" t="str">
        <f>Parameters!$E64</f>
        <v>Costs AE</v>
      </c>
      <c r="F64" s="62" t="str">
        <f>Parameters!$F64&amp;Parameters!$G64</f>
        <v>F11</v>
      </c>
      <c r="G64" s="62" t="str">
        <f>IF(LEN(Parameters!$H64)&gt;0,Parameters!$H64&amp;Parameters!$G64,"")</f>
        <v/>
      </c>
      <c r="H64" s="62" t="str">
        <f>IF(LEN(Parameters!$I64)&gt;0,Parameters!$I64&amp;Parameters!$G64,"")</f>
        <v>I11</v>
      </c>
      <c r="I64" s="62" t="str">
        <f>IF(LEN(Parameters!$J64)&gt;0,Parameters!$J64&amp;Parameters!$G64,"")</f>
        <v>J11</v>
      </c>
      <c r="J64" s="62">
        <f>ROUND(Defaults!$S64/VLOOKUP(Defaults!$T64,Inflation,3,FALSE)*VLOOKUP($C$5,Inflation,3,FALSE),2)</f>
        <v>2582.6</v>
      </c>
      <c r="K64" s="62">
        <f>Parameters!$P64</f>
        <v>838.4056122</v>
      </c>
      <c r="L64" s="62">
        <f>ROUND($V64/VLOOKUP($T64,Inflation,3,FALSE)*VLOOKUP($C$5,Inflation,3,FALSE),2)</f>
        <v>629.41</v>
      </c>
      <c r="M64" s="62">
        <f>ROUND($W64/VLOOKUP($T64,Inflation,3,FALSE)*VLOOKUP($C$5,Inflation,3,FALSE),2)</f>
        <v>3915.96</v>
      </c>
      <c r="N64" s="62">
        <f>IF(LEN(Parameters!$R64)&gt;0,Parameters!$R64,"")</f>
        <v>371.15</v>
      </c>
      <c r="O64" s="62">
        <f>IF(LEN(Parameters!$S64)&gt;0,Parameters!$S64,"")</f>
        <v>4174.22</v>
      </c>
      <c r="P64" s="62" t="str">
        <f>"The base case value is "&amp;IF(ISNUMBER(Defaults!$J64),ROUND(Defaults!$J64,3),Defaults!$J64)&amp;
IF(LEN(Defaults!$K64)&gt;0,", with a variance of "&amp;ROUND(Defaults!$K64,3)&amp;".","")&amp;
IF(LEN(Defaults!$N64)&gt;0," The limits of the parameter are set at: "&amp;ROUND(Defaults!$N64,2)&amp;"--&gt;"&amp;ROUND(Defaults!$O64,2)&amp;".","")</f>
        <v>The base case value is 2582,6, with a variance of 838,406. The limits of the parameter are set at: 371,15--&gt;4174,22.</v>
      </c>
      <c r="Q64" s="72" t="s">
        <v>361</v>
      </c>
      <c r="R64" s="72" t="s">
        <v>362</v>
      </c>
      <c r="S64" s="63">
        <v>2425.0</v>
      </c>
      <c r="T64" s="63">
        <v>2014.0</v>
      </c>
      <c r="U64" s="63"/>
      <c r="V64" s="63">
        <v>591.0</v>
      </c>
      <c r="W64" s="63">
        <v>3677.0</v>
      </c>
      <c r="X64" s="6"/>
      <c r="Y64" s="6"/>
      <c r="Z64" s="6"/>
      <c r="AA64" s="6"/>
    </row>
    <row r="65" ht="14.25" customHeight="1">
      <c r="A65" s="6"/>
      <c r="B65" s="6"/>
      <c r="C65" s="63">
        <f t="shared" si="1"/>
        <v>59</v>
      </c>
      <c r="D65" s="62" t="str">
        <f>Parameters!$D65</f>
        <v>Inpatient DSWI</v>
      </c>
      <c r="E65" s="62" t="str">
        <f>Parameters!$E65</f>
        <v>Costs AE</v>
      </c>
      <c r="F65" s="62" t="str">
        <f>Parameters!$F65&amp;Parameters!$G65</f>
        <v>F12</v>
      </c>
      <c r="G65" s="62" t="str">
        <f>IF(LEN(Parameters!$H65)&gt;0,Parameters!$H65&amp;Parameters!$G65,"")</f>
        <v/>
      </c>
      <c r="H65" s="62" t="str">
        <f>IF(LEN(Parameters!$I65)&gt;0,Parameters!$I65&amp;Parameters!$G65,"")</f>
        <v>I12</v>
      </c>
      <c r="I65" s="62" t="str">
        <f>IF(LEN(Parameters!$J65)&gt;0,Parameters!$J65&amp;Parameters!$G65,"")</f>
        <v>J12</v>
      </c>
      <c r="J65" s="62">
        <f>ROUND(Defaults!$S65/VLOOKUP(Defaults!$T65,Inflation,3,FALSE)*VLOOKUP($C$5,Inflation,3,FALSE),2)</f>
        <v>-157.6</v>
      </c>
      <c r="K65" s="62">
        <f>Parameters!$P65</f>
        <v>209.5510204</v>
      </c>
      <c r="L65" s="62">
        <f>ROUND($V65/VLOOKUP($T65,Inflation,3,FALSE)*VLOOKUP($C$5,Inflation,3,FALSE),2)</f>
        <v>-568.32</v>
      </c>
      <c r="M65" s="62">
        <f>ROUND($W65/VLOOKUP($T65,Inflation,3,FALSE)*VLOOKUP($C$5,Inflation,3,FALSE),2)</f>
        <v>253.12</v>
      </c>
      <c r="N65" s="62">
        <f>IF(LEN(Parameters!$R65)&gt;0,Parameters!$R65,"")</f>
        <v>-584.08</v>
      </c>
      <c r="O65" s="62">
        <f>IF(LEN(Parameters!$S65)&gt;0,Parameters!$S65,"")</f>
        <v>268.88</v>
      </c>
      <c r="P65" s="62" t="str">
        <f>"The base case value is "&amp;IF(ISNUMBER(Defaults!$J65),ROUND(Defaults!$J65,3),Defaults!$J65)&amp;
IF(LEN(Defaults!$K65)&gt;0,", with a variance of "&amp;ROUND(Defaults!$K65,3)&amp;".","")&amp;
IF(LEN(Defaults!$N65)&gt;0," The limits of the parameter are set at: "&amp;ROUND(Defaults!$N65,2)&amp;"--&gt;"&amp;ROUND(Defaults!$O65,2)&amp;".","")</f>
        <v>The base case value is -157,6, with a variance of 209,551. The limits of the parameter are set at: -584,08--&gt;268,88.</v>
      </c>
      <c r="Q65" s="72" t="s">
        <v>359</v>
      </c>
      <c r="R65" s="72" t="s">
        <v>360</v>
      </c>
      <c r="S65" s="62">
        <v>-132.0</v>
      </c>
      <c r="T65" s="63">
        <v>2010.0</v>
      </c>
      <c r="U65" s="63"/>
      <c r="V65" s="63">
        <v>-476.0</v>
      </c>
      <c r="W65" s="63">
        <v>212.0</v>
      </c>
      <c r="X65" s="6"/>
      <c r="Y65" s="6"/>
      <c r="Z65" s="6"/>
      <c r="AA65" s="6"/>
    </row>
    <row r="66" ht="14.25" customHeight="1">
      <c r="A66" s="6"/>
      <c r="B66" s="6"/>
      <c r="C66" s="63">
        <f t="shared" si="1"/>
        <v>60</v>
      </c>
      <c r="D66" s="62" t="str">
        <f>Parameters!$D66</f>
        <v>Readmission for DSWI</v>
      </c>
      <c r="E66" s="62" t="str">
        <f>Parameters!$E66</f>
        <v>Costs AE</v>
      </c>
      <c r="F66" s="62" t="str">
        <f>Parameters!$F66&amp;Parameters!$G66</f>
        <v>F13</v>
      </c>
      <c r="G66" s="62" t="str">
        <f>IF(LEN(Parameters!$H66)&gt;0,Parameters!$H66&amp;Parameters!$G66,"")</f>
        <v/>
      </c>
      <c r="H66" s="62" t="str">
        <f>IF(LEN(Parameters!$I66)&gt;0,Parameters!$I66&amp;Parameters!$G66,"")</f>
        <v>I13</v>
      </c>
      <c r="I66" s="62" t="str">
        <f>IF(LEN(Parameters!$J66)&gt;0,Parameters!$J66&amp;Parameters!$G66,"")</f>
        <v>J13</v>
      </c>
      <c r="J66" s="62">
        <f>ROUND(Defaults!$S66/VLOOKUP(Defaults!$T66,Inflation,3,FALSE)*VLOOKUP($C$5,Inflation,3,FALSE),2)</f>
        <v>23585.82</v>
      </c>
      <c r="K66" s="62">
        <f>Parameters!$P66</f>
        <v>6815.229592</v>
      </c>
      <c r="L66" s="62">
        <f>ROUND($V66/VLOOKUP($T66,Inflation,3,FALSE)*VLOOKUP($C$5,Inflation,3,FALSE),2)</f>
        <v>15090.45</v>
      </c>
      <c r="M66" s="62">
        <f>ROUND($W66/VLOOKUP($T66,Inflation,3,FALSE)*VLOOKUP($C$5,Inflation,3,FALSE),2)</f>
        <v>41806.15</v>
      </c>
      <c r="N66" s="62">
        <f>IF(LEN(Parameters!$R66)&gt;0,Parameters!$R66,"")</f>
        <v>12731.868</v>
      </c>
      <c r="O66" s="62">
        <f>IF(LEN(Parameters!$S66)&gt;0,Parameters!$S66,"")</f>
        <v>44164.732</v>
      </c>
      <c r="P66" s="62" t="str">
        <f>"The base case value is "&amp;IF(ISNUMBER(Defaults!$J66),ROUND(Defaults!$J66,3),Defaults!$J66)&amp;
IF(LEN(Defaults!$K66)&gt;0,", with a variance of "&amp;ROUND(Defaults!$K66,3)&amp;".","")&amp;
IF(LEN(Defaults!$N66)&gt;0," The limits of the parameter are set at: "&amp;ROUND(Defaults!$N66,2)&amp;"--&gt;"&amp;ROUND(Defaults!$O66,2)&amp;".","")</f>
        <v>The base case value is 23585,82, with a variance of 6815,23. The limits of the parameter are set at: 12731,87--&gt;44164,73.</v>
      </c>
      <c r="Q66" s="72" t="s">
        <v>363</v>
      </c>
      <c r="R66" s="72" t="s">
        <v>364</v>
      </c>
      <c r="S66" s="63">
        <v>21100.0</v>
      </c>
      <c r="T66" s="63">
        <v>2012.0</v>
      </c>
      <c r="U66" s="63"/>
      <c r="V66" s="63">
        <v>13500.0</v>
      </c>
      <c r="W66" s="63">
        <v>37400.0</v>
      </c>
      <c r="X66" s="6"/>
      <c r="Y66" s="6"/>
      <c r="Z66" s="6"/>
      <c r="AA66" s="6"/>
    </row>
    <row r="67" ht="14.25" customHeight="1">
      <c r="A67" s="6"/>
      <c r="B67" s="6"/>
      <c r="C67" s="63">
        <f t="shared" si="1"/>
        <v>61</v>
      </c>
      <c r="D67" s="62" t="str">
        <f>Parameters!$D67</f>
        <v>False alarm</v>
      </c>
      <c r="E67" s="62" t="str">
        <f>Parameters!$E67</f>
        <v>Costs AE</v>
      </c>
      <c r="F67" s="62" t="str">
        <f>Parameters!$F67&amp;Parameters!$G67</f>
        <v>F15</v>
      </c>
      <c r="G67" s="62" t="str">
        <f>IF(LEN(Parameters!$H67)&gt;0,Parameters!$H67&amp;Parameters!$G67,"")</f>
        <v>H15</v>
      </c>
      <c r="H67" s="62" t="str">
        <f>IF(LEN(Parameters!$I67)&gt;0,Parameters!$I67&amp;Parameters!$G67,"")</f>
        <v/>
      </c>
      <c r="I67" s="62" t="str">
        <f>IF(LEN(Parameters!$J67)&gt;0,Parameters!$J67&amp;Parameters!$G67,"")</f>
        <v/>
      </c>
      <c r="J67" s="62">
        <v>2.0</v>
      </c>
      <c r="K67" s="62">
        <v>0.2</v>
      </c>
      <c r="L67" s="62" t="s">
        <v>240</v>
      </c>
      <c r="M67" s="62" t="s">
        <v>240</v>
      </c>
      <c r="N67" s="62">
        <v>0.0</v>
      </c>
      <c r="O67" s="62">
        <v>50000.0</v>
      </c>
      <c r="P67" s="62" t="str">
        <f>"The base case value is "&amp;IF(ISNUMBER(Defaults!$J67),ROUND(Defaults!$J67,3),Defaults!$J67)&amp;
IF(LEN(Defaults!$K67)&gt;0,", with a variance of "&amp;ROUND(Defaults!$K67,3)&amp;".","")&amp;
IF(LEN(Defaults!$N67)&gt;0," The limits of the parameter are set at: "&amp;ROUND(Defaults!$N67,2)&amp;"--&gt;"&amp;ROUND(Defaults!$O67,2)&amp;".","")</f>
        <v>The base case value is 2, with a variance of 0,2. The limits of the parameter are set at: 0--&gt;50000.</v>
      </c>
      <c r="Q67" s="72"/>
      <c r="R67" s="72"/>
      <c r="S67" s="63"/>
      <c r="T67" s="63"/>
      <c r="U67" s="63"/>
      <c r="V67" s="63"/>
      <c r="W67" s="63"/>
      <c r="X67" s="6"/>
      <c r="Y67" s="6"/>
      <c r="Z67" s="6"/>
      <c r="AA67" s="6"/>
    </row>
    <row r="68" ht="14.25" customHeight="1">
      <c r="A68" s="6"/>
      <c r="B68" s="6"/>
      <c r="C68" s="63">
        <f t="shared" si="1"/>
        <v>62</v>
      </c>
      <c r="D68" s="62" t="str">
        <f>Parameters!$D68</f>
        <v>Leads-off alarm</v>
      </c>
      <c r="E68" s="62" t="str">
        <f>Parameters!$E68</f>
        <v>Costs AE</v>
      </c>
      <c r="F68" s="62" t="str">
        <f>Parameters!$F68&amp;Parameters!$G68</f>
        <v>F16</v>
      </c>
      <c r="G68" s="62" t="str">
        <f>IF(LEN(Parameters!$H68)&gt;0,Parameters!$H68&amp;Parameters!$G68,"")</f>
        <v>H16</v>
      </c>
      <c r="H68" s="62" t="str">
        <f>IF(LEN(Parameters!$I68)&gt;0,Parameters!$I68&amp;Parameters!$G68,"")</f>
        <v/>
      </c>
      <c r="I68" s="62" t="str">
        <f>IF(LEN(Parameters!$J68)&gt;0,Parameters!$J68&amp;Parameters!$G68,"")</f>
        <v/>
      </c>
      <c r="J68" s="62">
        <v>1.0</v>
      </c>
      <c r="K68" s="62">
        <v>0.1</v>
      </c>
      <c r="L68" s="62" t="s">
        <v>240</v>
      </c>
      <c r="M68" s="62" t="s">
        <v>240</v>
      </c>
      <c r="N68" s="62">
        <v>0.0</v>
      </c>
      <c r="O68" s="62">
        <v>50000.0</v>
      </c>
      <c r="P68" s="62" t="str">
        <f>"The base case value is "&amp;IF(ISNUMBER(Defaults!$J68),ROUND(Defaults!$J68,3),Defaults!$J68)&amp;
IF(LEN(Defaults!$K68)&gt;0,", with a variance of "&amp;ROUND(Defaults!$K68,3)&amp;".","")&amp;
IF(LEN(Defaults!$N68)&gt;0," The limits of the parameter are set at: "&amp;ROUND(Defaults!$N68,2)&amp;"--&gt;"&amp;ROUND(Defaults!$O68,2)&amp;".","")</f>
        <v>The base case value is 1, with a variance of 0,1. The limits of the parameter are set at: 0--&gt;50000.</v>
      </c>
      <c r="Q68" s="72"/>
      <c r="R68" s="72"/>
      <c r="S68" s="63"/>
      <c r="T68" s="63"/>
      <c r="U68" s="63"/>
      <c r="V68" s="63"/>
      <c r="W68" s="63"/>
      <c r="X68" s="6"/>
      <c r="Y68" s="6"/>
      <c r="Z68" s="6"/>
      <c r="AA68" s="6"/>
    </row>
    <row r="69" ht="14.25" customHeight="1">
      <c r="A69" s="6"/>
      <c r="B69" s="6"/>
      <c r="C69" s="63">
        <f t="shared" si="1"/>
        <v>63</v>
      </c>
      <c r="D69" s="62" t="str">
        <f>Parameters!$D69</f>
        <v>SSI days</v>
      </c>
      <c r="E69" s="62" t="str">
        <f>Parameters!$E69</f>
        <v>Costs AE</v>
      </c>
      <c r="F69" s="62" t="str">
        <f>Parameters!$F69&amp;Parameters!$G69</f>
        <v>F19</v>
      </c>
      <c r="G69" s="62" t="str">
        <f>IF(LEN(Parameters!$H69)&gt;0,Parameters!$H69&amp;Parameters!$G69,"")</f>
        <v>H19</v>
      </c>
      <c r="H69" s="62" t="str">
        <f>IF(LEN(Parameters!$I69)&gt;0,Parameters!$I69&amp;Parameters!$G69,"")</f>
        <v/>
      </c>
      <c r="I69" s="62" t="str">
        <f>IF(LEN(Parameters!$J69)&gt;0,Parameters!$J69&amp;Parameters!$G69,"")</f>
        <v/>
      </c>
      <c r="J69" s="62">
        <v>13.3</v>
      </c>
      <c r="K69" s="62">
        <v>20.8</v>
      </c>
      <c r="L69" s="62" t="s">
        <v>240</v>
      </c>
      <c r="M69" s="62" t="s">
        <v>240</v>
      </c>
      <c r="N69" s="62">
        <v>10.154128382439051</v>
      </c>
      <c r="O69" s="62">
        <v>54.900000000000006</v>
      </c>
      <c r="P69" s="62" t="str">
        <f>"The base case value is "&amp;IF(ISNUMBER(Defaults!$J69),ROUND(Defaults!$J69,3),Defaults!$J69)&amp;
IF(LEN(Defaults!$K69)&gt;0,", with a variance of "&amp;ROUND(Defaults!$K69,3)&amp;".","")&amp;
IF(LEN(Defaults!$N69)&gt;0," The limits of the parameter are set at: "&amp;ROUND(Defaults!$N69,2)&amp;"--&gt;"&amp;ROUND(Defaults!$O69,2)&amp;".","")</f>
        <v>The base case value is 13,3, with a variance of 20,8. The limits of the parameter are set at: 10,15--&gt;54,9.</v>
      </c>
      <c r="Q69" s="72"/>
      <c r="R69" s="72" t="s">
        <v>367</v>
      </c>
      <c r="S69" s="63"/>
      <c r="T69" s="63"/>
      <c r="U69" s="63"/>
      <c r="V69" s="63"/>
      <c r="W69" s="63"/>
      <c r="X69" s="6"/>
      <c r="Y69" s="6"/>
      <c r="Z69" s="6"/>
      <c r="AA69" s="6"/>
    </row>
    <row r="70" ht="14.25" customHeight="1">
      <c r="A70" s="6"/>
      <c r="B70" s="6"/>
      <c r="C70" s="63">
        <f t="shared" si="1"/>
        <v>64</v>
      </c>
      <c r="D70" s="62" t="str">
        <f>Parameters!$D70</f>
        <v>DSWI days</v>
      </c>
      <c r="E70" s="62" t="str">
        <f>Parameters!$E70</f>
        <v>Costs AE</v>
      </c>
      <c r="F70" s="62" t="str">
        <f>Parameters!$F70&amp;Parameters!$G70</f>
        <v>F20</v>
      </c>
      <c r="G70" s="62" t="str">
        <f>IF(LEN(Parameters!$H70)&gt;0,Parameters!$H70&amp;Parameters!$G70,"")</f>
        <v>H20</v>
      </c>
      <c r="H70" s="62" t="str">
        <f>IF(LEN(Parameters!$I70)&gt;0,Parameters!$I70&amp;Parameters!$G70,"")</f>
        <v/>
      </c>
      <c r="I70" s="62" t="str">
        <f>IF(LEN(Parameters!$J70)&gt;0,Parameters!$J70&amp;Parameters!$G70,"")</f>
        <v/>
      </c>
      <c r="J70" s="62">
        <v>24.0</v>
      </c>
      <c r="K70" s="62">
        <v>5.0</v>
      </c>
      <c r="L70" s="62" t="s">
        <v>240</v>
      </c>
      <c r="M70" s="62" t="s">
        <v>240</v>
      </c>
      <c r="N70" s="62">
        <v>10.154128382439051</v>
      </c>
      <c r="O70" s="62">
        <v>50.0</v>
      </c>
      <c r="P70" s="62" t="str">
        <f>"The base case value is "&amp;IF(ISNUMBER(Defaults!$J70),ROUND(Defaults!$J70,3),Defaults!$J70)&amp;
IF(LEN(Defaults!$K70)&gt;0,", with a variance of "&amp;ROUND(Defaults!$K70,3)&amp;".","")&amp;
IF(LEN(Defaults!$N70)&gt;0," The limits of the parameter are set at: "&amp;ROUND(Defaults!$N70,2)&amp;"--&gt;"&amp;ROUND(Defaults!$O70,2)&amp;".","")</f>
        <v>The base case value is 24, with a variance of 5. The limits of the parameter are set at: 10,15--&gt;50.</v>
      </c>
      <c r="Q70" s="72"/>
      <c r="R70" s="72" t="s">
        <v>368</v>
      </c>
      <c r="S70" s="63"/>
      <c r="T70" s="63"/>
      <c r="U70" s="63"/>
      <c r="V70" s="63"/>
      <c r="W70" s="63"/>
      <c r="X70" s="6"/>
      <c r="Y70" s="6"/>
      <c r="Z70" s="6"/>
      <c r="AA70" s="6"/>
    </row>
    <row r="71" ht="14.25" customHeight="1">
      <c r="A71" s="6"/>
      <c r="B71" s="6"/>
      <c r="C71" s="63">
        <f t="shared" si="1"/>
        <v>65</v>
      </c>
      <c r="D71" s="62" t="str">
        <f>Parameters!$D71</f>
        <v>9-day SSI</v>
      </c>
      <c r="E71" s="62" t="str">
        <f>Parameters!$E71</f>
        <v>Background</v>
      </c>
      <c r="F71" s="62" t="str">
        <f>Parameters!$F71&amp;Parameters!$G71</f>
        <v>F11</v>
      </c>
      <c r="G71" s="62" t="str">
        <f>IF(LEN(Parameters!$H71)&gt;0,Parameters!$H71&amp;Parameters!$G71,"")</f>
        <v/>
      </c>
      <c r="H71" s="62" t="str">
        <f>IF(LEN(Parameters!$I71)&gt;0,Parameters!$I71&amp;Parameters!$G71,"")</f>
        <v/>
      </c>
      <c r="I71" s="62" t="str">
        <f>IF(LEN(Parameters!$J71)&gt;0,Parameters!$J71&amp;Parameters!$G71,"")</f>
        <v/>
      </c>
      <c r="J71" s="62">
        <v>1.8</v>
      </c>
      <c r="K71" s="62">
        <v>1.0E-4</v>
      </c>
      <c r="L71" s="62" t="s">
        <v>240</v>
      </c>
      <c r="M71" s="62" t="s">
        <v>240</v>
      </c>
      <c r="N71" s="62">
        <v>0.0</v>
      </c>
      <c r="O71" s="62">
        <v>100.0</v>
      </c>
      <c r="P71" s="62" t="str">
        <f>"The base case value is "&amp;IF(ISNUMBER(Defaults!$J71),ROUND(Defaults!$J71,3),Defaults!$J71)&amp;
IF(LEN(Defaults!$K71)&gt;0,", with a variance of "&amp;ROUND(Defaults!$K71,3)&amp;".","")&amp;
IF(LEN(Defaults!$N71)&gt;0," The limits of the parameter are set at: "&amp;ROUND(Defaults!$N71,2)&amp;"--&gt;"&amp;ROUND(Defaults!$O71,2)&amp;".","")</f>
        <v>The base case value is 1,8, with a variance of 0. The limits of the parameter are set at: 0--&gt;100.</v>
      </c>
      <c r="Q71" s="72"/>
      <c r="R71" s="72" t="s">
        <v>371</v>
      </c>
      <c r="S71" s="63"/>
      <c r="T71" s="63"/>
      <c r="U71" s="63"/>
      <c r="V71" s="63"/>
      <c r="W71" s="63"/>
      <c r="X71" s="6"/>
      <c r="Y71" s="6"/>
      <c r="Z71" s="6"/>
      <c r="AA71" s="6"/>
    </row>
    <row r="72" ht="14.25" customHeight="1">
      <c r="A72" s="6"/>
      <c r="B72" s="6"/>
      <c r="C72" s="63">
        <f t="shared" si="1"/>
        <v>66</v>
      </c>
      <c r="D72" s="62" t="str">
        <f>Parameters!$D72</f>
        <v>30-day SSI</v>
      </c>
      <c r="E72" s="62" t="str">
        <f>Parameters!$E72</f>
        <v>Background</v>
      </c>
      <c r="F72" s="62" t="str">
        <f>Parameters!$F72&amp;Parameters!$G72</f>
        <v>F12</v>
      </c>
      <c r="G72" s="62" t="str">
        <f>IF(LEN(Parameters!$H72)&gt;0,Parameters!$H72&amp;Parameters!$G72,"")</f>
        <v/>
      </c>
      <c r="H72" s="62" t="str">
        <f>IF(LEN(Parameters!$I72)&gt;0,Parameters!$I72&amp;Parameters!$G72,"")</f>
        <v/>
      </c>
      <c r="I72" s="62" t="str">
        <f>IF(LEN(Parameters!$J72)&gt;0,Parameters!$J72&amp;Parameters!$G72,"")</f>
        <v/>
      </c>
      <c r="J72" s="62">
        <v>3.9</v>
      </c>
      <c r="K72" s="62">
        <v>1.0E-4</v>
      </c>
      <c r="L72" s="62" t="s">
        <v>240</v>
      </c>
      <c r="M72" s="62" t="s">
        <v>240</v>
      </c>
      <c r="N72" s="62">
        <v>0.0</v>
      </c>
      <c r="O72" s="62">
        <v>100.0</v>
      </c>
      <c r="P72" s="62" t="str">
        <f>"The base case value is "&amp;IF(ISNUMBER(Defaults!$J72),ROUND(Defaults!$J72,3),Defaults!$J72)&amp;
IF(LEN(Defaults!$K72)&gt;0,", with a variance of "&amp;ROUND(Defaults!$K72,3)&amp;".","")&amp;
IF(LEN(Defaults!$N72)&gt;0," The limits of the parameter are set at: "&amp;ROUND(Defaults!$N72,2)&amp;"--&gt;"&amp;ROUND(Defaults!$O72,2)&amp;".","")</f>
        <v>The base case value is 3,9, with a variance of 0. The limits of the parameter are set at: 0--&gt;100.</v>
      </c>
      <c r="Q72" s="72"/>
      <c r="R72" s="72" t="s">
        <v>371</v>
      </c>
      <c r="S72" s="63"/>
      <c r="T72" s="63"/>
      <c r="U72" s="63"/>
      <c r="V72" s="63"/>
      <c r="W72" s="63"/>
      <c r="X72" s="6"/>
      <c r="Y72" s="6"/>
      <c r="Z72" s="6"/>
      <c r="AA72" s="6"/>
    </row>
    <row r="73" ht="14.25" customHeight="1">
      <c r="A73" s="6"/>
      <c r="B73" s="6"/>
      <c r="C73" s="63">
        <f t="shared" si="1"/>
        <v>67</v>
      </c>
      <c r="D73" s="62" t="str">
        <f>Parameters!$D73</f>
        <v>90-day SSI</v>
      </c>
      <c r="E73" s="62" t="str">
        <f>Parameters!$E73</f>
        <v>Background</v>
      </c>
      <c r="F73" s="62" t="str">
        <f>Parameters!$F73&amp;Parameters!$G73</f>
        <v>F13</v>
      </c>
      <c r="G73" s="62" t="str">
        <f>IF(LEN(Parameters!$H73)&gt;0,Parameters!$H73&amp;Parameters!$G73,"")</f>
        <v/>
      </c>
      <c r="H73" s="62" t="str">
        <f>IF(LEN(Parameters!$I73)&gt;0,Parameters!$I73&amp;Parameters!$G73,"")</f>
        <v/>
      </c>
      <c r="I73" s="62" t="str">
        <f>IF(LEN(Parameters!$J73)&gt;0,Parameters!$J73&amp;Parameters!$G73,"")</f>
        <v/>
      </c>
      <c r="J73" s="62">
        <v>5.6</v>
      </c>
      <c r="K73" s="62">
        <v>1.0E-4</v>
      </c>
      <c r="L73" s="62" t="s">
        <v>240</v>
      </c>
      <c r="M73" s="62" t="s">
        <v>240</v>
      </c>
      <c r="N73" s="62">
        <v>0.0</v>
      </c>
      <c r="O73" s="62">
        <v>100.0</v>
      </c>
      <c r="P73" s="62" t="str">
        <f>"The base case value is "&amp;IF(ISNUMBER(Defaults!$J73),ROUND(Defaults!$J73,3),Defaults!$J73)&amp;
IF(LEN(Defaults!$K73)&gt;0,", with a variance of "&amp;ROUND(Defaults!$K73,3)&amp;".","")&amp;
IF(LEN(Defaults!$N73)&gt;0," The limits of the parameter are set at: "&amp;ROUND(Defaults!$N73,2)&amp;"--&gt;"&amp;ROUND(Defaults!$O73,2)&amp;".","")</f>
        <v>The base case value is 5,6, with a variance of 0. The limits of the parameter are set at: 0--&gt;100.</v>
      </c>
      <c r="Q73" s="72"/>
      <c r="R73" s="72" t="s">
        <v>371</v>
      </c>
      <c r="S73" s="63"/>
      <c r="T73" s="63"/>
      <c r="U73" s="63"/>
      <c r="V73" s="63"/>
      <c r="W73" s="63"/>
      <c r="X73" s="6"/>
      <c r="Y73" s="6"/>
      <c r="Z73" s="6"/>
      <c r="AA73" s="6"/>
    </row>
    <row r="74" ht="14.25" customHeight="1">
      <c r="A74" s="6"/>
      <c r="B74" s="6"/>
      <c r="C74" s="63">
        <f t="shared" si="1"/>
        <v>68</v>
      </c>
      <c r="D74" s="62" t="str">
        <f>Parameters!$D74</f>
        <v>30 day mortality, DSWI risk</v>
      </c>
      <c r="E74" s="62" t="str">
        <f>Parameters!$E74</f>
        <v>Background</v>
      </c>
      <c r="F74" s="62" t="str">
        <f>Parameters!$F74&amp;Parameters!$G74</f>
        <v>F16</v>
      </c>
      <c r="G74" s="62" t="str">
        <f>IF(LEN(Parameters!$H74)&gt;0,Parameters!$H74&amp;Parameters!$G74,"")</f>
        <v/>
      </c>
      <c r="H74" s="62" t="str">
        <f>IF(LEN(Parameters!$I74)&gt;0,Parameters!$I74&amp;Parameters!$G74,"")</f>
        <v>I16</v>
      </c>
      <c r="I74" s="62" t="str">
        <f>IF(LEN(Parameters!$J74)&gt;0,Parameters!$J74&amp;Parameters!$G74,"")</f>
        <v>J16</v>
      </c>
      <c r="J74" s="62">
        <v>2.68</v>
      </c>
      <c r="K74" s="62">
        <v>0.23214285714285718</v>
      </c>
      <c r="L74" s="62">
        <v>2.26</v>
      </c>
      <c r="M74" s="62">
        <v>3.17</v>
      </c>
      <c r="N74" s="62">
        <v>0.0</v>
      </c>
      <c r="O74" s="62">
        <v>100.0</v>
      </c>
      <c r="P74" s="62" t="str">
        <f>"The base case value is "&amp;IF(ISNUMBER(Defaults!$J74),ROUND(Defaults!$J74,3),Defaults!$J74)&amp;
IF(LEN(Defaults!$K74)&gt;0,", with a variance of "&amp;ROUND(Defaults!$K74,3)&amp;".","")&amp;
IF(LEN(Defaults!$N74)&gt;0," The limits of the parameter are set at: "&amp;ROUND(Defaults!$N74,2)&amp;"--&gt;"&amp;ROUND(Defaults!$O74,2)&amp;".","")</f>
        <v>The base case value is 2,68, with a variance of 0,232. The limits of the parameter are set at: 0--&gt;100.</v>
      </c>
      <c r="Q74" s="72"/>
      <c r="R74" s="72" t="s">
        <v>368</v>
      </c>
      <c r="S74" s="63"/>
      <c r="T74" s="63"/>
      <c r="U74" s="63"/>
      <c r="V74" s="63"/>
      <c r="W74" s="63"/>
      <c r="X74" s="6"/>
      <c r="Y74" s="6"/>
      <c r="Z74" s="6"/>
      <c r="AA74" s="6"/>
    </row>
    <row r="75" ht="14.25" customHeight="1">
      <c r="A75" s="6"/>
      <c r="B75" s="6"/>
      <c r="C75" s="63">
        <f t="shared" si="1"/>
        <v>69</v>
      </c>
      <c r="D75" s="62" t="str">
        <f>Parameters!$D75</f>
        <v>90 day mortality, DSWI risk</v>
      </c>
      <c r="E75" s="62" t="str">
        <f>Parameters!$E75</f>
        <v>Background</v>
      </c>
      <c r="F75" s="62" t="str">
        <f>Parameters!$F75&amp;Parameters!$G75</f>
        <v>F17</v>
      </c>
      <c r="G75" s="62" t="str">
        <f>IF(LEN(Parameters!$H75)&gt;0,Parameters!$H75&amp;Parameters!$G75,"")</f>
        <v/>
      </c>
      <c r="H75" s="62" t="str">
        <f>IF(LEN(Parameters!$I75)&gt;0,Parameters!$I75&amp;Parameters!$G75,"")</f>
        <v>I17</v>
      </c>
      <c r="I75" s="62" t="str">
        <f>IF(LEN(Parameters!$J75)&gt;0,Parameters!$J75&amp;Parameters!$G75,"")</f>
        <v>J17</v>
      </c>
      <c r="J75" s="62">
        <v>3.95</v>
      </c>
      <c r="K75" s="62">
        <v>0.2729591836734692</v>
      </c>
      <c r="L75" s="62">
        <v>3.45</v>
      </c>
      <c r="M75" s="62">
        <v>4.52</v>
      </c>
      <c r="N75" s="62">
        <v>0.0</v>
      </c>
      <c r="O75" s="62">
        <v>100.0</v>
      </c>
      <c r="P75" s="62" t="str">
        <f>"The base case value is "&amp;IF(ISNUMBER(Defaults!$J75),ROUND(Defaults!$J75,3),Defaults!$J75)&amp;
IF(LEN(Defaults!$K75)&gt;0,", with a variance of "&amp;ROUND(Defaults!$K75,3)&amp;".","")&amp;
IF(LEN(Defaults!$N75)&gt;0," The limits of the parameter are set at: "&amp;ROUND(Defaults!$N75,2)&amp;"--&gt;"&amp;ROUND(Defaults!$O75,2)&amp;".","")</f>
        <v>The base case value is 3,95, with a variance of 0,273. The limits of the parameter are set at: 0--&gt;100.</v>
      </c>
      <c r="Q75" s="72"/>
      <c r="R75" s="72" t="s">
        <v>368</v>
      </c>
      <c r="S75" s="63"/>
      <c r="T75" s="63"/>
      <c r="U75" s="63"/>
      <c r="V75" s="63"/>
      <c r="W75" s="63"/>
      <c r="X75" s="6"/>
      <c r="Y75" s="6"/>
      <c r="Z75" s="6"/>
      <c r="AA75" s="6"/>
    </row>
    <row r="76" ht="14.25" customHeight="1">
      <c r="A76" s="6"/>
      <c r="B76" s="6"/>
      <c r="C76" s="63">
        <f t="shared" si="1"/>
        <v>70</v>
      </c>
      <c r="D76" s="62" t="str">
        <f>Parameters!$D76</f>
        <v>1 year mortality, DSWI risk</v>
      </c>
      <c r="E76" s="62" t="str">
        <f>Parameters!$E76</f>
        <v>Background</v>
      </c>
      <c r="F76" s="62" t="str">
        <f>Parameters!$F76&amp;Parameters!$G76</f>
        <v>F18</v>
      </c>
      <c r="G76" s="62" t="str">
        <f>IF(LEN(Parameters!$H76)&gt;0,Parameters!$H76&amp;Parameters!$G76,"")</f>
        <v/>
      </c>
      <c r="H76" s="62" t="str">
        <f>IF(LEN(Parameters!$I76)&gt;0,Parameters!$I76&amp;Parameters!$G76,"")</f>
        <v>I18</v>
      </c>
      <c r="I76" s="62" t="str">
        <f>IF(LEN(Parameters!$J76)&gt;0,Parameters!$J76&amp;Parameters!$G76,"")</f>
        <v>J18</v>
      </c>
      <c r="J76" s="62">
        <v>4.67</v>
      </c>
      <c r="K76" s="62">
        <v>0.2933673469387756</v>
      </c>
      <c r="L76" s="62">
        <v>4.13</v>
      </c>
      <c r="M76" s="62">
        <v>5.28</v>
      </c>
      <c r="N76" s="62">
        <v>0.0</v>
      </c>
      <c r="O76" s="62">
        <v>100.0</v>
      </c>
      <c r="P76" s="62" t="str">
        <f>"The base case value is "&amp;IF(ISNUMBER(Defaults!$J76),ROUND(Defaults!$J76,3),Defaults!$J76)&amp;
IF(LEN(Defaults!$K76)&gt;0,", with a variance of "&amp;ROUND(Defaults!$K76,3)&amp;".","")&amp;
IF(LEN(Defaults!$N76)&gt;0," The limits of the parameter are set at: "&amp;ROUND(Defaults!$N76,2)&amp;"--&gt;"&amp;ROUND(Defaults!$O76,2)&amp;".","")</f>
        <v>The base case value is 4,67, with a variance of 0,293. The limits of the parameter are set at: 0--&gt;100.</v>
      </c>
      <c r="Q76" s="72"/>
      <c r="R76" s="72" t="s">
        <v>368</v>
      </c>
      <c r="S76" s="63"/>
      <c r="T76" s="63"/>
      <c r="U76" s="63"/>
      <c r="V76" s="63"/>
      <c r="W76" s="63"/>
      <c r="X76" s="6"/>
      <c r="Y76" s="6"/>
      <c r="Z76" s="6"/>
      <c r="AA76" s="6"/>
    </row>
    <row r="77" ht="14.25" customHeight="1">
      <c r="A77" s="6"/>
      <c r="B77" s="6"/>
      <c r="C77" s="63">
        <f t="shared" si="1"/>
        <v>71</v>
      </c>
      <c r="D77" s="62" t="str">
        <f>Parameters!$D77</f>
        <v>Mortality during CABG</v>
      </c>
      <c r="E77" s="62" t="str">
        <f>Parameters!$E77</f>
        <v>Background</v>
      </c>
      <c r="F77" s="62" t="str">
        <f>Parameters!$F77&amp;Parameters!$G77</f>
        <v>F20</v>
      </c>
      <c r="G77" s="62" t="str">
        <f>IF(LEN(Parameters!$H77)&gt;0,Parameters!$H77&amp;Parameters!$G77,"")</f>
        <v>H20</v>
      </c>
      <c r="H77" s="62" t="str">
        <f>IF(LEN(Parameters!$I77)&gt;0,Parameters!$I77&amp;Parameters!$G77,"")</f>
        <v/>
      </c>
      <c r="I77" s="62" t="str">
        <f>IF(LEN(Parameters!$J77)&gt;0,Parameters!$J77&amp;Parameters!$G77,"")</f>
        <v/>
      </c>
      <c r="J77" s="62">
        <v>0.61</v>
      </c>
      <c r="K77" s="62">
        <v>5.748176071474581E-4</v>
      </c>
      <c r="L77" s="62" t="s">
        <v>240</v>
      </c>
      <c r="M77" s="62" t="s">
        <v>240</v>
      </c>
      <c r="N77" s="62">
        <v>0.0</v>
      </c>
      <c r="O77" s="62">
        <v>100.0</v>
      </c>
      <c r="P77" s="62" t="str">
        <f>"The base case value is "&amp;IF(ISNUMBER(Defaults!$J77),ROUND(Defaults!$J77,3),Defaults!$J77)&amp;
IF(LEN(Defaults!$K77)&gt;0,", with a variance of "&amp;ROUND(Defaults!$K77,3)&amp;".","")&amp;
IF(LEN(Defaults!$N77)&gt;0," The limits of the parameter are set at: "&amp;ROUND(Defaults!$N77,2)&amp;"--&gt;"&amp;ROUND(Defaults!$O77,2)&amp;".","")</f>
        <v>The base case value is 0,61, with a variance of 0,001. The limits of the parameter are set at: 0--&gt;100.</v>
      </c>
      <c r="Q77" s="72"/>
      <c r="R77" s="72" t="s">
        <v>373</v>
      </c>
      <c r="S77" s="63"/>
      <c r="T77" s="63"/>
      <c r="U77" s="63"/>
      <c r="V77" s="63"/>
      <c r="W77" s="63"/>
      <c r="X77" s="6"/>
      <c r="Y77" s="6"/>
      <c r="Z77" s="6"/>
      <c r="AA77" s="6"/>
    </row>
    <row r="78" ht="14.25" customHeight="1">
      <c r="A78" s="6"/>
      <c r="B78" s="6"/>
      <c r="C78" s="63">
        <f t="shared" si="1"/>
        <v>72</v>
      </c>
      <c r="D78" s="62" t="str">
        <f>Parameters!$D78</f>
        <v>Prolonged MV, days</v>
      </c>
      <c r="E78" s="62" t="str">
        <f>Parameters!$E78</f>
        <v>Background</v>
      </c>
      <c r="F78" s="62" t="str">
        <f>Parameters!$F78&amp;Parameters!$G78</f>
        <v>F22</v>
      </c>
      <c r="G78" s="62" t="str">
        <f>IF(LEN(Parameters!$H78)&gt;0,Parameters!$H78&amp;Parameters!$G78,"")</f>
        <v>H22</v>
      </c>
      <c r="H78" s="62" t="str">
        <f>IF(LEN(Parameters!$I78)&gt;0,Parameters!$I78&amp;Parameters!$G78,"")</f>
        <v/>
      </c>
      <c r="I78" s="62" t="str">
        <f>IF(LEN(Parameters!$J78)&gt;0,Parameters!$J78&amp;Parameters!$G78,"")</f>
        <v/>
      </c>
      <c r="J78" s="62">
        <v>7.9</v>
      </c>
      <c r="K78" s="62">
        <v>8.5</v>
      </c>
      <c r="L78" s="62">
        <v>0.0</v>
      </c>
      <c r="M78" s="62">
        <v>0.0</v>
      </c>
      <c r="N78" s="62">
        <v>2.0</v>
      </c>
      <c r="O78" s="62">
        <v>30.0</v>
      </c>
      <c r="P78" s="62" t="str">
        <f>"The base case value is "&amp;IF(ISNUMBER(Defaults!$J78),ROUND(Defaults!$J78,3),Defaults!$J78)&amp;
IF(LEN(Defaults!$K78)&gt;0,", with a variance of "&amp;ROUND(Defaults!$K78,3)&amp;".","")&amp;
IF(LEN(Defaults!$N78)&gt;0," The limits of the parameter are set at: "&amp;ROUND(Defaults!$N78,2)&amp;"--&gt;"&amp;ROUND(Defaults!$O78,2)&amp;".","")</f>
        <v>The base case value is 7,9, with a variance of 8,5. The limits of the parameter are set at: 2--&gt;30.</v>
      </c>
      <c r="Q78" s="72"/>
      <c r="R78" s="72" t="s">
        <v>374</v>
      </c>
      <c r="S78" s="63"/>
      <c r="T78" s="63"/>
      <c r="U78" s="63"/>
      <c r="V78" s="63"/>
      <c r="W78" s="63"/>
      <c r="X78" s="6"/>
      <c r="Y78" s="6"/>
      <c r="Z78" s="6"/>
      <c r="AA78" s="6"/>
    </row>
    <row r="79" ht="14.25" customHeight="1">
      <c r="A79" s="6"/>
      <c r="B79" s="6"/>
      <c r="C79" s="63">
        <f t="shared" si="1"/>
        <v>73</v>
      </c>
      <c r="D79" s="62" t="str">
        <f>Parameters!$D79</f>
        <v>Mortality cost</v>
      </c>
      <c r="E79" s="62" t="str">
        <f>Parameters!$E79</f>
        <v>Costs AE</v>
      </c>
      <c r="F79" s="62" t="str">
        <f>Parameters!$F79&amp;Parameters!$G79</f>
        <v>F22</v>
      </c>
      <c r="G79" s="62" t="str">
        <f>IF(LEN(Parameters!$H79)&gt;0,Parameters!$H79&amp;Parameters!$G79,"")</f>
        <v>H22</v>
      </c>
      <c r="H79" s="62" t="str">
        <f>IF(LEN(Parameters!$I79)&gt;0,Parameters!$I79&amp;Parameters!$G79,"")</f>
        <v/>
      </c>
      <c r="I79" s="62" t="str">
        <f>IF(LEN(Parameters!$J79)&gt;0,Parameters!$J79&amp;Parameters!$G79,"")</f>
        <v/>
      </c>
      <c r="J79" s="62">
        <v>0.0</v>
      </c>
      <c r="K79" s="62">
        <v>100.0</v>
      </c>
      <c r="L79" s="62" t="s">
        <v>240</v>
      </c>
      <c r="M79" s="62" t="s">
        <v>240</v>
      </c>
      <c r="N79" s="62">
        <v>0.0</v>
      </c>
      <c r="O79" s="62">
        <v>20000.0</v>
      </c>
      <c r="P79" s="62" t="str">
        <f>"The base case value is "&amp;IF(ISNUMBER(Defaults!$J79),ROUND(Defaults!$J79,3),Defaults!$J79)&amp;
IF(LEN(Defaults!$K79)&gt;0,", with a variance of "&amp;ROUND(Defaults!$K79,3)&amp;".","")&amp;
IF(LEN(Defaults!$N79)&gt;0," The limits of the parameter are set at: "&amp;ROUND(Defaults!$N79,2)&amp;"--&gt;"&amp;ROUND(Defaults!$O79,2)&amp;".","")</f>
        <v>The base case value is 0, with a variance of 100. The limits of the parameter are set at: 0--&gt;20000.</v>
      </c>
      <c r="Q79" s="72" t="s">
        <v>375</v>
      </c>
      <c r="R79" s="72" t="s">
        <v>268</v>
      </c>
      <c r="S79" s="63"/>
      <c r="T79" s="63"/>
      <c r="U79" s="63"/>
      <c r="V79" s="63"/>
      <c r="W79" s="63"/>
      <c r="X79" s="6"/>
      <c r="Y79" s="6"/>
      <c r="Z79" s="6"/>
      <c r="AA79" s="6"/>
    </row>
    <row r="80" ht="14.25" customHeight="1">
      <c r="A80" s="6"/>
      <c r="B80" s="6"/>
      <c r="C80" s="63">
        <f t="shared" si="1"/>
        <v>74</v>
      </c>
      <c r="D80" s="62" t="str">
        <f>Parameters!$D80</f>
        <v>ICU days as proportion of SSI days</v>
      </c>
      <c r="E80" s="62" t="str">
        <f>Parameters!$E80</f>
        <v>Background</v>
      </c>
      <c r="F80" s="62" t="str">
        <f>Parameters!$F80&amp;Parameters!$G80</f>
        <v>F24</v>
      </c>
      <c r="G80" s="62" t="str">
        <f>IF(LEN(Parameters!$H80)&gt;0,Parameters!$H80&amp;Parameters!$G80,"")</f>
        <v>H24</v>
      </c>
      <c r="H80" s="62" t="str">
        <f>IF(LEN(Parameters!$I80)&gt;0,Parameters!$I80&amp;Parameters!$G80,"")</f>
        <v/>
      </c>
      <c r="I80" s="62" t="str">
        <f>IF(LEN(Parameters!$J80)&gt;0,Parameters!$J80&amp;Parameters!$G80,"")</f>
        <v/>
      </c>
      <c r="J80" s="62">
        <f>1.36/(6.1+1.36)</f>
        <v>0.18230563</v>
      </c>
      <c r="K80" s="62">
        <f>Defaults!$J80/10</f>
        <v>0.018230563</v>
      </c>
      <c r="L80" s="62" t="s">
        <v>240</v>
      </c>
      <c r="M80" s="62" t="s">
        <v>240</v>
      </c>
      <c r="N80" s="62">
        <v>0.0</v>
      </c>
      <c r="O80" s="62">
        <v>20000.0</v>
      </c>
      <c r="P80" s="62" t="str">
        <f>"The base case value is "&amp;IF(ISNUMBER(Defaults!$J80),ROUND(Defaults!$J80,3),Defaults!$J80)&amp;
IF(LEN(Defaults!$K80)&gt;0,", with a variance of "&amp;ROUND(Defaults!$K80,3)&amp;".","")&amp;
IF(LEN(Defaults!$N80)&gt;0," The limits of the parameter are set at: "&amp;ROUND(Defaults!$N80,2)&amp;"--&gt;"&amp;ROUND(Defaults!$O80,2)&amp;".","")</f>
        <v>The base case value is 0,182, with a variance of 0,018. The limits of the parameter are set at: 0--&gt;20000.</v>
      </c>
      <c r="Q80" s="72" t="s">
        <v>377</v>
      </c>
      <c r="R80" s="72" t="s">
        <v>378</v>
      </c>
      <c r="S80" s="63"/>
      <c r="T80" s="63"/>
      <c r="U80" s="63"/>
      <c r="V80" s="63"/>
      <c r="W80" s="63"/>
      <c r="X80" s="6"/>
      <c r="Y80" s="6"/>
      <c r="Z80" s="6"/>
      <c r="AA80" s="6"/>
    </row>
    <row r="81" ht="14.25" customHeight="1">
      <c r="A81" s="6"/>
      <c r="B81" s="6"/>
      <c r="C81" s="63">
        <f t="shared" si="1"/>
        <v>75</v>
      </c>
      <c r="D81" s="62" t="str">
        <f>Parameters!$D81</f>
        <v>Obese with diabetes</v>
      </c>
      <c r="E81" s="62" t="str">
        <f>Parameters!$E81</f>
        <v>Background</v>
      </c>
      <c r="F81" s="62" t="str">
        <f>Parameters!$F81&amp;Parameters!$G81</f>
        <v>F26</v>
      </c>
      <c r="G81" s="62" t="str">
        <f>IF(LEN(Parameters!$H81)&gt;0,Parameters!$H81&amp;Parameters!$G81,"")</f>
        <v>H26</v>
      </c>
      <c r="H81" s="62" t="str">
        <f>IF(LEN(Parameters!$I81)&gt;0,Parameters!$I81&amp;Parameters!$G81,"")</f>
        <v/>
      </c>
      <c r="I81" s="62" t="str">
        <f>IF(LEN(Parameters!$J81)&gt;0,Parameters!$J81&amp;Parameters!$G81,"")</f>
        <v/>
      </c>
      <c r="J81" s="62">
        <v>65.0</v>
      </c>
      <c r="K81" s="62">
        <v>6.5</v>
      </c>
      <c r="L81" s="62" t="s">
        <v>240</v>
      </c>
      <c r="M81" s="62" t="s">
        <v>240</v>
      </c>
      <c r="N81" s="62">
        <v>0.0</v>
      </c>
      <c r="O81" s="62">
        <v>20000.0</v>
      </c>
      <c r="P81" s="62" t="str">
        <f>"The base case value is "&amp;IF(ISNUMBER(Defaults!$J81),ROUND(Defaults!$J81,3),Defaults!$J81)&amp;
IF(LEN(Defaults!$K81)&gt;0,", with a variance of "&amp;ROUND(Defaults!$K81,3)&amp;".","")&amp;
IF(LEN(Defaults!$N81)&gt;0," The limits of the parameter are set at: "&amp;ROUND(Defaults!$N81,2)&amp;"--&gt;"&amp;ROUND(Defaults!$O81,2)&amp;".","")</f>
        <v>The base case value is 65, with a variance of 6,5. The limits of the parameter are set at: 0--&gt;20000.</v>
      </c>
      <c r="Q81" s="72" t="s">
        <v>379</v>
      </c>
      <c r="R81" s="72" t="s">
        <v>260</v>
      </c>
      <c r="S81" s="63"/>
      <c r="T81" s="63"/>
      <c r="U81" s="63"/>
      <c r="V81" s="63"/>
      <c r="W81" s="63"/>
      <c r="X81" s="6"/>
      <c r="Y81" s="6"/>
      <c r="Z81" s="6"/>
      <c r="AA81" s="6"/>
    </row>
    <row r="82" ht="14.25" customHeight="1">
      <c r="A82" s="6"/>
      <c r="B82" s="6"/>
      <c r="C82" s="63"/>
      <c r="D82" s="62"/>
      <c r="E82" s="62"/>
      <c r="F82" s="62"/>
      <c r="G82" s="62"/>
      <c r="H82" s="62"/>
      <c r="I82" s="62"/>
      <c r="J82" s="62"/>
      <c r="K82" s="62"/>
      <c r="L82" s="62"/>
      <c r="M82" s="62"/>
      <c r="N82" s="62"/>
      <c r="O82" s="62"/>
      <c r="P82" s="63"/>
      <c r="Q82" s="63"/>
      <c r="R82" s="63"/>
      <c r="S82" s="63"/>
      <c r="T82" s="63"/>
      <c r="U82" s="63"/>
      <c r="V82" s="63"/>
      <c r="W82" s="63"/>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21.0"/>
    <col customWidth="1" min="2" max="5" width="8.63"/>
    <col customWidth="1" min="6" max="7" width="12.88"/>
    <col customWidth="1" min="8" max="8" width="12.0"/>
    <col customWidth="1" min="9" max="9" width="14.75"/>
    <col customWidth="1" min="10" max="10" width="8.63"/>
    <col customWidth="1" min="11" max="12" width="14.5"/>
    <col customWidth="1" min="13" max="16" width="8.63"/>
    <col customWidth="1" min="17" max="17" width="14.5"/>
    <col customWidth="1" min="18" max="18" width="11.88"/>
    <col customWidth="1" min="19" max="19" width="8.63"/>
    <col customWidth="1" min="20" max="20" width="9.63"/>
    <col customWidth="1" min="21" max="23" width="8.63"/>
    <col customWidth="1" min="24" max="24" width="12.0"/>
    <col customWidth="1" min="25" max="26"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2"/>
      <c r="Y1" s="2"/>
      <c r="Z1" s="2"/>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8"/>
      <c r="Y2" s="8"/>
      <c r="Z2" s="8"/>
    </row>
    <row r="3" ht="14.25" customHeight="1">
      <c r="A3" s="12"/>
    </row>
    <row r="4" ht="21.0" customHeight="1">
      <c r="A4" s="13" t="s">
        <v>2</v>
      </c>
      <c r="B4" s="14"/>
      <c r="C4" s="15" t="s">
        <v>287</v>
      </c>
      <c r="D4" s="15"/>
      <c r="E4" s="15"/>
      <c r="F4" s="16" t="s">
        <v>288</v>
      </c>
      <c r="G4" s="17"/>
      <c r="H4" s="17"/>
      <c r="I4" s="17"/>
      <c r="J4" s="17"/>
      <c r="K4" s="17"/>
      <c r="L4" s="17"/>
      <c r="M4" s="17"/>
      <c r="N4" s="17"/>
      <c r="O4" s="17"/>
      <c r="P4" s="17"/>
      <c r="Q4" s="17"/>
      <c r="R4" s="17"/>
      <c r="S4" s="17"/>
      <c r="T4" s="17"/>
      <c r="U4" s="17"/>
      <c r="V4" s="18"/>
      <c r="W4" s="14"/>
      <c r="X4" s="14"/>
      <c r="Y4" s="14"/>
      <c r="Z4" s="14"/>
    </row>
    <row r="5" ht="14.25" customHeight="1">
      <c r="A5" s="12"/>
    </row>
    <row r="6" ht="14.25" customHeight="1">
      <c r="A6" s="19" t="s">
        <v>7</v>
      </c>
      <c r="B6" s="6"/>
      <c r="C6" s="21"/>
      <c r="D6" s="21"/>
      <c r="F6" s="21"/>
      <c r="O6" s="6"/>
      <c r="P6" s="6"/>
      <c r="Q6" s="6"/>
      <c r="R6" s="6"/>
      <c r="S6" s="6"/>
      <c r="T6" s="6"/>
      <c r="U6" s="6"/>
      <c r="V6" s="6"/>
      <c r="W6" s="6"/>
      <c r="X6" s="6"/>
      <c r="Y6" s="6"/>
      <c r="Z6" s="6"/>
    </row>
    <row r="7" ht="14.25" customHeight="1">
      <c r="A7" s="12"/>
      <c r="B7" s="6"/>
      <c r="C7" t="s">
        <v>290</v>
      </c>
      <c r="O7" s="6"/>
      <c r="P7" s="6"/>
      <c r="Q7" s="6"/>
      <c r="R7" s="6"/>
      <c r="S7" s="6"/>
      <c r="T7" s="6"/>
      <c r="U7" s="6"/>
      <c r="V7" s="6"/>
      <c r="W7" s="6"/>
      <c r="X7" s="6"/>
      <c r="Y7" s="6"/>
      <c r="Z7" s="6"/>
    </row>
    <row r="8" ht="14.25" customHeight="1">
      <c r="A8" s="19" t="s">
        <v>4</v>
      </c>
      <c r="B8" s="6"/>
      <c r="O8" s="6"/>
      <c r="P8" s="6"/>
      <c r="Q8" s="6"/>
      <c r="R8" s="6"/>
      <c r="S8" s="6"/>
      <c r="T8" s="6"/>
      <c r="U8" s="6"/>
      <c r="V8" s="6"/>
      <c r="W8" s="6"/>
      <c r="X8" s="6"/>
      <c r="Y8" s="6"/>
      <c r="Z8" s="6"/>
    </row>
    <row r="9" ht="14.25" customHeight="1">
      <c r="A9" s="12"/>
      <c r="B9" s="6"/>
      <c r="O9" s="6"/>
      <c r="P9" s="6"/>
      <c r="Q9" s="6"/>
      <c r="R9" s="6"/>
      <c r="S9" s="6"/>
      <c r="T9" s="6"/>
      <c r="U9" s="6"/>
      <c r="V9" s="6"/>
      <c r="W9" s="6"/>
      <c r="X9" s="6"/>
      <c r="Y9" s="6"/>
      <c r="Z9" s="6"/>
    </row>
    <row r="10" ht="14.25" customHeight="1">
      <c r="A10" s="19" t="s">
        <v>3</v>
      </c>
      <c r="B10" s="6"/>
      <c r="O10" s="6"/>
      <c r="P10" s="6"/>
      <c r="Q10" s="6"/>
      <c r="R10" s="6"/>
      <c r="S10" s="6"/>
      <c r="T10" s="6" t="s">
        <v>293</v>
      </c>
      <c r="U10" s="6">
        <v>2.959246</v>
      </c>
      <c r="V10" s="6">
        <v>-30.0</v>
      </c>
      <c r="W10" s="6">
        <f t="shared" ref="W10:W13" si="1">10^V10</f>
        <v>0</v>
      </c>
      <c r="X10" s="6">
        <f t="shared" ref="X10:X13" si="2">U10*W10</f>
        <v>0</v>
      </c>
      <c r="Y10" s="6"/>
      <c r="Z10" s="6"/>
    </row>
    <row r="11" ht="14.25" customHeight="1">
      <c r="A11" s="12"/>
      <c r="B11" s="6"/>
      <c r="O11" s="6"/>
      <c r="P11" s="6"/>
      <c r="Q11" s="6"/>
      <c r="R11" s="6"/>
      <c r="S11" s="6"/>
      <c r="T11" s="6" t="s">
        <v>294</v>
      </c>
      <c r="U11" s="6">
        <v>6.9272629901</v>
      </c>
      <c r="V11" s="6">
        <v>0.0</v>
      </c>
      <c r="W11" s="6">
        <f t="shared" si="1"/>
        <v>1</v>
      </c>
      <c r="X11" s="6">
        <f t="shared" si="2"/>
        <v>6.92726299</v>
      </c>
      <c r="Y11" s="6"/>
      <c r="Z11" s="6"/>
    </row>
    <row r="12" ht="14.25" customHeight="1">
      <c r="A12" s="60" t="s">
        <v>22</v>
      </c>
      <c r="B12" s="6"/>
      <c r="O12" s="6"/>
      <c r="P12" s="6"/>
      <c r="Q12" s="6"/>
      <c r="R12" s="6"/>
      <c r="S12" s="6"/>
      <c r="T12" s="6" t="s">
        <v>295</v>
      </c>
      <c r="U12" s="6">
        <v>1.079844131</v>
      </c>
      <c r="V12" s="6">
        <v>0.0</v>
      </c>
      <c r="W12" s="6">
        <f t="shared" si="1"/>
        <v>1</v>
      </c>
      <c r="X12" s="6">
        <f t="shared" si="2"/>
        <v>1.079844131</v>
      </c>
      <c r="Y12" s="6"/>
      <c r="Z12" s="6"/>
    </row>
    <row r="13" ht="14.25" customHeight="1">
      <c r="A13" s="12"/>
      <c r="B13" s="6"/>
      <c r="O13" s="6"/>
      <c r="P13" s="6"/>
      <c r="Q13" s="6"/>
      <c r="R13" s="6"/>
      <c r="S13" s="6"/>
      <c r="T13" s="6" t="s">
        <v>297</v>
      </c>
      <c r="U13" s="6">
        <v>2.372691718</v>
      </c>
      <c r="V13" s="6">
        <v>1.0</v>
      </c>
      <c r="W13" s="6">
        <f t="shared" si="1"/>
        <v>10</v>
      </c>
      <c r="X13" s="6">
        <f t="shared" si="2"/>
        <v>23.72691718</v>
      </c>
      <c r="Y13" s="6"/>
      <c r="Z13" s="6"/>
    </row>
    <row r="14" ht="14.25" customHeight="1">
      <c r="A14" s="60" t="s">
        <v>27</v>
      </c>
      <c r="B14" s="6"/>
      <c r="O14" s="6"/>
      <c r="P14" s="6"/>
      <c r="Q14" s="6"/>
      <c r="R14" s="6"/>
      <c r="S14" s="6"/>
      <c r="T14" s="6"/>
      <c r="U14" s="6"/>
      <c r="V14" s="6"/>
      <c r="W14" s="6"/>
      <c r="X14" s="6"/>
      <c r="Y14" s="6"/>
      <c r="Z14" s="6"/>
    </row>
    <row r="15" ht="14.25" customHeight="1">
      <c r="A15" s="12"/>
      <c r="B15" s="6"/>
      <c r="O15" s="6"/>
      <c r="P15" s="6"/>
      <c r="Q15" s="6"/>
      <c r="R15" s="6"/>
      <c r="S15" s="6"/>
      <c r="T15" s="25" t="s">
        <v>298</v>
      </c>
      <c r="U15" s="25" t="s">
        <v>299</v>
      </c>
      <c r="V15" s="6"/>
      <c r="W15" s="6"/>
      <c r="X15" s="6"/>
      <c r="Y15" s="6"/>
      <c r="Z15" s="6"/>
    </row>
    <row r="16" ht="14.25" customHeight="1">
      <c r="A16" s="60" t="s">
        <v>35</v>
      </c>
      <c r="B16" s="6"/>
      <c r="O16" s="6"/>
      <c r="P16" s="6"/>
      <c r="Q16" s="6"/>
      <c r="R16" s="6"/>
      <c r="S16" s="6"/>
      <c r="T16" s="32">
        <v>0.0</v>
      </c>
      <c r="U16" s="30">
        <f t="shared" ref="U16:U17" si="3">$X$10+(($X$11*POWER(T16,$X$12))/(POWER($X$13,$X$12)+POWER(T16,$X$12)))</f>
        <v>0</v>
      </c>
      <c r="V16" s="6"/>
      <c r="W16" s="6"/>
      <c r="X16" s="6"/>
      <c r="Y16" s="6"/>
      <c r="Z16" s="6"/>
    </row>
    <row r="17" ht="14.25" customHeight="1">
      <c r="A17" s="12"/>
      <c r="B17" s="6"/>
      <c r="O17" s="6"/>
      <c r="P17" s="6"/>
      <c r="Q17" s="6"/>
      <c r="R17" s="6"/>
      <c r="S17" s="6"/>
      <c r="T17" s="32">
        <v>1.0</v>
      </c>
      <c r="U17" s="30">
        <f t="shared" si="3"/>
        <v>0.219547439</v>
      </c>
      <c r="V17" s="6"/>
      <c r="W17" s="6"/>
      <c r="X17" s="6"/>
      <c r="Y17" s="6"/>
      <c r="Z17" s="6"/>
    </row>
    <row r="18" ht="14.25" customHeight="1">
      <c r="A18" s="60" t="s">
        <v>38</v>
      </c>
      <c r="B18" s="6"/>
      <c r="O18" s="6"/>
      <c r="P18" s="6"/>
      <c r="Q18" s="6"/>
      <c r="R18" s="6"/>
      <c r="S18" s="6"/>
      <c r="T18" s="6"/>
      <c r="U18" s="6"/>
      <c r="V18" s="6"/>
      <c r="W18" s="6"/>
      <c r="X18" s="6"/>
      <c r="Y18" s="6"/>
      <c r="Z18" s="6"/>
    </row>
    <row r="19" ht="14.25" customHeight="1">
      <c r="A19" s="12"/>
      <c r="B19" s="6"/>
      <c r="O19" s="6"/>
      <c r="P19" s="6"/>
      <c r="Q19" s="6"/>
      <c r="R19" s="6"/>
      <c r="S19" s="6"/>
      <c r="T19" s="73" t="s">
        <v>140</v>
      </c>
      <c r="U19" s="30">
        <f>(U17-U16)</f>
        <v>0.219547439</v>
      </c>
      <c r="V19" s="6"/>
      <c r="W19" s="6"/>
      <c r="X19" s="6"/>
      <c r="Y19" s="6"/>
      <c r="Z19" s="6"/>
    </row>
    <row r="20" ht="14.25" customHeight="1">
      <c r="A20" s="60" t="s">
        <v>183</v>
      </c>
      <c r="B20" s="6"/>
      <c r="O20" s="6"/>
      <c r="P20" s="6"/>
      <c r="Q20" s="6"/>
      <c r="R20" s="6"/>
      <c r="S20" s="6"/>
      <c r="T20" s="73" t="s">
        <v>3</v>
      </c>
      <c r="U20" s="30">
        <f>(100-U16)/(100-D31)</f>
        <v>1</v>
      </c>
      <c r="V20" s="6"/>
      <c r="W20" s="6"/>
      <c r="X20" s="6"/>
      <c r="Y20" s="6"/>
      <c r="Z20" s="6"/>
    </row>
    <row r="21" ht="14.25" customHeight="1">
      <c r="A21" s="12"/>
      <c r="B21" s="6"/>
      <c r="O21" s="6"/>
      <c r="P21" s="6"/>
      <c r="Q21" s="6"/>
      <c r="R21" s="6"/>
      <c r="S21" s="6"/>
      <c r="T21" s="73" t="s">
        <v>301</v>
      </c>
      <c r="U21" s="30">
        <f>U19/U20</f>
        <v>0.219547439</v>
      </c>
      <c r="V21" s="6"/>
      <c r="W21" s="6"/>
      <c r="X21" s="6"/>
      <c r="Y21" s="6"/>
      <c r="Z21" s="6"/>
    </row>
    <row r="22" ht="14.25" customHeight="1">
      <c r="A22" s="12"/>
      <c r="B22" s="6"/>
      <c r="O22" s="6"/>
      <c r="P22" s="6"/>
      <c r="Q22" s="6"/>
      <c r="R22" s="6"/>
      <c r="S22" s="6"/>
      <c r="T22" s="6"/>
      <c r="U22" s="6"/>
      <c r="V22" s="6"/>
      <c r="W22" s="6"/>
      <c r="X22" s="6"/>
      <c r="Y22" s="6"/>
      <c r="Z22" s="6"/>
    </row>
    <row r="23" ht="14.25" customHeight="1">
      <c r="A23" s="12"/>
      <c r="B23" s="6"/>
      <c r="O23" s="6"/>
      <c r="P23" s="6"/>
      <c r="Q23" s="6"/>
      <c r="R23" s="6"/>
      <c r="S23" s="6"/>
      <c r="T23" s="6"/>
      <c r="U23" s="6"/>
      <c r="V23" s="6"/>
      <c r="W23" s="6"/>
      <c r="X23" s="6"/>
      <c r="Y23" s="6"/>
      <c r="Z23" s="6"/>
    </row>
    <row r="24" ht="14.25" customHeight="1">
      <c r="A24" s="12"/>
      <c r="B24" s="6"/>
      <c r="C24" s="6"/>
      <c r="D24" s="6"/>
      <c r="E24" s="6"/>
      <c r="F24" s="6"/>
      <c r="G24" s="6"/>
      <c r="H24" s="6"/>
      <c r="I24" s="6"/>
      <c r="J24" s="6"/>
      <c r="K24" s="6"/>
      <c r="L24" s="6"/>
      <c r="M24" s="6"/>
      <c r="N24" s="6"/>
      <c r="O24" s="6"/>
      <c r="P24" s="6"/>
      <c r="Q24" s="6"/>
      <c r="R24" s="6"/>
      <c r="S24" s="6"/>
      <c r="T24" s="6"/>
      <c r="U24" s="6"/>
      <c r="V24" s="6"/>
      <c r="W24" s="6"/>
      <c r="X24" s="6"/>
      <c r="Y24" s="6"/>
      <c r="Z24" s="6"/>
    </row>
    <row r="25" ht="14.25" customHeight="1">
      <c r="A25" s="12"/>
      <c r="B25" s="6"/>
      <c r="C25" s="6"/>
      <c r="D25" s="6"/>
      <c r="E25" s="6"/>
      <c r="F25" s="6"/>
      <c r="G25" s="6"/>
      <c r="H25" s="6"/>
      <c r="I25" s="6"/>
      <c r="J25" s="6"/>
      <c r="K25" s="6"/>
      <c r="L25" s="6"/>
      <c r="M25" s="6"/>
      <c r="N25" s="6"/>
      <c r="O25" s="6"/>
      <c r="P25" s="6"/>
      <c r="Q25" s="6"/>
      <c r="R25" s="6"/>
      <c r="S25" s="6"/>
      <c r="T25" s="6"/>
      <c r="U25" s="6"/>
      <c r="V25" s="6"/>
      <c r="W25" s="6"/>
      <c r="X25" s="6"/>
      <c r="Y25" s="6"/>
      <c r="Z25" s="6"/>
    </row>
    <row r="26" ht="14.25" customHeight="1">
      <c r="A26" s="12"/>
      <c r="B26" s="6"/>
      <c r="C26" s="6"/>
      <c r="D26" s="6"/>
      <c r="E26" s="6"/>
      <c r="F26" s="6"/>
      <c r="G26" s="6"/>
      <c r="H26" s="6"/>
      <c r="I26" s="6"/>
      <c r="J26" s="6"/>
      <c r="K26" s="6"/>
      <c r="L26" s="6"/>
      <c r="M26" s="6"/>
      <c r="N26" s="6"/>
      <c r="O26" s="6"/>
      <c r="P26" s="6"/>
      <c r="Q26" s="6"/>
      <c r="R26" s="6"/>
      <c r="S26" s="6"/>
      <c r="T26" s="6"/>
      <c r="U26" s="6"/>
      <c r="V26" s="6"/>
      <c r="W26" s="6"/>
      <c r="X26" s="6"/>
      <c r="Y26" s="6"/>
      <c r="Z26" s="6"/>
    </row>
    <row r="27" ht="14.25" customHeight="1">
      <c r="A27" s="12"/>
      <c r="B27" s="6"/>
      <c r="C27" s="6"/>
      <c r="D27" s="6"/>
      <c r="E27" s="6"/>
      <c r="F27" s="6"/>
      <c r="G27" s="6"/>
      <c r="H27" s="6"/>
      <c r="I27" s="6"/>
      <c r="J27" s="6"/>
      <c r="K27" s="6"/>
      <c r="L27" s="6"/>
      <c r="M27" s="6"/>
      <c r="N27" s="6"/>
      <c r="O27" s="6"/>
      <c r="P27" s="6"/>
      <c r="Q27" s="6"/>
      <c r="R27" s="6"/>
      <c r="S27" s="6"/>
      <c r="T27" s="6"/>
      <c r="U27" s="6"/>
      <c r="V27" s="6"/>
      <c r="W27" s="6"/>
      <c r="X27" s="6"/>
      <c r="Y27" s="6"/>
      <c r="Z27" s="6"/>
    </row>
    <row r="28" ht="14.25" customHeight="1">
      <c r="A28" s="12"/>
      <c r="B28" s="6"/>
      <c r="C28" s="6"/>
      <c r="D28" s="6" t="s">
        <v>302</v>
      </c>
      <c r="E28" s="6" t="s">
        <v>303</v>
      </c>
      <c r="F28" s="6" t="s">
        <v>304</v>
      </c>
      <c r="G28" s="6" t="s">
        <v>140</v>
      </c>
      <c r="H28" s="6"/>
      <c r="I28" s="6"/>
      <c r="J28" s="6"/>
      <c r="K28" s="6"/>
      <c r="L28" s="6"/>
      <c r="M28" s="6"/>
      <c r="N28" s="6"/>
      <c r="O28" s="6"/>
      <c r="P28" s="6"/>
      <c r="Q28" s="6"/>
      <c r="R28" s="6"/>
      <c r="S28" s="6"/>
      <c r="T28" s="6"/>
      <c r="U28" s="6"/>
      <c r="V28" s="6"/>
      <c r="W28" s="6"/>
      <c r="X28" s="6"/>
      <c r="Y28" s="6"/>
      <c r="Z28" s="6"/>
    </row>
    <row r="29" ht="14.25" customHeight="1">
      <c r="A29" s="12"/>
      <c r="B29" s="6"/>
      <c r="C29" s="6" t="s">
        <v>305</v>
      </c>
      <c r="D29" s="30">
        <f>i_Adv_Surg</f>
        <v>5.49</v>
      </c>
      <c r="E29" s="30">
        <f>i_Adv_SSI</f>
        <v>90</v>
      </c>
      <c r="F29" s="30">
        <f>$X$10+(($X$11*POWER(E29,$X$12))/(POWER($X$13,$X$12)+POWER(E29,$X$12)))</f>
        <v>5.6</v>
      </c>
      <c r="G29" s="30">
        <f>D29/F29</f>
        <v>0.9803571429</v>
      </c>
      <c r="H29" s="6"/>
      <c r="I29" s="6"/>
      <c r="J29" s="6"/>
      <c r="K29" s="6"/>
      <c r="L29" s="6"/>
      <c r="M29" s="6"/>
      <c r="N29" s="6"/>
      <c r="O29" s="6"/>
      <c r="P29" s="6"/>
      <c r="Q29" s="6" t="s">
        <v>307</v>
      </c>
      <c r="R29" s="6"/>
      <c r="S29" s="6"/>
      <c r="T29" s="6"/>
      <c r="U29" s="6"/>
      <c r="V29" s="6"/>
      <c r="W29" s="6"/>
      <c r="X29" s="6"/>
      <c r="Y29" s="6"/>
      <c r="Z29" s="6"/>
    </row>
    <row r="30" ht="14.25" customHeight="1">
      <c r="A30" s="12"/>
      <c r="B30" s="6"/>
      <c r="C30" s="6"/>
      <c r="D30" s="6" t="s">
        <v>308</v>
      </c>
      <c r="E30" s="6" t="s">
        <v>301</v>
      </c>
      <c r="F30" s="6" t="s">
        <v>302</v>
      </c>
      <c r="G30" s="6" t="s">
        <v>309</v>
      </c>
      <c r="H30" s="6"/>
      <c r="I30" s="6"/>
      <c r="J30" s="6"/>
      <c r="K30" t="s">
        <v>302</v>
      </c>
      <c r="L30" s="6" t="s">
        <v>309</v>
      </c>
      <c r="M30" s="6"/>
      <c r="N30" s="6"/>
      <c r="O30" s="6"/>
      <c r="P30" s="6"/>
      <c r="Q30" s="26" t="s">
        <v>302</v>
      </c>
      <c r="R30" s="6" t="s">
        <v>309</v>
      </c>
      <c r="S30" s="6"/>
      <c r="T30" s="6"/>
      <c r="U30" s="6"/>
      <c r="V30" s="6"/>
      <c r="W30" s="6"/>
      <c r="X30" s="6"/>
      <c r="Y30" s="6"/>
      <c r="Z30" s="6"/>
    </row>
    <row r="31" ht="14.25" customHeight="1">
      <c r="A31" s="12"/>
      <c r="B31" s="6"/>
      <c r="C31" s="6">
        <f>Markov!C26</f>
        <v>0</v>
      </c>
      <c r="D31" s="30">
        <v>0.0</v>
      </c>
      <c r="E31" s="30">
        <v>0.0</v>
      </c>
      <c r="F31" s="30">
        <f t="shared" ref="F31:F141" si="4">E31-G31</f>
        <v>0</v>
      </c>
      <c r="G31" s="30">
        <f>E31*(i_Adv_DSWI/100)</f>
        <v>0</v>
      </c>
      <c r="H31" s="6"/>
      <c r="I31" s="6" t="s">
        <v>73</v>
      </c>
      <c r="J31" s="30">
        <f>i_Eve_Hosp</f>
        <v>8</v>
      </c>
      <c r="K31" s="30">
        <f>SUM(OFFSET(F31,0,0,J31+1,1))</f>
        <v>0.00950166263</v>
      </c>
      <c r="L31" s="30">
        <f>SUM(OFFSET(G31,0,0,J31+1,1))</f>
        <v>0.006534898771</v>
      </c>
      <c r="M31" s="6"/>
      <c r="N31" s="6"/>
      <c r="O31" s="6" t="s">
        <v>73</v>
      </c>
      <c r="P31" s="30">
        <f>i_Eve_Hosp</f>
        <v>8</v>
      </c>
      <c r="Q31" s="30"/>
      <c r="R31" s="30"/>
      <c r="S31" s="6"/>
      <c r="T31" s="6"/>
      <c r="U31" s="6"/>
      <c r="V31" s="6"/>
      <c r="W31" s="6"/>
      <c r="X31" s="6"/>
      <c r="Y31" s="6"/>
      <c r="Z31" s="6"/>
    </row>
    <row r="32" ht="14.25" customHeight="1">
      <c r="A32" s="12"/>
      <c r="B32" s="6"/>
      <c r="C32" s="6">
        <f>Markov!C27</f>
        <v>1</v>
      </c>
      <c r="D32" s="30">
        <f t="shared" ref="D32:D141" si="5">($X$10+(($X$11*POWER(C32,$X$12))/(POWER($X$13,$X$12)+POWER(C32,$X$12))))*$G$29</f>
        <v>0.2152349001</v>
      </c>
      <c r="E32" s="30">
        <f t="shared" ref="E32:E141" si="6">(D32-D31)/100</f>
        <v>0.002152349001</v>
      </c>
      <c r="F32" s="30">
        <f t="shared" si="4"/>
        <v>0.001275266783</v>
      </c>
      <c r="G32" s="30">
        <f>(E32)*(i_Adv_DSWI/100)</f>
        <v>0.0008770822178</v>
      </c>
      <c r="H32" s="6"/>
      <c r="I32" s="6"/>
      <c r="J32" s="6" t="s">
        <v>312</v>
      </c>
      <c r="K32" s="30">
        <f>((1-EXP(-((-LN(1-K31))/J31)*1)))</f>
        <v>0.001192674625</v>
      </c>
      <c r="L32" s="30">
        <f>((1-EXP(-((-LN(1-L31))/J31)*1)))</f>
        <v>0.0008192073543</v>
      </c>
      <c r="M32" s="6">
        <f>Markov!I14/L32</f>
        <v>1.309049659</v>
      </c>
      <c r="N32" s="6"/>
      <c r="O32" s="6"/>
      <c r="P32" s="6" t="s">
        <v>312</v>
      </c>
      <c r="Q32" s="30">
        <f>i_Int_Kend_ssi/((1/K32)-1+i_Int_Kend_ssi)</f>
        <v>0.0008828529914</v>
      </c>
      <c r="R32" s="30">
        <f>i_Int_Kend_ssi/((1/L32)-1+i_Int_Kend_ssi)</f>
        <v>0.0006063425895</v>
      </c>
      <c r="S32" s="6"/>
      <c r="T32" s="6"/>
      <c r="U32" s="6"/>
      <c r="V32" s="6"/>
      <c r="W32" s="6"/>
      <c r="X32" s="6"/>
      <c r="Y32" s="6"/>
      <c r="Z32" s="6"/>
    </row>
    <row r="33" ht="14.25" customHeight="1">
      <c r="A33" s="12"/>
      <c r="B33" s="6"/>
      <c r="C33" s="6">
        <f>Markov!C28</f>
        <v>2</v>
      </c>
      <c r="D33" s="30">
        <f t="shared" si="5"/>
        <v>0.4394524376</v>
      </c>
      <c r="E33" s="30">
        <f t="shared" si="6"/>
        <v>0.002242175375</v>
      </c>
      <c r="F33" s="30">
        <f t="shared" si="4"/>
        <v>0.00132848891</v>
      </c>
      <c r="G33" s="30">
        <f>(E33)*(i_Adv_DSWI/100)</f>
        <v>0.0009136864654</v>
      </c>
      <c r="H33" s="6"/>
      <c r="I33" s="6"/>
      <c r="J33" s="6"/>
      <c r="L33" s="6"/>
      <c r="M33" s="6"/>
      <c r="N33" s="6"/>
      <c r="O33" s="6"/>
      <c r="P33" s="6"/>
      <c r="Q33" s="26"/>
      <c r="R33" s="6"/>
      <c r="S33" s="6"/>
      <c r="T33" s="6"/>
      <c r="U33" s="6"/>
      <c r="V33" s="6"/>
      <c r="W33" s="6"/>
      <c r="X33" s="6"/>
      <c r="Y33" s="6"/>
      <c r="Z33" s="6"/>
    </row>
    <row r="34" ht="14.25" customHeight="1">
      <c r="A34" s="12"/>
      <c r="B34" s="6"/>
      <c r="C34" s="6">
        <f>Markov!C29</f>
        <v>3</v>
      </c>
      <c r="D34" s="30">
        <f t="shared" si="5"/>
        <v>0.6574952339</v>
      </c>
      <c r="E34" s="30">
        <f t="shared" si="6"/>
        <v>0.002180427963</v>
      </c>
      <c r="F34" s="30">
        <f t="shared" si="4"/>
        <v>0.001291903568</v>
      </c>
      <c r="G34" s="30">
        <f>(E34)*(i_Adv_DSWI/100)</f>
        <v>0.0008885243948</v>
      </c>
      <c r="H34" s="6"/>
      <c r="I34" s="6" t="s">
        <v>315</v>
      </c>
      <c r="J34" s="30">
        <f>91.3-i_Eve_Hosp</f>
        <v>83.3</v>
      </c>
      <c r="K34" s="30">
        <f>SUM(OFFSET(F31,J31+1,0,ROUND(J34,0),1))</f>
        <v>0.02310067958</v>
      </c>
      <c r="L34" s="30">
        <f>SUM(OFFSET(G31,J31+1,0,J34,1))</f>
        <v>0.01588780917</v>
      </c>
      <c r="M34" s="6"/>
      <c r="N34" s="6"/>
      <c r="O34" s="6" t="s">
        <v>315</v>
      </c>
      <c r="P34" s="30">
        <f>91.3-i_Eve_Hosp</f>
        <v>83.3</v>
      </c>
      <c r="Q34" s="30"/>
      <c r="R34" s="30"/>
      <c r="S34" s="6"/>
      <c r="T34" s="6"/>
      <c r="U34" s="6"/>
      <c r="V34" s="6"/>
      <c r="W34" s="6"/>
      <c r="X34" s="6"/>
      <c r="Y34" s="6"/>
      <c r="Z34" s="6"/>
    </row>
    <row r="35" ht="14.25" customHeight="1">
      <c r="A35" s="12"/>
      <c r="B35" s="6"/>
      <c r="C35" s="6">
        <f>Markov!C30</f>
        <v>4</v>
      </c>
      <c r="D35" s="30">
        <f t="shared" si="5"/>
        <v>0.8664684589</v>
      </c>
      <c r="E35" s="30">
        <f t="shared" si="6"/>
        <v>0.00208973225</v>
      </c>
      <c r="F35" s="30">
        <f t="shared" si="4"/>
        <v>0.001238166358</v>
      </c>
      <c r="G35" s="30">
        <f>(E35)*(i_Adv_DSWI/100)</f>
        <v>0.000851565892</v>
      </c>
      <c r="H35" s="6"/>
      <c r="I35" s="6"/>
      <c r="J35" s="6" t="s">
        <v>312</v>
      </c>
      <c r="K35" s="30">
        <f>((1-EXP(-((-LN(1-K34))/J34)*1)))</f>
        <v>0.0002805330559</v>
      </c>
      <c r="L35" s="30">
        <f>((1-EXP(-((-LN(1-L34))/J34)*1)))</f>
        <v>0.0001922429038</v>
      </c>
      <c r="M35" s="6"/>
      <c r="N35" s="6"/>
      <c r="O35" s="6"/>
      <c r="P35" s="6" t="s">
        <v>312</v>
      </c>
      <c r="Q35" s="30">
        <f>i_Int_Kend_ssi/((1/K35)-1+i_Int_Kend_ssi)</f>
        <v>0.0002076096041</v>
      </c>
      <c r="R35" s="30">
        <f>i_Int_Kend_ssi/((1/L35)-1+i_Int_Kend_ssi)</f>
        <v>0.0001422668597</v>
      </c>
      <c r="S35" s="6"/>
      <c r="T35" s="6"/>
      <c r="U35" s="6"/>
      <c r="V35" s="6"/>
      <c r="W35" s="6"/>
      <c r="X35" s="6"/>
      <c r="Y35" s="6"/>
      <c r="Z35" s="6"/>
    </row>
    <row r="36" ht="14.25" customHeight="1">
      <c r="A36" s="12"/>
      <c r="B36" s="6"/>
      <c r="C36" s="6">
        <f>Markov!C31</f>
        <v>5</v>
      </c>
      <c r="D36" s="30">
        <f t="shared" si="5"/>
        <v>1.065514282</v>
      </c>
      <c r="E36" s="30">
        <f t="shared" si="6"/>
        <v>0.001990458232</v>
      </c>
      <c r="F36" s="30">
        <f t="shared" si="4"/>
        <v>0.001179346503</v>
      </c>
      <c r="G36" s="30">
        <f>(E36)*(i_Adv_DSWI/100)</f>
        <v>0.0008111117297</v>
      </c>
      <c r="H36" s="6"/>
      <c r="I36" s="6"/>
      <c r="J36" s="6"/>
      <c r="L36" s="6"/>
      <c r="M36" s="6"/>
      <c r="N36" s="6"/>
      <c r="O36" s="6"/>
      <c r="P36" s="6"/>
      <c r="Q36" s="26"/>
      <c r="R36" s="6"/>
      <c r="S36" s="6"/>
      <c r="T36" s="6"/>
      <c r="U36" s="6"/>
      <c r="V36" s="6"/>
      <c r="W36" s="6"/>
      <c r="X36" s="6"/>
      <c r="Y36" s="6"/>
      <c r="Z36" s="6"/>
    </row>
    <row r="37" ht="14.25" customHeight="1">
      <c r="A37" s="12"/>
      <c r="B37" s="6"/>
      <c r="C37" s="6">
        <f>Markov!C32</f>
        <v>6</v>
      </c>
      <c r="D37" s="30">
        <f t="shared" si="5"/>
        <v>1.254536453</v>
      </c>
      <c r="E37" s="30">
        <f t="shared" si="6"/>
        <v>0.001890221704</v>
      </c>
      <c r="F37" s="30">
        <f t="shared" si="4"/>
        <v>0.001119956359</v>
      </c>
      <c r="G37" s="30">
        <f>(E37)*(i_Adv_DSWI/100)</f>
        <v>0.0007702653442</v>
      </c>
      <c r="H37" s="6"/>
      <c r="I37" s="6" t="s">
        <v>319</v>
      </c>
      <c r="J37" s="30">
        <f>(i_Set_Time*365.25)-91.3</f>
        <v>273.95</v>
      </c>
      <c r="K37" s="30">
        <f>SUM(OFFSET(F31,J34+J31+1,0,ROUND(J37/91.3,0),1))</f>
        <v>0.005636515112</v>
      </c>
      <c r="L37" s="30">
        <f>SUM(OFFSET(G31,J34+J31+1,0,ROUND(J37/91.3,0),1))</f>
        <v>0.003876590562</v>
      </c>
      <c r="M37" s="6"/>
      <c r="N37" s="6"/>
      <c r="O37" s="6" t="s">
        <v>319</v>
      </c>
      <c r="P37" s="30">
        <f>(i_Set_Time*365.25)-91.3</f>
        <v>273.95</v>
      </c>
      <c r="Q37" s="30"/>
      <c r="R37" s="30"/>
      <c r="S37" s="6"/>
      <c r="T37" s="6"/>
      <c r="U37" s="6"/>
      <c r="V37" s="6"/>
      <c r="W37" s="6"/>
      <c r="X37" s="6"/>
      <c r="Y37" s="6"/>
      <c r="Z37" s="6"/>
    </row>
    <row r="38" ht="14.25" customHeight="1">
      <c r="A38" s="12"/>
      <c r="B38" s="6"/>
      <c r="C38" s="6">
        <f>Markov!C33</f>
        <v>7</v>
      </c>
      <c r="D38" s="30">
        <f t="shared" si="5"/>
        <v>1.433781054</v>
      </c>
      <c r="E38" s="30">
        <f t="shared" si="6"/>
        <v>0.001792446014</v>
      </c>
      <c r="F38" s="30">
        <f t="shared" si="4"/>
        <v>0.001062024263</v>
      </c>
      <c r="G38" s="30">
        <f>(E38)*(i_Adv_DSWI/100)</f>
        <v>0.0007304217508</v>
      </c>
      <c r="H38" s="6"/>
      <c r="I38" s="6"/>
      <c r="J38" s="6" t="s">
        <v>312</v>
      </c>
      <c r="K38" s="30">
        <f>((1-EXP(-((-LN(1-K37))/J37)*91.3)))</f>
        <v>0.001882036261</v>
      </c>
      <c r="L38" s="30">
        <f>((1-EXP(-((-LN(1-L37))/J37)*91.3)))</f>
        <v>0.001293634234</v>
      </c>
      <c r="M38" s="6"/>
      <c r="N38" s="6"/>
      <c r="O38" s="6"/>
      <c r="P38" s="6" t="s">
        <v>312</v>
      </c>
      <c r="Q38" s="30">
        <f>i_Int_Kend_ssi/((1/K38)-1+i_Int_Kend_ssi)</f>
        <v>0.001393388659</v>
      </c>
      <c r="R38" s="30">
        <f>i_Int_Kend_ssi/((1/L38)-1+i_Int_Kend_ssi)</f>
        <v>0.0009576114211</v>
      </c>
      <c r="S38" s="6"/>
      <c r="T38" s="6"/>
      <c r="U38" s="6"/>
      <c r="V38" s="6"/>
      <c r="W38" s="6"/>
      <c r="X38" s="6"/>
      <c r="Y38" s="6"/>
      <c r="Z38" s="6"/>
    </row>
    <row r="39" ht="14.25" customHeight="1">
      <c r="A39" s="12"/>
      <c r="B39" s="6"/>
      <c r="C39" s="6">
        <f>Markov!C34</f>
        <v>8</v>
      </c>
      <c r="D39" s="30">
        <f t="shared" si="5"/>
        <v>1.60365614</v>
      </c>
      <c r="E39" s="30">
        <f t="shared" si="6"/>
        <v>0.001698750861</v>
      </c>
      <c r="F39" s="30">
        <f t="shared" si="4"/>
        <v>0.001006509885</v>
      </c>
      <c r="G39" s="30">
        <f>(E39)*(i_Adv_DSWI/100)</f>
        <v>0.000692240976</v>
      </c>
      <c r="H39" s="6"/>
      <c r="I39" s="6"/>
      <c r="J39" s="6"/>
      <c r="L39" s="6"/>
      <c r="M39" s="6"/>
      <c r="N39" s="6"/>
      <c r="O39" s="6"/>
      <c r="P39" s="6"/>
      <c r="Q39" s="6"/>
      <c r="R39" s="6"/>
      <c r="S39" s="6"/>
      <c r="T39" s="6"/>
      <c r="U39" s="6"/>
      <c r="V39" s="6"/>
      <c r="W39" s="6"/>
      <c r="X39" s="6"/>
      <c r="Y39" s="6"/>
      <c r="Z39" s="6"/>
    </row>
    <row r="40" ht="14.25" customHeight="1">
      <c r="A40" s="12"/>
      <c r="B40" s="6"/>
      <c r="C40" s="6">
        <f>Markov!C35</f>
        <v>9</v>
      </c>
      <c r="D40" s="30">
        <f t="shared" si="5"/>
        <v>1.764642858</v>
      </c>
      <c r="E40" s="30">
        <f t="shared" si="6"/>
        <v>0.001609867181</v>
      </c>
      <c r="F40" s="30">
        <f t="shared" si="4"/>
        <v>0.0009538463049</v>
      </c>
      <c r="G40" s="30">
        <f>(E40)*(i_Adv_DSWI/100)</f>
        <v>0.0006560208764</v>
      </c>
      <c r="H40" s="6"/>
      <c r="I40" s="6"/>
      <c r="J40" s="6"/>
      <c r="L40" s="6"/>
      <c r="M40" s="6"/>
      <c r="N40" s="6"/>
      <c r="O40" s="6"/>
      <c r="P40" s="6"/>
      <c r="Q40" s="6"/>
      <c r="R40" s="6">
        <f>i_Int_Kend_ssi</f>
        <v>0.74</v>
      </c>
      <c r="S40" s="6"/>
      <c r="T40" s="6"/>
      <c r="U40" s="6"/>
      <c r="V40" s="6"/>
      <c r="W40" s="6"/>
      <c r="X40" s="6"/>
      <c r="Y40" s="6"/>
      <c r="Z40" s="6"/>
    </row>
    <row r="41" ht="14.25" customHeight="1">
      <c r="A41" s="6"/>
      <c r="B41" s="6"/>
      <c r="C41" s="6">
        <f>Markov!C36</f>
        <v>10</v>
      </c>
      <c r="D41" s="30">
        <f t="shared" si="5"/>
        <v>1.917248281</v>
      </c>
      <c r="E41" s="30">
        <f t="shared" si="6"/>
        <v>0.001526054224</v>
      </c>
      <c r="F41" s="30">
        <f t="shared" si="4"/>
        <v>0.000904187128</v>
      </c>
      <c r="G41" s="30">
        <f>(E41)*(i_Adv_DSWI/100)</f>
        <v>0.0006218670964</v>
      </c>
      <c r="H41" s="6"/>
      <c r="I41" s="6"/>
      <c r="J41" s="6"/>
      <c r="L41" s="6"/>
      <c r="M41" s="6"/>
      <c r="N41" s="6"/>
      <c r="O41" s="6"/>
      <c r="P41" s="6"/>
      <c r="Q41" s="6"/>
      <c r="R41" s="6"/>
      <c r="S41" s="6"/>
      <c r="T41" s="6"/>
      <c r="U41" s="6"/>
      <c r="V41" s="6"/>
      <c r="W41" s="6"/>
      <c r="X41" s="6"/>
      <c r="Y41" s="6"/>
      <c r="Z41" s="6"/>
    </row>
    <row r="42" ht="14.25" customHeight="1">
      <c r="A42" s="6"/>
      <c r="B42" s="6"/>
      <c r="C42" s="6">
        <f>Markov!C37</f>
        <v>11</v>
      </c>
      <c r="D42" s="30">
        <f t="shared" si="5"/>
        <v>2.061979434</v>
      </c>
      <c r="E42" s="30">
        <f t="shared" si="6"/>
        <v>0.001447311533</v>
      </c>
      <c r="F42" s="30">
        <f t="shared" si="4"/>
        <v>0.0008575320834</v>
      </c>
      <c r="G42" s="30">
        <f>(E42)*(i_Adv_DSWI/100)</f>
        <v>0.0005897794498</v>
      </c>
      <c r="H42" s="6"/>
      <c r="I42" s="6"/>
      <c r="J42" s="6"/>
      <c r="L42" s="6"/>
      <c r="M42" s="6"/>
      <c r="N42" s="6"/>
      <c r="O42" s="6"/>
      <c r="P42" s="6"/>
      <c r="Q42" s="6"/>
      <c r="R42" s="6"/>
      <c r="S42" s="6"/>
      <c r="T42" s="6"/>
      <c r="U42" s="6"/>
      <c r="V42" s="6"/>
      <c r="W42" s="6"/>
      <c r="X42" s="6"/>
      <c r="Y42" s="6"/>
      <c r="Z42" s="6"/>
    </row>
    <row r="43" ht="14.25" customHeight="1">
      <c r="A43" s="6"/>
      <c r="B43" s="6"/>
      <c r="C43" s="6">
        <f>Markov!C38</f>
        <v>12</v>
      </c>
      <c r="D43" s="30">
        <f t="shared" si="5"/>
        <v>2.1993289</v>
      </c>
      <c r="E43" s="30">
        <f t="shared" si="6"/>
        <v>0.001373494665</v>
      </c>
      <c r="F43" s="30">
        <f t="shared" si="4"/>
        <v>0.0008137955888</v>
      </c>
      <c r="G43" s="30">
        <f>(E43)*(i_Adv_DSWI/100)</f>
        <v>0.0005596990758</v>
      </c>
      <c r="H43" s="6"/>
      <c r="I43" s="6"/>
      <c r="J43" s="6"/>
      <c r="L43" s="6"/>
      <c r="M43" s="6"/>
      <c r="N43" s="6"/>
      <c r="O43" s="6"/>
      <c r="P43" s="6"/>
      <c r="Q43" s="6"/>
      <c r="R43" s="6"/>
      <c r="S43" s="6"/>
      <c r="T43" s="6"/>
      <c r="U43" s="6"/>
      <c r="V43" s="6"/>
      <c r="W43" s="6"/>
      <c r="X43" s="6"/>
      <c r="Y43" s="6"/>
      <c r="Z43" s="6"/>
    </row>
    <row r="44" ht="14.25" customHeight="1">
      <c r="A44" s="6"/>
      <c r="B44" s="6"/>
      <c r="C44" s="6">
        <f>Markov!C39</f>
        <v>13</v>
      </c>
      <c r="D44" s="30">
        <f t="shared" si="5"/>
        <v>2.329767044</v>
      </c>
      <c r="E44" s="30">
        <f t="shared" si="6"/>
        <v>0.001304381432</v>
      </c>
      <c r="F44" s="30">
        <f t="shared" si="4"/>
        <v>0.0007728459984</v>
      </c>
      <c r="G44" s="30">
        <f>(E44)*(i_Adv_DSWI/100)</f>
        <v>0.0005315354335</v>
      </c>
      <c r="H44" s="6"/>
      <c r="I44" s="6"/>
      <c r="J44" s="6"/>
      <c r="L44" s="6"/>
      <c r="M44" s="6"/>
      <c r="N44" s="6"/>
      <c r="O44" s="6"/>
      <c r="P44" s="6"/>
      <c r="Q44" s="6"/>
      <c r="R44" s="6"/>
      <c r="S44" s="6"/>
      <c r="T44" s="6"/>
      <c r="U44" s="6"/>
      <c r="V44" s="6"/>
      <c r="W44" s="6"/>
      <c r="X44" s="6"/>
      <c r="Y44" s="6"/>
      <c r="Z44" s="6"/>
    </row>
    <row r="45" ht="14.25" customHeight="1">
      <c r="A45" s="6"/>
      <c r="B45" s="6"/>
      <c r="C45" s="6">
        <f>Markov!C40</f>
        <v>14</v>
      </c>
      <c r="D45" s="30">
        <f t="shared" si="5"/>
        <v>2.453738142</v>
      </c>
      <c r="E45" s="30">
        <f t="shared" si="6"/>
        <v>0.001239710982</v>
      </c>
      <c r="F45" s="30">
        <f t="shared" si="4"/>
        <v>0.0007345287566</v>
      </c>
      <c r="G45" s="30">
        <f>(E45)*(i_Adv_DSWI/100)</f>
        <v>0.000505182225</v>
      </c>
      <c r="H45" s="6"/>
      <c r="I45" s="6"/>
      <c r="J45" s="6"/>
      <c r="L45" s="6"/>
      <c r="M45" s="6"/>
      <c r="N45" s="6"/>
      <c r="O45" s="6"/>
      <c r="P45" s="6"/>
      <c r="Q45" s="6"/>
      <c r="R45" s="6"/>
      <c r="S45" s="6"/>
      <c r="T45" s="6"/>
      <c r="U45" s="6"/>
      <c r="V45" s="6"/>
      <c r="W45" s="6"/>
      <c r="X45" s="6"/>
      <c r="Y45" s="6"/>
      <c r="Z45" s="6"/>
    </row>
    <row r="46" ht="14.25" customHeight="1">
      <c r="A46" s="6"/>
      <c r="B46" s="6"/>
      <c r="C46" s="6">
        <f>Markov!C41</f>
        <v>15</v>
      </c>
      <c r="D46" s="30">
        <f t="shared" si="5"/>
        <v>2.571658864</v>
      </c>
      <c r="E46" s="30">
        <f t="shared" si="6"/>
        <v>0.001179207221</v>
      </c>
      <c r="F46" s="30">
        <f t="shared" si="4"/>
        <v>0.0006986802784</v>
      </c>
      <c r="G46" s="30">
        <f>(E46)*(i_Adv_DSWI/100)</f>
        <v>0.0004805269425</v>
      </c>
      <c r="H46" s="6"/>
      <c r="I46" s="6"/>
      <c r="J46" s="6"/>
      <c r="L46" s="6"/>
      <c r="M46" s="6"/>
      <c r="N46" s="6"/>
      <c r="O46" s="6"/>
      <c r="P46" s="6"/>
      <c r="Q46" s="6"/>
      <c r="R46" s="6"/>
      <c r="S46" s="6"/>
      <c r="T46" s="6"/>
      <c r="U46" s="6"/>
      <c r="V46" s="6"/>
      <c r="W46" s="6"/>
      <c r="X46" s="6"/>
      <c r="Y46" s="6"/>
      <c r="Z46" s="6"/>
    </row>
    <row r="47" ht="14.25" customHeight="1">
      <c r="A47" s="6"/>
      <c r="B47" s="6"/>
      <c r="C47" s="6">
        <f>Markov!C42</f>
        <v>16</v>
      </c>
      <c r="D47" s="30">
        <f t="shared" si="5"/>
        <v>2.683918154</v>
      </c>
      <c r="E47" s="30">
        <f t="shared" si="6"/>
        <v>0.001122592901</v>
      </c>
      <c r="F47" s="30">
        <f t="shared" si="4"/>
        <v>0.0006651362941</v>
      </c>
      <c r="G47" s="30">
        <f>(E47)*(i_Adv_DSWI/100)</f>
        <v>0.0004574566074</v>
      </c>
      <c r="H47" s="6"/>
      <c r="I47" s="6"/>
      <c r="J47" s="6"/>
      <c r="L47" s="6"/>
      <c r="M47" s="6"/>
      <c r="N47" s="6"/>
      <c r="O47" s="6"/>
      <c r="P47" s="6"/>
      <c r="Q47" s="6"/>
      <c r="R47" s="6"/>
      <c r="S47" s="6"/>
      <c r="T47" s="6"/>
      <c r="U47" s="6"/>
      <c r="V47" s="6"/>
      <c r="W47" s="6"/>
      <c r="X47" s="6"/>
      <c r="Y47" s="6"/>
      <c r="Z47" s="6"/>
    </row>
    <row r="48" ht="14.25" customHeight="1">
      <c r="A48" s="6"/>
      <c r="B48" s="6"/>
      <c r="C48" s="6">
        <f>Markov!C43</f>
        <v>17</v>
      </c>
      <c r="D48" s="30">
        <f t="shared" si="5"/>
        <v>2.790877952</v>
      </c>
      <c r="E48" s="30">
        <f t="shared" si="6"/>
        <v>0.00106959798</v>
      </c>
      <c r="F48" s="30">
        <f t="shared" si="4"/>
        <v>0.0006337368033</v>
      </c>
      <c r="G48" s="30">
        <f>(E48)*(i_Adv_DSWI/100)</f>
        <v>0.0004358611769</v>
      </c>
      <c r="H48" s="6"/>
      <c r="I48" s="6"/>
      <c r="J48" s="6"/>
      <c r="L48" s="6"/>
      <c r="M48" s="6"/>
      <c r="N48" s="6"/>
      <c r="O48" s="6"/>
      <c r="P48" s="6"/>
      <c r="Q48" s="6"/>
      <c r="R48" s="6"/>
      <c r="S48" s="6"/>
      <c r="T48" s="6"/>
      <c r="U48" s="6"/>
      <c r="V48" s="6"/>
      <c r="W48" s="6"/>
      <c r="X48" s="6"/>
      <c r="Y48" s="6"/>
      <c r="Z48" s="6"/>
    </row>
    <row r="49" ht="14.25" customHeight="1">
      <c r="A49" s="6"/>
      <c r="B49" s="6"/>
      <c r="C49" s="6">
        <f>Markov!C44</f>
        <v>18</v>
      </c>
      <c r="D49" s="30">
        <f t="shared" si="5"/>
        <v>2.892874394</v>
      </c>
      <c r="E49" s="30">
        <f t="shared" si="6"/>
        <v>0.001019964415</v>
      </c>
      <c r="F49" s="30">
        <f t="shared" si="4"/>
        <v>0.0006043289158</v>
      </c>
      <c r="G49" s="30">
        <f>(E49)*(i_Adv_DSWI/100)</f>
        <v>0.000415635499</v>
      </c>
      <c r="H49" s="6"/>
      <c r="I49" s="6"/>
      <c r="J49" s="6"/>
      <c r="L49" s="6"/>
      <c r="M49" s="6"/>
      <c r="N49" s="6"/>
      <c r="O49" s="6"/>
      <c r="P49" s="6"/>
      <c r="Q49" s="6"/>
      <c r="R49" s="6"/>
      <c r="S49" s="6"/>
      <c r="T49" s="6"/>
      <c r="U49" s="6"/>
      <c r="V49" s="6"/>
      <c r="W49" s="6"/>
      <c r="X49" s="6"/>
      <c r="Y49" s="6"/>
      <c r="Z49" s="6"/>
    </row>
    <row r="50" ht="14.25" customHeight="1">
      <c r="A50" s="6"/>
      <c r="B50" s="6"/>
      <c r="C50" s="6">
        <f>Markov!C45</f>
        <v>19</v>
      </c>
      <c r="D50" s="30">
        <f t="shared" si="5"/>
        <v>2.990219265</v>
      </c>
      <c r="E50" s="30">
        <f t="shared" si="6"/>
        <v>0.0009734487129</v>
      </c>
      <c r="F50" s="30">
        <f t="shared" si="4"/>
        <v>0.0005767683624</v>
      </c>
      <c r="G50" s="30">
        <f>(E50)*(i_Adv_DSWI/100)</f>
        <v>0.0003966803505</v>
      </c>
      <c r="H50" s="6"/>
      <c r="I50" s="6"/>
      <c r="J50" s="6"/>
      <c r="L50" s="6"/>
      <c r="M50" s="6"/>
      <c r="N50" s="6"/>
      <c r="O50" s="6"/>
      <c r="P50" s="6"/>
      <c r="Q50" s="6"/>
      <c r="R50" s="6"/>
      <c r="S50" s="6"/>
      <c r="T50" s="6"/>
      <c r="U50" s="6"/>
      <c r="V50" s="6"/>
      <c r="W50" s="6"/>
      <c r="X50" s="6"/>
      <c r="Y50" s="6"/>
      <c r="Z50" s="6"/>
    </row>
    <row r="51" ht="14.25" customHeight="1">
      <c r="A51" s="6"/>
      <c r="B51" s="6"/>
      <c r="C51" s="6">
        <f>Markov!C46</f>
        <v>20</v>
      </c>
      <c r="D51" s="30">
        <f t="shared" si="5"/>
        <v>3.083201571</v>
      </c>
      <c r="E51" s="30">
        <f t="shared" si="6"/>
        <v>0.0009298230635</v>
      </c>
      <c r="F51" s="30">
        <f t="shared" si="4"/>
        <v>0.0005509201651</v>
      </c>
      <c r="G51" s="30">
        <f>(E51)*(i_Adv_DSWI/100)</f>
        <v>0.0003789028984</v>
      </c>
      <c r="H51" s="6"/>
      <c r="I51" s="6"/>
      <c r="J51" s="6"/>
      <c r="L51" s="6"/>
      <c r="M51" s="6"/>
      <c r="N51" s="6"/>
      <c r="O51" s="6"/>
      <c r="P51" s="6"/>
      <c r="Q51" s="6"/>
      <c r="R51" s="6"/>
      <c r="S51" s="6"/>
      <c r="T51" s="6"/>
      <c r="U51" s="6"/>
      <c r="V51" s="6"/>
      <c r="W51" s="6"/>
      <c r="X51" s="6"/>
      <c r="Y51" s="6"/>
      <c r="Z51" s="6"/>
    </row>
    <row r="52" ht="14.25" customHeight="1">
      <c r="A52" s="6"/>
      <c r="B52" s="6"/>
      <c r="C52" s="6">
        <f>Markov!C47</f>
        <v>21</v>
      </c>
      <c r="D52" s="30">
        <f t="shared" si="5"/>
        <v>3.172089129</v>
      </c>
      <c r="E52" s="30">
        <f t="shared" si="6"/>
        <v>0.0008888755777</v>
      </c>
      <c r="F52" s="30">
        <f t="shared" si="4"/>
        <v>0.0005266587798</v>
      </c>
      <c r="G52" s="30">
        <f>(E52)*(i_Adv_DSWI/100)</f>
        <v>0.0003622167979</v>
      </c>
      <c r="H52" s="6"/>
      <c r="I52" s="6"/>
      <c r="J52" s="6"/>
      <c r="L52" s="6"/>
      <c r="M52" s="6"/>
      <c r="N52" s="6"/>
      <c r="O52" s="6"/>
      <c r="P52" s="6"/>
      <c r="Q52" s="6"/>
      <c r="R52" s="6"/>
      <c r="S52" s="6"/>
      <c r="T52" s="6"/>
      <c r="U52" s="6"/>
      <c r="V52" s="6"/>
      <c r="W52" s="6"/>
      <c r="X52" s="6"/>
      <c r="Y52" s="6"/>
      <c r="Z52" s="6"/>
    </row>
    <row r="53" ht="14.25" customHeight="1">
      <c r="A53" s="6"/>
      <c r="B53" s="6"/>
      <c r="C53" s="6">
        <f>Markov!C48</f>
        <v>22</v>
      </c>
      <c r="D53" s="30">
        <f t="shared" si="5"/>
        <v>3.257130127</v>
      </c>
      <c r="E53" s="30">
        <f t="shared" si="6"/>
        <v>0.0008504099797</v>
      </c>
      <c r="F53" s="30">
        <f t="shared" si="4"/>
        <v>0.000503867913</v>
      </c>
      <c r="G53" s="30">
        <f>(E53)*(i_Adv_DSWI/100)</f>
        <v>0.0003465420667</v>
      </c>
      <c r="H53" s="6"/>
      <c r="I53" s="6"/>
      <c r="J53" s="6"/>
      <c r="L53" s="6"/>
      <c r="M53" s="6"/>
      <c r="N53" s="6"/>
      <c r="O53" s="6"/>
      <c r="P53" s="6"/>
      <c r="Q53" s="6"/>
      <c r="R53" s="6"/>
      <c r="S53" s="6"/>
      <c r="T53" s="6"/>
      <c r="U53" s="6"/>
      <c r="V53" s="6"/>
      <c r="W53" s="6"/>
      <c r="X53" s="6"/>
      <c r="Y53" s="6"/>
      <c r="Z53" s="6"/>
    </row>
    <row r="54" ht="14.25" customHeight="1">
      <c r="A54" s="6"/>
      <c r="B54" s="6"/>
      <c r="C54" s="6">
        <f>Markov!C49</f>
        <v>23</v>
      </c>
      <c r="D54" s="30">
        <f t="shared" si="5"/>
        <v>3.338554624</v>
      </c>
      <c r="E54" s="30">
        <f t="shared" si="6"/>
        <v>0.0008142449686</v>
      </c>
      <c r="F54" s="30">
        <f t="shared" si="4"/>
        <v>0.0004824401439</v>
      </c>
      <c r="G54" s="30">
        <f>(E54)*(i_Adv_DSWI/100)</f>
        <v>0.0003318048247</v>
      </c>
      <c r="H54" s="6"/>
      <c r="I54" s="6"/>
      <c r="J54" s="6"/>
      <c r="L54" s="6"/>
      <c r="M54" s="6"/>
      <c r="N54" s="6"/>
      <c r="O54" s="6"/>
      <c r="P54" s="6"/>
      <c r="Q54" s="6"/>
      <c r="R54" s="6"/>
      <c r="S54" s="6"/>
      <c r="T54" s="6"/>
      <c r="U54" s="6"/>
      <c r="V54" s="6"/>
      <c r="W54" s="6"/>
      <c r="X54" s="6"/>
      <c r="Y54" s="6"/>
      <c r="Z54" s="6"/>
    </row>
    <row r="55" ht="14.25" customHeight="1">
      <c r="A55" s="6"/>
      <c r="B55" s="6"/>
      <c r="C55" s="6">
        <f>Markov!C50</f>
        <v>24</v>
      </c>
      <c r="D55" s="30">
        <f t="shared" si="5"/>
        <v>3.416575963</v>
      </c>
      <c r="E55" s="30">
        <f t="shared" si="6"/>
        <v>0.000780213395</v>
      </c>
      <c r="F55" s="30">
        <f t="shared" si="4"/>
        <v>0.0004622764366</v>
      </c>
      <c r="G55" s="30">
        <f>(E55)*(i_Adv_DSWI/100)</f>
        <v>0.0003179369585</v>
      </c>
      <c r="H55" s="6"/>
      <c r="I55" s="6"/>
      <c r="J55" s="6"/>
      <c r="L55" s="6"/>
      <c r="M55" s="6"/>
      <c r="N55" s="6"/>
      <c r="O55" s="6"/>
      <c r="P55" s="6"/>
      <c r="Q55" s="6"/>
      <c r="R55" s="6"/>
      <c r="S55" s="6"/>
      <c r="T55" s="6"/>
      <c r="U55" s="6"/>
      <c r="V55" s="6"/>
      <c r="W55" s="6"/>
      <c r="X55" s="6"/>
      <c r="Y55" s="6"/>
      <c r="Z55" s="6"/>
    </row>
    <row r="56" ht="14.25" customHeight="1">
      <c r="A56" s="6"/>
      <c r="B56" s="6"/>
      <c r="C56" s="6">
        <f>Markov!C51</f>
        <v>25</v>
      </c>
      <c r="D56" s="30">
        <f t="shared" si="5"/>
        <v>3.491392098</v>
      </c>
      <c r="E56" s="30">
        <f t="shared" si="6"/>
        <v>0.0007481613483</v>
      </c>
      <c r="F56" s="30">
        <f t="shared" si="4"/>
        <v>0.0004432855988</v>
      </c>
      <c r="G56" s="30">
        <f>(E56)*(i_Adv_DSWI/100)</f>
        <v>0.0003048757494</v>
      </c>
      <c r="H56" s="6"/>
      <c r="I56" s="6"/>
      <c r="J56" s="6"/>
      <c r="L56" s="6"/>
      <c r="M56" s="6"/>
      <c r="N56" s="6"/>
      <c r="O56" s="6"/>
      <c r="P56" s="6"/>
      <c r="Q56" s="6"/>
      <c r="R56" s="6"/>
      <c r="S56" s="6"/>
      <c r="T56" s="6"/>
      <c r="U56" s="6"/>
      <c r="V56" s="6"/>
      <c r="W56" s="6"/>
      <c r="X56" s="6"/>
      <c r="Y56" s="6"/>
      <c r="Z56" s="6"/>
    </row>
    <row r="57" ht="14.25" customHeight="1">
      <c r="A57" s="6"/>
      <c r="B57" s="6"/>
      <c r="C57" s="6">
        <f>Markov!C52</f>
        <v>26</v>
      </c>
      <c r="D57" s="30">
        <f t="shared" si="5"/>
        <v>3.563186819</v>
      </c>
      <c r="E57" s="30">
        <f t="shared" si="6"/>
        <v>0.000717947212</v>
      </c>
      <c r="F57" s="30">
        <f t="shared" si="4"/>
        <v>0.0004253837231</v>
      </c>
      <c r="G57" s="30">
        <f>(E57)*(i_Adv_DSWI/100)</f>
        <v>0.0002925634889</v>
      </c>
      <c r="H57" s="6"/>
      <c r="I57" s="6"/>
      <c r="J57" s="6"/>
      <c r="L57" s="6"/>
      <c r="M57" s="6"/>
      <c r="N57" s="6"/>
      <c r="O57" s="6"/>
      <c r="P57" s="6"/>
      <c r="Q57" s="6"/>
      <c r="R57" s="6"/>
      <c r="S57" s="6"/>
      <c r="T57" s="6"/>
      <c r="U57" s="6"/>
      <c r="V57" s="6"/>
      <c r="W57" s="6"/>
      <c r="X57" s="6"/>
      <c r="Y57" s="6"/>
      <c r="Z57" s="6"/>
    </row>
    <row r="58" ht="14.25" customHeight="1">
      <c r="A58" s="6"/>
      <c r="B58" s="6"/>
      <c r="C58" s="6">
        <f>Markov!C53</f>
        <v>27</v>
      </c>
      <c r="D58" s="30">
        <f t="shared" si="5"/>
        <v>3.632130892</v>
      </c>
      <c r="E58" s="30">
        <f t="shared" si="6"/>
        <v>0.0006894407297</v>
      </c>
      <c r="F58" s="30">
        <f t="shared" si="4"/>
        <v>0.0004084936324</v>
      </c>
      <c r="G58" s="30">
        <f>(E58)*(i_Adv_DSWI/100)</f>
        <v>0.0002809470974</v>
      </c>
      <c r="H58" s="6"/>
      <c r="I58" s="6"/>
      <c r="J58" s="6"/>
      <c r="L58" s="6"/>
      <c r="M58" s="6"/>
      <c r="N58" s="6"/>
      <c r="O58" s="6"/>
      <c r="P58" s="6"/>
      <c r="Q58" s="6"/>
      <c r="R58" s="6"/>
      <c r="S58" s="6"/>
      <c r="T58" s="6"/>
      <c r="U58" s="6"/>
      <c r="V58" s="6"/>
      <c r="W58" s="6"/>
      <c r="X58" s="6"/>
      <c r="Y58" s="6"/>
      <c r="Z58" s="6"/>
    </row>
    <row r="59" ht="14.25" customHeight="1">
      <c r="A59" s="6"/>
      <c r="B59" s="6"/>
      <c r="C59" s="6">
        <f>Markov!C54</f>
        <v>28</v>
      </c>
      <c r="D59" s="30">
        <f t="shared" si="5"/>
        <v>3.698383102</v>
      </c>
      <c r="E59" s="30">
        <f t="shared" si="6"/>
        <v>0.0006625221024</v>
      </c>
      <c r="F59" s="30">
        <f t="shared" si="4"/>
        <v>0.0003925443457</v>
      </c>
      <c r="G59" s="30">
        <f>(E59)*(i_Adv_DSWI/100)</f>
        <v>0.0002699777567</v>
      </c>
      <c r="H59" s="6"/>
      <c r="I59" s="6"/>
      <c r="J59" s="6"/>
      <c r="L59" s="6"/>
      <c r="M59" s="6"/>
      <c r="N59" s="6"/>
      <c r="O59" s="6"/>
      <c r="P59" s="6"/>
      <c r="Q59" s="6"/>
      <c r="R59" s="6"/>
      <c r="S59" s="6"/>
      <c r="T59" s="6"/>
      <c r="U59" s="6"/>
      <c r="V59" s="6"/>
      <c r="W59" s="6"/>
      <c r="X59" s="6"/>
      <c r="Y59" s="6"/>
      <c r="Z59" s="6"/>
    </row>
    <row r="60" ht="14.25" customHeight="1">
      <c r="A60" s="6"/>
      <c r="B60" s="6"/>
      <c r="C60" s="6">
        <f>Markov!C55</f>
        <v>29</v>
      </c>
      <c r="D60" s="30">
        <f t="shared" si="5"/>
        <v>3.762091216</v>
      </c>
      <c r="E60" s="30">
        <f t="shared" si="6"/>
        <v>0.0006370811321</v>
      </c>
      <c r="F60" s="30">
        <f t="shared" si="4"/>
        <v>0.0003774705708</v>
      </c>
      <c r="G60" s="30">
        <f>(E60)*(i_Adv_DSWI/100)</f>
        <v>0.0002596105613</v>
      </c>
      <c r="H60" s="6"/>
      <c r="I60" s="6"/>
      <c r="J60" s="6"/>
      <c r="L60" s="6"/>
      <c r="M60" s="6"/>
      <c r="N60" s="6"/>
      <c r="O60" s="6"/>
      <c r="P60" s="6"/>
      <c r="Q60" s="6"/>
      <c r="R60" s="6"/>
      <c r="S60" s="6"/>
      <c r="T60" s="6"/>
      <c r="U60" s="6"/>
      <c r="V60" s="6"/>
      <c r="W60" s="6"/>
      <c r="X60" s="6"/>
      <c r="Y60" s="6"/>
      <c r="Z60" s="6"/>
    </row>
    <row r="61" ht="14.25" customHeight="1">
      <c r="A61" s="6"/>
      <c r="B61" s="6"/>
      <c r="C61" s="6">
        <f>Markov!C56</f>
        <v>30</v>
      </c>
      <c r="D61" s="30">
        <f t="shared" si="5"/>
        <v>3.823392858</v>
      </c>
      <c r="E61" s="30">
        <f t="shared" si="6"/>
        <v>0.0006130164203</v>
      </c>
      <c r="F61" s="30">
        <f t="shared" si="4"/>
        <v>0.000363212229</v>
      </c>
      <c r="G61" s="30">
        <f>(E61)*(i_Adv_DSWI/100)</f>
        <v>0.0002498041913</v>
      </c>
      <c r="H61" s="6"/>
      <c r="I61" s="6"/>
      <c r="J61" s="6"/>
      <c r="L61" s="6"/>
      <c r="M61" s="6"/>
      <c r="N61" s="6"/>
      <c r="O61" s="6"/>
      <c r="P61" s="6"/>
      <c r="Q61" s="6"/>
      <c r="R61" s="6"/>
      <c r="S61" s="6"/>
      <c r="T61" s="6"/>
      <c r="U61" s="6"/>
      <c r="V61" s="6"/>
      <c r="W61" s="6"/>
      <c r="X61" s="6"/>
      <c r="Y61" s="6"/>
      <c r="Z61" s="6"/>
    </row>
    <row r="62" ht="14.25" customHeight="1">
      <c r="A62" s="6"/>
      <c r="B62" s="6"/>
      <c r="C62" s="6">
        <f>Markov!C57</f>
        <v>31</v>
      </c>
      <c r="D62" s="30">
        <f t="shared" si="5"/>
        <v>3.88241632</v>
      </c>
      <c r="E62" s="30">
        <f t="shared" si="6"/>
        <v>0.0005902346224</v>
      </c>
      <c r="F62" s="30">
        <f t="shared" si="4"/>
        <v>0.0003497140138</v>
      </c>
      <c r="G62" s="30">
        <f>(E62)*(i_Adv_DSWI/100)</f>
        <v>0.0002405206086</v>
      </c>
      <c r="H62" s="6"/>
      <c r="I62" s="6"/>
      <c r="J62" s="6"/>
      <c r="L62" s="6"/>
      <c r="M62" s="6"/>
      <c r="N62" s="6"/>
      <c r="O62" s="6"/>
      <c r="P62" s="6"/>
      <c r="Q62" s="6"/>
      <c r="R62" s="6"/>
      <c r="S62" s="6"/>
      <c r="T62" s="6"/>
      <c r="U62" s="6"/>
      <c r="V62" s="6"/>
      <c r="W62" s="6"/>
      <c r="X62" s="6"/>
      <c r="Y62" s="6"/>
      <c r="Z62" s="6"/>
    </row>
    <row r="63" ht="14.25" customHeight="1">
      <c r="A63" s="6"/>
      <c r="B63" s="6"/>
      <c r="C63" s="6">
        <f>Markov!C58</f>
        <v>32</v>
      </c>
      <c r="D63" s="30">
        <f t="shared" si="5"/>
        <v>3.939281296</v>
      </c>
      <c r="E63" s="30">
        <f t="shared" si="6"/>
        <v>0.0005686497603</v>
      </c>
      <c r="F63" s="30">
        <f t="shared" si="4"/>
        <v>0.000336924983</v>
      </c>
      <c r="G63" s="30">
        <f>(E63)*(i_Adv_DSWI/100)</f>
        <v>0.0002317247773</v>
      </c>
      <c r="H63" s="6"/>
      <c r="I63" s="6"/>
      <c r="J63" s="6"/>
      <c r="L63" s="6"/>
      <c r="M63" s="6"/>
      <c r="N63" s="6"/>
      <c r="O63" s="6"/>
      <c r="P63" s="6"/>
      <c r="Q63" s="6"/>
      <c r="R63" s="6"/>
      <c r="S63" s="6"/>
      <c r="T63" s="6"/>
      <c r="U63" s="6"/>
      <c r="V63" s="6"/>
      <c r="W63" s="6"/>
      <c r="X63" s="6"/>
      <c r="Y63" s="6"/>
      <c r="Z63" s="6"/>
    </row>
    <row r="64" ht="14.25" customHeight="1">
      <c r="A64" s="6"/>
      <c r="B64" s="6"/>
      <c r="C64" s="6">
        <f>Markov!C59</f>
        <v>33</v>
      </c>
      <c r="D64" s="30">
        <f t="shared" si="5"/>
        <v>3.994099555</v>
      </c>
      <c r="E64" s="30">
        <f t="shared" si="6"/>
        <v>0.0005481825906</v>
      </c>
      <c r="F64" s="30">
        <f t="shared" si="4"/>
        <v>0.0003247981849</v>
      </c>
      <c r="G64" s="30">
        <f>(E64)*(i_Adv_DSWI/100)</f>
        <v>0.0002233844057</v>
      </c>
      <c r="H64" s="6"/>
      <c r="I64" s="6"/>
      <c r="J64" s="6"/>
      <c r="L64" s="6"/>
      <c r="M64" s="6"/>
      <c r="N64" s="6"/>
      <c r="O64" s="6"/>
      <c r="P64" s="6"/>
      <c r="Q64" s="6"/>
      <c r="R64" s="6"/>
      <c r="S64" s="6"/>
      <c r="T64" s="6"/>
      <c r="U64" s="6"/>
      <c r="V64" s="6"/>
      <c r="W64" s="6"/>
      <c r="X64" s="6"/>
      <c r="Y64" s="6"/>
      <c r="Z64" s="6"/>
    </row>
    <row r="65" ht="14.25" customHeight="1">
      <c r="A65" s="6"/>
      <c r="B65" s="6"/>
      <c r="C65" s="6">
        <f>Markov!C60</f>
        <v>34</v>
      </c>
      <c r="D65" s="30">
        <f t="shared" si="5"/>
        <v>4.046975558</v>
      </c>
      <c r="E65" s="30">
        <f t="shared" si="6"/>
        <v>0.0005287600252</v>
      </c>
      <c r="F65" s="30">
        <f t="shared" si="4"/>
        <v>0.0003132903149</v>
      </c>
      <c r="G65" s="30">
        <f>(E65)*(i_Adv_DSWI/100)</f>
        <v>0.0002154697103</v>
      </c>
      <c r="H65" s="6"/>
      <c r="I65" s="6"/>
      <c r="J65" s="6"/>
      <c r="L65" s="6"/>
      <c r="M65" s="6"/>
      <c r="N65" s="6"/>
      <c r="O65" s="6"/>
      <c r="P65" s="6"/>
      <c r="Q65" s="6"/>
      <c r="R65" s="6"/>
      <c r="S65" s="6"/>
      <c r="T65" s="6"/>
      <c r="U65" s="6"/>
      <c r="V65" s="6"/>
      <c r="W65" s="6"/>
      <c r="X65" s="6"/>
      <c r="Y65" s="6"/>
      <c r="Z65" s="6"/>
    </row>
    <row r="66" ht="14.25" customHeight="1">
      <c r="A66" s="6"/>
      <c r="B66" s="6"/>
      <c r="C66" s="6">
        <f>Markov!C61</f>
        <v>35</v>
      </c>
      <c r="D66" s="30">
        <f t="shared" si="5"/>
        <v>4.098007018</v>
      </c>
      <c r="E66" s="30">
        <f t="shared" si="6"/>
        <v>0.0005103146035</v>
      </c>
      <c r="F66" s="30">
        <f t="shared" si="4"/>
        <v>0.0003023614026</v>
      </c>
      <c r="G66" s="30">
        <f>(E66)*(i_Adv_DSWI/100)</f>
        <v>0.0002079532009</v>
      </c>
      <c r="H66" s="6"/>
      <c r="I66" s="6"/>
      <c r="J66" s="6"/>
      <c r="L66" s="6"/>
      <c r="M66" s="6"/>
      <c r="N66" s="6"/>
      <c r="O66" s="6"/>
      <c r="P66" s="6"/>
      <c r="Q66" s="6"/>
      <c r="R66" s="6"/>
      <c r="S66" s="6"/>
      <c r="T66" s="6"/>
      <c r="U66" s="6"/>
      <c r="V66" s="6"/>
      <c r="W66" s="6"/>
      <c r="X66" s="6"/>
      <c r="Y66" s="6"/>
      <c r="Z66" s="6"/>
    </row>
    <row r="67" ht="14.25" customHeight="1">
      <c r="A67" s="6"/>
      <c r="B67" s="6"/>
      <c r="C67" s="6">
        <f>Markov!C62</f>
        <v>36</v>
      </c>
      <c r="D67" s="30">
        <f t="shared" si="5"/>
        <v>4.147285419</v>
      </c>
      <c r="E67" s="30">
        <f t="shared" si="6"/>
        <v>0.00049278401</v>
      </c>
      <c r="F67" s="30">
        <f t="shared" si="4"/>
        <v>0.0002919745259</v>
      </c>
      <c r="G67" s="30">
        <f>(E67)*(i_Adv_DSWI/100)</f>
        <v>0.0002008094841</v>
      </c>
      <c r="H67" s="6"/>
      <c r="I67" s="6"/>
      <c r="J67" s="6"/>
      <c r="L67" s="6"/>
      <c r="M67" s="6"/>
      <c r="N67" s="6"/>
      <c r="O67" s="6"/>
      <c r="P67" s="6"/>
      <c r="Q67" s="6"/>
      <c r="R67" s="6"/>
      <c r="S67" s="6"/>
      <c r="T67" s="6"/>
      <c r="U67" s="6"/>
      <c r="V67" s="6"/>
      <c r="W67" s="6"/>
      <c r="X67" s="6"/>
      <c r="Y67" s="6"/>
      <c r="Z67" s="6"/>
    </row>
    <row r="68" ht="14.25" customHeight="1">
      <c r="A68" s="6"/>
      <c r="B68" s="6"/>
      <c r="C68" s="6">
        <f>Markov!C63</f>
        <v>37</v>
      </c>
      <c r="D68" s="30">
        <f t="shared" si="5"/>
        <v>4.194896482</v>
      </c>
      <c r="E68" s="30">
        <f t="shared" si="6"/>
        <v>0.0004761106352</v>
      </c>
      <c r="F68" s="30">
        <f t="shared" si="4"/>
        <v>0.0002820955514</v>
      </c>
      <c r="G68" s="30">
        <f>(E68)*(i_Adv_DSWI/100)</f>
        <v>0.0001940150839</v>
      </c>
      <c r="H68" s="6"/>
      <c r="I68" s="6"/>
      <c r="J68" s="6"/>
      <c r="L68" s="6"/>
      <c r="M68" s="6"/>
      <c r="N68" s="6"/>
      <c r="O68" s="6"/>
      <c r="P68" s="6"/>
      <c r="Q68" s="6"/>
      <c r="R68" s="6"/>
      <c r="S68" s="6"/>
      <c r="T68" s="6"/>
      <c r="U68" s="6"/>
      <c r="V68" s="6"/>
      <c r="W68" s="6"/>
      <c r="X68" s="6"/>
      <c r="Y68" s="6"/>
      <c r="Z68" s="6"/>
    </row>
    <row r="69" ht="14.25" customHeight="1">
      <c r="A69" s="6"/>
      <c r="B69" s="6"/>
      <c r="C69" s="6">
        <f>Markov!C64</f>
        <v>38</v>
      </c>
      <c r="D69" s="30">
        <f t="shared" si="5"/>
        <v>4.2409206</v>
      </c>
      <c r="E69" s="30">
        <f t="shared" si="6"/>
        <v>0.0004602411763</v>
      </c>
      <c r="F69" s="30">
        <f t="shared" si="4"/>
        <v>0.000272692897</v>
      </c>
      <c r="G69" s="30">
        <f>(E69)*(i_Adv_DSWI/100)</f>
        <v>0.0001875482794</v>
      </c>
      <c r="H69" s="6"/>
      <c r="I69" s="6"/>
      <c r="J69" s="6"/>
      <c r="L69" s="6"/>
      <c r="M69" s="6"/>
      <c r="N69" s="6"/>
      <c r="O69" s="6"/>
      <c r="P69" s="6"/>
      <c r="Q69" s="6"/>
      <c r="R69" s="6"/>
      <c r="S69" s="6"/>
      <c r="T69" s="6"/>
      <c r="U69" s="6"/>
      <c r="V69" s="6"/>
      <c r="W69" s="6"/>
      <c r="X69" s="6"/>
      <c r="Y69" s="6"/>
      <c r="Z69" s="6"/>
    </row>
    <row r="70" ht="14.25" customHeight="1">
      <c r="A70" s="6"/>
      <c r="B70" s="6"/>
      <c r="C70" s="6">
        <f>Markov!C65</f>
        <v>39</v>
      </c>
      <c r="D70" s="30">
        <f t="shared" si="5"/>
        <v>4.285433227</v>
      </c>
      <c r="E70" s="30">
        <f t="shared" si="6"/>
        <v>0.0004451262737</v>
      </c>
      <c r="F70" s="30">
        <f t="shared" si="4"/>
        <v>0.0002637373172</v>
      </c>
      <c r="G70" s="30">
        <f>(E70)*(i_Adv_DSWI/100)</f>
        <v>0.0001813889565</v>
      </c>
      <c r="H70" s="6"/>
      <c r="I70" s="6"/>
      <c r="J70" s="6"/>
      <c r="L70" s="6"/>
      <c r="M70" s="6"/>
      <c r="N70" s="6"/>
      <c r="O70" s="6"/>
      <c r="P70" s="6"/>
      <c r="Q70" s="6"/>
      <c r="R70" s="6"/>
      <c r="S70" s="6"/>
      <c r="T70" s="6"/>
      <c r="U70" s="6"/>
      <c r="V70" s="6"/>
      <c r="W70" s="6"/>
      <c r="X70" s="6"/>
      <c r="Y70" s="6"/>
      <c r="Z70" s="6"/>
    </row>
    <row r="71" ht="14.25" customHeight="1">
      <c r="A71" s="6"/>
      <c r="B71" s="6"/>
      <c r="C71" s="6">
        <f>Markov!C66</f>
        <v>40</v>
      </c>
      <c r="D71" s="30">
        <f t="shared" si="5"/>
        <v>4.328505246</v>
      </c>
      <c r="E71" s="30">
        <f t="shared" si="6"/>
        <v>0.0004307201805</v>
      </c>
      <c r="F71" s="30">
        <f t="shared" si="4"/>
        <v>0.000255201707</v>
      </c>
      <c r="G71" s="30">
        <f>(E71)*(i_Adv_DSWI/100)</f>
        <v>0.0001755184736</v>
      </c>
      <c r="H71" s="6"/>
      <c r="I71" s="6"/>
      <c r="J71" s="6"/>
      <c r="L71" s="6"/>
      <c r="M71" s="6"/>
      <c r="N71" s="6"/>
      <c r="O71" s="6"/>
      <c r="P71" s="6"/>
      <c r="Q71" s="6"/>
      <c r="R71" s="6"/>
      <c r="S71" s="6"/>
      <c r="T71" s="6"/>
      <c r="U71" s="6"/>
      <c r="V71" s="6"/>
      <c r="W71" s="6"/>
      <c r="X71" s="6"/>
      <c r="Y71" s="6"/>
      <c r="Z71" s="6"/>
    </row>
    <row r="72" ht="14.25" customHeight="1">
      <c r="A72" s="6"/>
      <c r="B72" s="6"/>
      <c r="C72" s="6">
        <f>Markov!C67</f>
        <v>41</v>
      </c>
      <c r="D72" s="30">
        <f t="shared" si="5"/>
        <v>4.370203292</v>
      </c>
      <c r="E72" s="30">
        <f t="shared" si="6"/>
        <v>0.0004169804623</v>
      </c>
      <c r="F72" s="30">
        <f t="shared" si="4"/>
        <v>0.0002470609239</v>
      </c>
      <c r="G72" s="30">
        <f>(E72)*(i_Adv_DSWI/100)</f>
        <v>0.0001699195384</v>
      </c>
      <c r="H72" s="6"/>
      <c r="I72" s="6"/>
      <c r="J72" s="6"/>
      <c r="L72" s="6"/>
      <c r="M72" s="6"/>
      <c r="N72" s="6"/>
      <c r="O72" s="6"/>
      <c r="P72" s="6"/>
      <c r="Q72" s="6"/>
      <c r="R72" s="6"/>
      <c r="S72" s="6"/>
      <c r="T72" s="6"/>
      <c r="U72" s="6"/>
      <c r="V72" s="6"/>
      <c r="W72" s="6"/>
      <c r="X72" s="6"/>
      <c r="Y72" s="6"/>
      <c r="Z72" s="6"/>
    </row>
    <row r="73" ht="14.25" customHeight="1">
      <c r="A73" s="6"/>
      <c r="B73" s="6"/>
      <c r="C73" s="6">
        <f>Markov!C68</f>
        <v>42</v>
      </c>
      <c r="D73" s="30">
        <f t="shared" si="5"/>
        <v>4.410590064</v>
      </c>
      <c r="E73" s="30">
        <f t="shared" si="6"/>
        <v>0.0004038677233</v>
      </c>
      <c r="F73" s="30">
        <f t="shared" si="4"/>
        <v>0.0002392916261</v>
      </c>
      <c r="G73" s="30">
        <f>(E73)*(i_Adv_DSWI/100)</f>
        <v>0.0001645760973</v>
      </c>
      <c r="H73" s="6"/>
      <c r="I73" s="6"/>
      <c r="J73" s="6"/>
      <c r="L73" s="6"/>
      <c r="M73" s="6"/>
      <c r="N73" s="6"/>
      <c r="O73" s="6"/>
      <c r="P73" s="6"/>
      <c r="Q73" s="6"/>
      <c r="R73" s="6"/>
      <c r="S73" s="6"/>
      <c r="T73" s="6"/>
      <c r="U73" s="6"/>
      <c r="V73" s="6"/>
      <c r="W73" s="6"/>
      <c r="X73" s="6"/>
      <c r="Y73" s="6"/>
      <c r="Z73" s="6"/>
    </row>
    <row r="74" ht="14.25" customHeight="1">
      <c r="A74" s="6"/>
      <c r="B74" s="6"/>
      <c r="C74" s="6">
        <f>Markov!C69</f>
        <v>43</v>
      </c>
      <c r="D74" s="30">
        <f t="shared" si="5"/>
        <v>4.4497246</v>
      </c>
      <c r="E74" s="30">
        <f t="shared" si="6"/>
        <v>0.0003913453584</v>
      </c>
      <c r="F74" s="30">
        <f t="shared" si="4"/>
        <v>0.0002318721248</v>
      </c>
      <c r="G74" s="30">
        <f>(E74)*(i_Adv_DSWI/100)</f>
        <v>0.0001594732335</v>
      </c>
      <c r="H74" s="6"/>
      <c r="I74" s="6"/>
      <c r="J74" s="6"/>
      <c r="L74" s="6"/>
      <c r="M74" s="6"/>
      <c r="N74" s="6"/>
      <c r="O74" s="6"/>
      <c r="P74" s="6"/>
      <c r="Q74" s="6"/>
      <c r="R74" s="6"/>
      <c r="S74" s="6"/>
      <c r="T74" s="6"/>
      <c r="U74" s="6"/>
      <c r="V74" s="6"/>
      <c r="W74" s="6"/>
      <c r="X74" s="6"/>
      <c r="Y74" s="6"/>
      <c r="Z74" s="6"/>
    </row>
    <row r="75" ht="14.25" customHeight="1">
      <c r="A75" s="6"/>
      <c r="B75" s="6"/>
      <c r="C75" s="6">
        <f>Markov!C70</f>
        <v>44</v>
      </c>
      <c r="D75" s="30">
        <f t="shared" si="5"/>
        <v>4.487662533</v>
      </c>
      <c r="E75" s="30">
        <f t="shared" si="6"/>
        <v>0.0003793793261</v>
      </c>
      <c r="F75" s="30">
        <f t="shared" si="4"/>
        <v>0.0002247822507</v>
      </c>
      <c r="G75" s="30">
        <f>(E75)*(i_Adv_DSWI/100)</f>
        <v>0.0001545970754</v>
      </c>
      <c r="H75" s="6"/>
      <c r="I75" s="6"/>
      <c r="J75" s="6"/>
      <c r="L75" s="6"/>
      <c r="M75" s="6"/>
      <c r="N75" s="6"/>
      <c r="O75" s="6"/>
      <c r="P75" s="6"/>
      <c r="Q75" s="6"/>
      <c r="R75" s="6"/>
      <c r="S75" s="6"/>
      <c r="T75" s="6"/>
      <c r="U75" s="6"/>
      <c r="V75" s="6"/>
      <c r="W75" s="6"/>
      <c r="X75" s="6"/>
      <c r="Y75" s="6"/>
      <c r="Z75" s="6"/>
    </row>
    <row r="76" ht="14.25" customHeight="1">
      <c r="A76" s="6"/>
      <c r="B76" s="6"/>
      <c r="C76" s="6">
        <f>Markov!C71</f>
        <v>45</v>
      </c>
      <c r="D76" s="30">
        <f t="shared" si="5"/>
        <v>4.524456327</v>
      </c>
      <c r="E76" s="30">
        <f t="shared" si="6"/>
        <v>0.0003679379431</v>
      </c>
      <c r="F76" s="30">
        <f t="shared" si="4"/>
        <v>0.0002180032313</v>
      </c>
      <c r="G76" s="30">
        <f>(E76)*(i_Adv_DSWI/100)</f>
        <v>0.0001499347118</v>
      </c>
      <c r="H76" s="6"/>
      <c r="I76" s="6"/>
      <c r="J76" s="6"/>
      <c r="L76" s="6"/>
      <c r="M76" s="6"/>
      <c r="N76" s="6"/>
      <c r="O76" s="6"/>
      <c r="P76" s="6"/>
      <c r="Q76" s="6"/>
      <c r="R76" s="6"/>
      <c r="S76" s="6"/>
      <c r="T76" s="6"/>
      <c r="U76" s="6"/>
      <c r="V76" s="6"/>
      <c r="W76" s="6"/>
      <c r="X76" s="6"/>
      <c r="Y76" s="6"/>
      <c r="Z76" s="6"/>
    </row>
    <row r="77" ht="14.25" customHeight="1">
      <c r="A77" s="6"/>
      <c r="B77" s="6"/>
      <c r="C77" s="6">
        <f>Markov!C72</f>
        <v>46</v>
      </c>
      <c r="D77" s="30">
        <f t="shared" si="5"/>
        <v>4.560155496</v>
      </c>
      <c r="E77" s="30">
        <f t="shared" si="6"/>
        <v>0.0003569916961</v>
      </c>
      <c r="F77" s="30">
        <f t="shared" si="4"/>
        <v>0.0002115175799</v>
      </c>
      <c r="G77" s="30">
        <f>(E77)*(i_Adv_DSWI/100)</f>
        <v>0.0001454741162</v>
      </c>
      <c r="H77" s="6"/>
      <c r="I77" s="6"/>
      <c r="J77" s="6"/>
      <c r="L77" s="6"/>
      <c r="M77" s="6"/>
      <c r="N77" s="6"/>
      <c r="O77" s="6"/>
      <c r="P77" s="6"/>
      <c r="Q77" s="6"/>
      <c r="R77" s="6"/>
      <c r="S77" s="6"/>
      <c r="T77" s="6"/>
      <c r="U77" s="6"/>
      <c r="V77" s="6"/>
      <c r="W77" s="6"/>
      <c r="X77" s="6"/>
      <c r="Y77" s="6"/>
      <c r="Z77" s="6"/>
    </row>
    <row r="78" ht="14.25" customHeight="1">
      <c r="A78" s="6"/>
      <c r="B78" s="6"/>
      <c r="C78" s="6">
        <f>Markov!C73</f>
        <v>47</v>
      </c>
      <c r="D78" s="30">
        <f t="shared" si="5"/>
        <v>4.594806804</v>
      </c>
      <c r="E78" s="30">
        <f t="shared" si="6"/>
        <v>0.0003465130709</v>
      </c>
      <c r="F78" s="30">
        <f t="shared" si="4"/>
        <v>0.0002053089945</v>
      </c>
      <c r="G78" s="30">
        <f>(E78)*(i_Adv_DSWI/100)</f>
        <v>0.0001412040764</v>
      </c>
      <c r="H78" s="6"/>
      <c r="I78" s="6"/>
      <c r="J78" s="6"/>
      <c r="L78" s="6"/>
      <c r="M78" s="6"/>
      <c r="N78" s="6"/>
      <c r="O78" s="6"/>
      <c r="P78" s="6"/>
      <c r="Q78" s="6"/>
      <c r="R78" s="6"/>
      <c r="S78" s="6"/>
      <c r="T78" s="6"/>
      <c r="U78" s="6"/>
      <c r="V78" s="6"/>
      <c r="W78" s="6"/>
      <c r="X78" s="6"/>
      <c r="Y78" s="6"/>
      <c r="Z78" s="6"/>
    </row>
    <row r="79" ht="14.25" customHeight="1">
      <c r="A79" s="6"/>
      <c r="B79" s="6"/>
      <c r="C79" s="6">
        <f>Markov!C74</f>
        <v>48</v>
      </c>
      <c r="D79" s="30">
        <f t="shared" si="5"/>
        <v>4.628454443</v>
      </c>
      <c r="E79" s="30">
        <f t="shared" si="6"/>
        <v>0.0003364763959</v>
      </c>
      <c r="F79" s="30">
        <f t="shared" si="4"/>
        <v>0.0001993622646</v>
      </c>
      <c r="G79" s="30">
        <f>(E79)*(i_Adv_DSWI/100)</f>
        <v>0.0001371141313</v>
      </c>
      <c r="H79" s="6"/>
      <c r="I79" s="6"/>
      <c r="J79" s="6"/>
      <c r="L79" s="6"/>
      <c r="M79" s="6"/>
      <c r="N79" s="6"/>
      <c r="O79" s="6"/>
      <c r="P79" s="6"/>
      <c r="Q79" s="6"/>
      <c r="R79" s="6"/>
      <c r="S79" s="6"/>
      <c r="T79" s="6"/>
      <c r="U79" s="6"/>
      <c r="V79" s="6"/>
      <c r="W79" s="6"/>
      <c r="X79" s="6"/>
      <c r="Y79" s="6"/>
      <c r="Z79" s="6"/>
    </row>
    <row r="80" ht="14.25" customHeight="1">
      <c r="A80" s="6"/>
      <c r="B80" s="6"/>
      <c r="C80" s="6">
        <f>Markov!C75</f>
        <v>49</v>
      </c>
      <c r="D80" s="30">
        <f t="shared" si="5"/>
        <v>4.661140213</v>
      </c>
      <c r="E80" s="30">
        <f t="shared" si="6"/>
        <v>0.0003268577001</v>
      </c>
      <c r="F80" s="30">
        <f t="shared" si="4"/>
        <v>0.0001936631873</v>
      </c>
      <c r="G80" s="30">
        <f>(E80)*(i_Adv_DSWI/100)</f>
        <v>0.0001331945128</v>
      </c>
      <c r="H80" s="6"/>
      <c r="I80" s="6"/>
      <c r="J80" s="6"/>
      <c r="L80" s="6"/>
      <c r="M80" s="6"/>
      <c r="N80" s="6"/>
      <c r="O80" s="6"/>
      <c r="P80" s="6"/>
      <c r="Q80" s="6"/>
      <c r="R80" s="6"/>
      <c r="S80" s="6"/>
      <c r="T80" s="6"/>
      <c r="U80" s="6"/>
      <c r="V80" s="6"/>
      <c r="W80" s="6"/>
      <c r="X80" s="6"/>
      <c r="Y80" s="6"/>
      <c r="Z80" s="6"/>
    </row>
    <row r="81" ht="14.25" customHeight="1">
      <c r="A81" s="6"/>
      <c r="B81" s="6"/>
      <c r="C81" s="6">
        <f>Markov!C76</f>
        <v>50</v>
      </c>
      <c r="D81" s="30">
        <f t="shared" si="5"/>
        <v>4.692903671</v>
      </c>
      <c r="E81" s="30">
        <f t="shared" si="6"/>
        <v>0.0003176345822</v>
      </c>
      <c r="F81" s="30">
        <f t="shared" si="4"/>
        <v>0.00018819849</v>
      </c>
      <c r="G81" s="30">
        <f>(E81)*(i_Adv_DSWI/100)</f>
        <v>0.0001294360922</v>
      </c>
      <c r="H81" s="6"/>
      <c r="I81" s="6"/>
      <c r="J81" s="6"/>
      <c r="L81" s="6"/>
      <c r="M81" s="6"/>
      <c r="N81" s="6"/>
      <c r="O81" s="6"/>
      <c r="P81" s="6"/>
      <c r="Q81" s="6"/>
      <c r="R81" s="6"/>
      <c r="S81" s="6"/>
      <c r="T81" s="6"/>
      <c r="U81" s="6"/>
      <c r="V81" s="6"/>
      <c r="W81" s="6"/>
      <c r="X81" s="6"/>
      <c r="Y81" s="6"/>
      <c r="Z81" s="6"/>
    </row>
    <row r="82" ht="14.25" customHeight="1">
      <c r="A82" s="6"/>
      <c r="B82" s="6"/>
      <c r="C82" s="6">
        <f>Markov!C77</f>
        <v>51</v>
      </c>
      <c r="D82" s="30">
        <f t="shared" si="5"/>
        <v>4.723782281</v>
      </c>
      <c r="E82" s="30">
        <f t="shared" si="6"/>
        <v>0.0003087860921</v>
      </c>
      <c r="F82" s="30">
        <f t="shared" si="4"/>
        <v>0.0001829557596</v>
      </c>
      <c r="G82" s="30">
        <f>(E82)*(i_Adv_DSWI/100)</f>
        <v>0.0001258303325</v>
      </c>
      <c r="H82" s="6"/>
      <c r="I82" s="6"/>
      <c r="J82" s="6"/>
      <c r="L82" s="6"/>
      <c r="M82" s="6"/>
      <c r="N82" s="6"/>
      <c r="O82" s="6"/>
      <c r="P82" s="6"/>
      <c r="Q82" s="6"/>
      <c r="R82" s="6"/>
      <c r="S82" s="6"/>
      <c r="T82" s="6"/>
      <c r="U82" s="6"/>
      <c r="V82" s="6"/>
      <c r="W82" s="6"/>
      <c r="X82" s="6"/>
      <c r="Y82" s="6"/>
      <c r="Z82" s="6"/>
    </row>
    <row r="83" ht="14.25" customHeight="1">
      <c r="A83" s="6"/>
      <c r="B83" s="6"/>
      <c r="C83" s="6">
        <f>Markov!C78</f>
        <v>52</v>
      </c>
      <c r="D83" s="30">
        <f t="shared" si="5"/>
        <v>4.753811543</v>
      </c>
      <c r="E83" s="30">
        <f t="shared" si="6"/>
        <v>0.0003002926218</v>
      </c>
      <c r="F83" s="30">
        <f t="shared" si="4"/>
        <v>0.0001779233784</v>
      </c>
      <c r="G83" s="30">
        <f>(E83)*(i_Adv_DSWI/100)</f>
        <v>0.0001223692434</v>
      </c>
      <c r="H83" s="6"/>
      <c r="I83" s="6"/>
      <c r="J83" s="6"/>
      <c r="L83" s="6"/>
      <c r="M83" s="6"/>
      <c r="N83" s="6"/>
      <c r="O83" s="6"/>
      <c r="P83" s="6"/>
      <c r="Q83" s="6"/>
      <c r="R83" s="6"/>
      <c r="S83" s="6"/>
      <c r="T83" s="6"/>
      <c r="U83" s="6"/>
      <c r="V83" s="6"/>
      <c r="W83" s="6"/>
      <c r="X83" s="6"/>
      <c r="Y83" s="6"/>
      <c r="Z83" s="6"/>
    </row>
    <row r="84" ht="14.25" customHeight="1">
      <c r="A84" s="6"/>
      <c r="B84" s="6"/>
      <c r="C84" s="6">
        <f>Markov!C79</f>
        <v>53</v>
      </c>
      <c r="D84" s="30">
        <f t="shared" si="5"/>
        <v>4.783025123</v>
      </c>
      <c r="E84" s="30">
        <f t="shared" si="6"/>
        <v>0.0002921358052</v>
      </c>
      <c r="F84" s="30">
        <f t="shared" si="4"/>
        <v>0.0001730904646</v>
      </c>
      <c r="G84" s="30">
        <f>(E84)*(i_Adv_DSWI/100)</f>
        <v>0.0001190453406</v>
      </c>
      <c r="H84" s="6"/>
      <c r="I84" s="6"/>
      <c r="J84" s="6"/>
      <c r="L84" s="6"/>
      <c r="M84" s="6"/>
      <c r="N84" s="6"/>
      <c r="O84" s="6"/>
      <c r="P84" s="6"/>
      <c r="Q84" s="6"/>
      <c r="R84" s="6"/>
      <c r="S84" s="6"/>
      <c r="T84" s="6"/>
      <c r="U84" s="6"/>
      <c r="V84" s="6"/>
      <c r="W84" s="6"/>
      <c r="X84" s="6"/>
      <c r="Y84" s="6"/>
      <c r="Z84" s="6"/>
    </row>
    <row r="85" ht="14.25" customHeight="1">
      <c r="A85" s="6"/>
      <c r="B85" s="6"/>
      <c r="C85" s="6">
        <f>Markov!C80</f>
        <v>54</v>
      </c>
      <c r="D85" s="30">
        <f t="shared" si="5"/>
        <v>4.811454966</v>
      </c>
      <c r="E85" s="30">
        <f t="shared" si="6"/>
        <v>0.0002842984275</v>
      </c>
      <c r="F85" s="30">
        <f t="shared" si="4"/>
        <v>0.0001684468183</v>
      </c>
      <c r="G85" s="30">
        <f>(E85)*(i_Adv_DSWI/100)</f>
        <v>0.0001158516092</v>
      </c>
      <c r="H85" s="6"/>
      <c r="I85" s="6"/>
      <c r="J85" s="6"/>
      <c r="L85" s="6"/>
      <c r="M85" s="6"/>
      <c r="N85" s="6"/>
      <c r="O85" s="6"/>
      <c r="P85" s="6"/>
      <c r="Q85" s="6"/>
      <c r="R85" s="6"/>
      <c r="S85" s="6"/>
      <c r="T85" s="6"/>
      <c r="U85" s="6"/>
      <c r="V85" s="6"/>
      <c r="W85" s="6"/>
      <c r="X85" s="6"/>
      <c r="Y85" s="6"/>
      <c r="Z85" s="6"/>
    </row>
    <row r="86" ht="14.25" customHeight="1">
      <c r="A86" s="6"/>
      <c r="B86" s="6"/>
      <c r="C86" s="6">
        <f>Markov!C81</f>
        <v>55</v>
      </c>
      <c r="D86" s="30">
        <f t="shared" si="5"/>
        <v>4.8391314</v>
      </c>
      <c r="E86" s="30">
        <f t="shared" si="6"/>
        <v>0.0002767643406</v>
      </c>
      <c r="F86" s="30">
        <f t="shared" si="4"/>
        <v>0.0001639828718</v>
      </c>
      <c r="G86" s="30">
        <f>(E86)*(i_Adv_DSWI/100)</f>
        <v>0.0001127814688</v>
      </c>
      <c r="H86" s="6"/>
      <c r="I86" s="6"/>
      <c r="J86" s="6"/>
      <c r="L86" s="6"/>
      <c r="M86" s="6"/>
      <c r="N86" s="6"/>
      <c r="O86" s="6"/>
      <c r="P86" s="6"/>
      <c r="Q86" s="6"/>
      <c r="R86" s="6"/>
      <c r="S86" s="6"/>
      <c r="T86" s="6"/>
      <c r="U86" s="6"/>
      <c r="V86" s="6"/>
      <c r="W86" s="6"/>
      <c r="X86" s="6"/>
      <c r="Y86" s="6"/>
      <c r="Z86" s="6"/>
    </row>
    <row r="87" ht="14.25" customHeight="1">
      <c r="A87" s="6"/>
      <c r="B87" s="6"/>
      <c r="C87" s="6">
        <f>Markov!C82</f>
        <v>56</v>
      </c>
      <c r="D87" s="30">
        <f t="shared" si="5"/>
        <v>4.866083239</v>
      </c>
      <c r="E87" s="30">
        <f t="shared" si="6"/>
        <v>0.0002695183868</v>
      </c>
      <c r="F87" s="30">
        <f t="shared" si="4"/>
        <v>0.0001596896442</v>
      </c>
      <c r="G87" s="30">
        <f>(E87)*(i_Adv_DSWI/100)</f>
        <v>0.0001098287426</v>
      </c>
      <c r="H87" s="6"/>
      <c r="I87" s="6"/>
      <c r="J87" s="6"/>
      <c r="L87" s="6"/>
      <c r="M87" s="6"/>
      <c r="N87" s="6"/>
      <c r="O87" s="6"/>
      <c r="P87" s="6"/>
      <c r="Q87" s="6"/>
      <c r="R87" s="6"/>
      <c r="S87" s="6"/>
      <c r="T87" s="6"/>
      <c r="U87" s="6"/>
      <c r="V87" s="6"/>
      <c r="W87" s="6"/>
      <c r="X87" s="6"/>
      <c r="Y87" s="6"/>
      <c r="Z87" s="6"/>
    </row>
    <row r="88" ht="14.25" customHeight="1">
      <c r="A88" s="6"/>
      <c r="B88" s="6"/>
      <c r="C88" s="6">
        <f>Markov!C83</f>
        <v>57</v>
      </c>
      <c r="D88" s="30">
        <f t="shared" si="5"/>
        <v>4.892337872</v>
      </c>
      <c r="E88" s="30">
        <f t="shared" si="6"/>
        <v>0.0002625463276</v>
      </c>
      <c r="F88" s="30">
        <f t="shared" si="4"/>
        <v>0.0001555586991</v>
      </c>
      <c r="G88" s="30">
        <f>(E88)*(i_Adv_DSWI/100)</f>
        <v>0.0001069876285</v>
      </c>
      <c r="H88" s="6"/>
      <c r="I88" s="6"/>
      <c r="J88" s="6"/>
      <c r="L88" s="6"/>
      <c r="M88" s="6"/>
      <c r="N88" s="6"/>
      <c r="O88" s="6"/>
      <c r="P88" s="6"/>
      <c r="Q88" s="6"/>
      <c r="R88" s="6"/>
      <c r="S88" s="6"/>
      <c r="T88" s="6"/>
      <c r="U88" s="6"/>
      <c r="V88" s="6"/>
      <c r="W88" s="6"/>
      <c r="X88" s="6"/>
      <c r="Y88" s="6"/>
      <c r="Z88" s="6"/>
    </row>
    <row r="89" ht="14.25" customHeight="1">
      <c r="A89" s="6"/>
      <c r="B89" s="6"/>
      <c r="C89" s="6">
        <f>Markov!C84</f>
        <v>58</v>
      </c>
      <c r="D89" s="30">
        <f t="shared" si="5"/>
        <v>4.917921349</v>
      </c>
      <c r="E89" s="30">
        <f t="shared" si="6"/>
        <v>0.0002558347788</v>
      </c>
      <c r="F89" s="30">
        <f t="shared" si="4"/>
        <v>0.0001515821064</v>
      </c>
      <c r="G89" s="30">
        <f>(E89)*(i_Adv_DSWI/100)</f>
        <v>0.0001042526724</v>
      </c>
      <c r="H89" s="6"/>
      <c r="I89" s="6"/>
      <c r="J89" s="6"/>
      <c r="L89" s="6"/>
      <c r="M89" s="6"/>
      <c r="N89" s="6"/>
      <c r="O89" s="6"/>
      <c r="P89" s="6"/>
      <c r="Q89" s="6"/>
      <c r="R89" s="6"/>
      <c r="S89" s="6"/>
      <c r="T89" s="6"/>
      <c r="U89" s="6"/>
      <c r="V89" s="6"/>
      <c r="W89" s="6"/>
      <c r="X89" s="6"/>
      <c r="Y89" s="6"/>
      <c r="Z89" s="6"/>
    </row>
    <row r="90" ht="14.25" customHeight="1">
      <c r="A90" s="6"/>
      <c r="B90" s="6"/>
      <c r="C90" s="6">
        <f>Markov!C85</f>
        <v>59</v>
      </c>
      <c r="D90" s="30">
        <f t="shared" si="5"/>
        <v>4.942858464</v>
      </c>
      <c r="E90" s="30">
        <f t="shared" si="6"/>
        <v>0.0002493711511</v>
      </c>
      <c r="F90" s="30">
        <f t="shared" si="4"/>
        <v>0.000147752407</v>
      </c>
      <c r="G90" s="30">
        <f>(E90)*(i_Adv_DSWI/100)</f>
        <v>0.0001016187441</v>
      </c>
      <c r="H90" s="6"/>
      <c r="I90" s="6"/>
      <c r="J90" s="6"/>
      <c r="L90" s="6"/>
      <c r="M90" s="6"/>
      <c r="N90" s="6"/>
      <c r="O90" s="6"/>
      <c r="P90" s="6"/>
      <c r="Q90" s="6"/>
      <c r="R90" s="6"/>
      <c r="S90" s="6"/>
      <c r="T90" s="6"/>
      <c r="U90" s="6"/>
      <c r="V90" s="6"/>
      <c r="W90" s="6"/>
      <c r="X90" s="6"/>
      <c r="Y90" s="6"/>
      <c r="Z90" s="6"/>
    </row>
    <row r="91" ht="14.25" customHeight="1">
      <c r="A91" s="6"/>
      <c r="B91" s="6"/>
      <c r="C91" s="6">
        <f>Markov!C86</f>
        <v>60</v>
      </c>
      <c r="D91" s="30">
        <f t="shared" si="5"/>
        <v>4.967172824</v>
      </c>
      <c r="E91" s="30">
        <f t="shared" si="6"/>
        <v>0.0002431435945</v>
      </c>
      <c r="F91" s="30">
        <f t="shared" si="4"/>
        <v>0.0001440625798</v>
      </c>
      <c r="G91" s="30">
        <f>(E91)*(i_Adv_DSWI/100)</f>
        <v>0.00009908101477</v>
      </c>
      <c r="H91" s="6"/>
      <c r="I91" s="6"/>
      <c r="J91" s="6"/>
      <c r="L91" s="6"/>
      <c r="M91" s="6"/>
      <c r="N91" s="6"/>
      <c r="O91" s="6"/>
      <c r="P91" s="6"/>
      <c r="Q91" s="6"/>
      <c r="R91" s="6"/>
      <c r="S91" s="6"/>
      <c r="T91" s="6"/>
      <c r="U91" s="6"/>
      <c r="V91" s="6"/>
      <c r="W91" s="6"/>
      <c r="X91" s="6"/>
      <c r="Y91" s="6"/>
      <c r="Z91" s="6"/>
    </row>
    <row r="92" ht="14.25" customHeight="1">
      <c r="A92" s="6"/>
      <c r="B92" s="6"/>
      <c r="C92" s="6">
        <f>Markov!C87</f>
        <v>61</v>
      </c>
      <c r="D92" s="30">
        <f t="shared" si="5"/>
        <v>4.990886919</v>
      </c>
      <c r="E92" s="30">
        <f t="shared" si="6"/>
        <v>0.0002371409482</v>
      </c>
      <c r="F92" s="30">
        <f t="shared" si="4"/>
        <v>0.0001405060118</v>
      </c>
      <c r="G92" s="30">
        <f>(E92)*(i_Adv_DSWI/100)</f>
        <v>0.00009663493639</v>
      </c>
      <c r="H92" s="6"/>
      <c r="I92" s="6"/>
      <c r="J92" s="6"/>
      <c r="L92" s="6"/>
      <c r="M92" s="6"/>
      <c r="N92" s="6"/>
      <c r="O92" s="6"/>
      <c r="P92" s="6"/>
      <c r="Q92" s="6"/>
      <c r="R92" s="6"/>
      <c r="S92" s="6"/>
      <c r="T92" s="6"/>
      <c r="U92" s="6"/>
      <c r="V92" s="6"/>
      <c r="W92" s="6"/>
      <c r="X92" s="6"/>
      <c r="Y92" s="6"/>
      <c r="Z92" s="6"/>
    </row>
    <row r="93" ht="14.25" customHeight="1">
      <c r="A93" s="6"/>
      <c r="B93" s="6"/>
      <c r="C93" s="6">
        <f>Markov!C88</f>
        <v>62</v>
      </c>
      <c r="D93" s="30">
        <f t="shared" si="5"/>
        <v>5.014022188</v>
      </c>
      <c r="E93" s="30">
        <f t="shared" si="6"/>
        <v>0.0002313526931</v>
      </c>
      <c r="F93" s="30">
        <f t="shared" si="4"/>
        <v>0.0001370764707</v>
      </c>
      <c r="G93" s="30">
        <f>(E93)*(i_Adv_DSWI/100)</f>
        <v>0.00009427622245</v>
      </c>
      <c r="H93" s="6"/>
      <c r="I93" s="6"/>
      <c r="J93" s="6"/>
      <c r="L93" s="6"/>
      <c r="M93" s="6"/>
      <c r="N93" s="6"/>
      <c r="O93" s="6"/>
      <c r="P93" s="6"/>
      <c r="Q93" s="6"/>
      <c r="R93" s="6"/>
      <c r="S93" s="6"/>
      <c r="T93" s="6"/>
      <c r="U93" s="6"/>
      <c r="V93" s="6"/>
      <c r="W93" s="6"/>
      <c r="X93" s="6"/>
      <c r="Y93" s="6"/>
      <c r="Z93" s="6"/>
    </row>
    <row r="94" ht="14.25" customHeight="1">
      <c r="A94" s="6"/>
      <c r="B94" s="6"/>
      <c r="C94" s="6">
        <f>Markov!C89</f>
        <v>63</v>
      </c>
      <c r="D94" s="30">
        <f t="shared" si="5"/>
        <v>5.036599079</v>
      </c>
      <c r="E94" s="30">
        <f t="shared" si="6"/>
        <v>0.0002257689093</v>
      </c>
      <c r="F94" s="30">
        <f t="shared" si="4"/>
        <v>0.0001337680788</v>
      </c>
      <c r="G94" s="30">
        <f>(E94)*(i_Adv_DSWI/100)</f>
        <v>0.00009200083054</v>
      </c>
      <c r="H94" s="6"/>
      <c r="I94" s="6"/>
      <c r="J94" s="6"/>
      <c r="L94" s="6"/>
      <c r="M94" s="6"/>
      <c r="N94" s="6"/>
      <c r="O94" s="6"/>
      <c r="P94" s="6"/>
      <c r="Q94" s="6"/>
      <c r="R94" s="6"/>
      <c r="S94" s="6"/>
      <c r="T94" s="6"/>
      <c r="U94" s="6"/>
      <c r="V94" s="6"/>
      <c r="W94" s="6"/>
      <c r="X94" s="6"/>
      <c r="Y94" s="6"/>
      <c r="Z94" s="6"/>
    </row>
    <row r="95" ht="14.25" customHeight="1">
      <c r="A95" s="6"/>
      <c r="B95" s="6"/>
      <c r="C95" s="6">
        <f>Markov!C90</f>
        <v>64</v>
      </c>
      <c r="D95" s="30">
        <f t="shared" si="5"/>
        <v>5.058637103</v>
      </c>
      <c r="E95" s="30">
        <f t="shared" si="6"/>
        <v>0.0002203802357</v>
      </c>
      <c r="F95" s="30">
        <f t="shared" si="4"/>
        <v>0.0001305752896</v>
      </c>
      <c r="G95" s="30">
        <f>(E95)*(i_Adv_DSWI/100)</f>
        <v>0.00008980494603</v>
      </c>
      <c r="H95" s="6"/>
      <c r="I95" s="6"/>
      <c r="J95" s="6"/>
      <c r="L95" s="6"/>
      <c r="M95" s="6"/>
      <c r="N95" s="6"/>
      <c r="O95" s="6"/>
      <c r="P95" s="6"/>
      <c r="Q95" s="6"/>
      <c r="R95" s="6"/>
      <c r="S95" s="6"/>
      <c r="T95" s="6"/>
      <c r="U95" s="6"/>
      <c r="V95" s="6"/>
      <c r="W95" s="6"/>
      <c r="X95" s="6"/>
      <c r="Y95" s="6"/>
      <c r="Z95" s="6"/>
    </row>
    <row r="96" ht="14.25" customHeight="1">
      <c r="A96" s="6"/>
      <c r="B96" s="6"/>
      <c r="C96" s="6">
        <f>Markov!C91</f>
        <v>65</v>
      </c>
      <c r="D96" s="30">
        <f t="shared" si="5"/>
        <v>5.080154886</v>
      </c>
      <c r="E96" s="30">
        <f t="shared" si="6"/>
        <v>0.0002151778333</v>
      </c>
      <c r="F96" s="30">
        <f t="shared" si="4"/>
        <v>0.0001274928663</v>
      </c>
      <c r="G96" s="30">
        <f>(E96)*(i_Adv_DSWI/100)</f>
        <v>0.00008768496708</v>
      </c>
      <c r="H96" s="6"/>
      <c r="I96" s="6"/>
      <c r="J96" s="6"/>
      <c r="L96" s="6"/>
      <c r="M96" s="6"/>
      <c r="N96" s="6"/>
      <c r="O96" s="6"/>
      <c r="P96" s="6"/>
      <c r="Q96" s="6"/>
      <c r="R96" s="6"/>
      <c r="S96" s="6"/>
      <c r="T96" s="6"/>
      <c r="U96" s="6"/>
      <c r="V96" s="6"/>
      <c r="W96" s="6"/>
      <c r="X96" s="6"/>
      <c r="Y96" s="6"/>
      <c r="Z96" s="6"/>
    </row>
    <row r="97" ht="14.25" customHeight="1">
      <c r="A97" s="6"/>
      <c r="B97" s="6"/>
      <c r="C97" s="6">
        <f>Markov!C92</f>
        <v>66</v>
      </c>
      <c r="D97" s="30">
        <f t="shared" si="5"/>
        <v>5.101170221</v>
      </c>
      <c r="E97" s="30">
        <f t="shared" si="6"/>
        <v>0.0002101533515</v>
      </c>
      <c r="F97" s="30">
        <f t="shared" si="4"/>
        <v>0.0001245158608</v>
      </c>
      <c r="G97" s="30">
        <f>(E97)*(i_Adv_DSWI/100)</f>
        <v>0.00008563749075</v>
      </c>
      <c r="H97" s="6"/>
      <c r="I97" s="6"/>
      <c r="J97" s="6"/>
      <c r="L97" s="6"/>
      <c r="M97" s="6"/>
      <c r="N97" s="6"/>
      <c r="O97" s="6"/>
      <c r="P97" s="6"/>
      <c r="Q97" s="6"/>
      <c r="R97" s="6"/>
      <c r="S97" s="6"/>
      <c r="T97" s="6"/>
      <c r="U97" s="6"/>
      <c r="V97" s="6"/>
      <c r="W97" s="6"/>
      <c r="X97" s="6"/>
      <c r="Y97" s="6"/>
      <c r="Z97" s="6"/>
    </row>
    <row r="98" ht="14.25" customHeight="1">
      <c r="A98" s="6"/>
      <c r="B98" s="6"/>
      <c r="C98" s="6">
        <f>Markov!C93</f>
        <v>67</v>
      </c>
      <c r="D98" s="30">
        <f t="shared" si="5"/>
        <v>5.121700111</v>
      </c>
      <c r="E98" s="30">
        <f t="shared" si="6"/>
        <v>0.0002052988959</v>
      </c>
      <c r="F98" s="30">
        <f t="shared" si="4"/>
        <v>0.0001216395958</v>
      </c>
      <c r="G98" s="30">
        <f>(E98)*(i_Adv_DSWI/100)</f>
        <v>0.00008365930009</v>
      </c>
      <c r="H98" s="6"/>
      <c r="I98" s="6"/>
      <c r="J98" s="6"/>
      <c r="L98" s="6"/>
      <c r="M98" s="6"/>
      <c r="N98" s="6"/>
      <c r="O98" s="6"/>
      <c r="P98" s="6"/>
      <c r="Q98" s="6"/>
      <c r="R98" s="6"/>
      <c r="S98" s="6"/>
      <c r="T98" s="6"/>
      <c r="U98" s="6"/>
      <c r="V98" s="6"/>
      <c r="W98" s="6"/>
      <c r="X98" s="6"/>
      <c r="Y98" s="6"/>
      <c r="Z98" s="6"/>
    </row>
    <row r="99" ht="14.25" customHeight="1">
      <c r="A99" s="6"/>
      <c r="B99" s="6"/>
      <c r="C99" s="6">
        <f>Markov!C94</f>
        <v>68</v>
      </c>
      <c r="D99" s="30">
        <f t="shared" si="5"/>
        <v>5.141760811</v>
      </c>
      <c r="E99" s="30">
        <f t="shared" si="6"/>
        <v>0.0002006069994</v>
      </c>
      <c r="F99" s="30">
        <f t="shared" si="4"/>
        <v>0.0001188596472</v>
      </c>
      <c r="G99" s="30">
        <f>(E99)*(i_Adv_DSWI/100)</f>
        <v>0.00008174735227</v>
      </c>
      <c r="H99" s="6"/>
      <c r="I99" s="6"/>
      <c r="J99" s="6"/>
      <c r="L99" s="6"/>
      <c r="M99" s="6"/>
      <c r="N99" s="6"/>
      <c r="O99" s="6"/>
      <c r="P99" s="6"/>
      <c r="Q99" s="6"/>
      <c r="R99" s="6"/>
      <c r="S99" s="6"/>
      <c r="T99" s="6"/>
      <c r="U99" s="6"/>
      <c r="V99" s="6"/>
      <c r="W99" s="6"/>
      <c r="X99" s="6"/>
      <c r="Y99" s="6"/>
      <c r="Z99" s="6"/>
    </row>
    <row r="100" ht="14.25" customHeight="1">
      <c r="A100" s="6"/>
      <c r="B100" s="6"/>
      <c r="C100" s="6">
        <f>Markov!C95</f>
        <v>69</v>
      </c>
      <c r="D100" s="30">
        <f t="shared" si="5"/>
        <v>5.16136787</v>
      </c>
      <c r="E100" s="30">
        <f t="shared" si="6"/>
        <v>0.0001960705952</v>
      </c>
      <c r="F100" s="30">
        <f t="shared" si="4"/>
        <v>0.0001161718276</v>
      </c>
      <c r="G100" s="30">
        <f>(E100)*(i_Adv_DSWI/100)</f>
        <v>0.00007989876754</v>
      </c>
      <c r="H100" s="6"/>
      <c r="I100" s="6"/>
      <c r="J100" s="6"/>
      <c r="L100" s="6"/>
      <c r="M100" s="6"/>
      <c r="N100" s="6"/>
      <c r="O100" s="6"/>
      <c r="P100" s="6"/>
      <c r="Q100" s="6"/>
      <c r="R100" s="6"/>
      <c r="S100" s="6"/>
      <c r="T100" s="6"/>
      <c r="U100" s="6"/>
      <c r="V100" s="6"/>
      <c r="W100" s="6"/>
      <c r="X100" s="6"/>
      <c r="Y100" s="6"/>
      <c r="Z100" s="6"/>
    </row>
    <row r="101" ht="14.25" customHeight="1">
      <c r="A101" s="6"/>
      <c r="B101" s="6"/>
      <c r="C101" s="6">
        <f>Markov!C96</f>
        <v>70</v>
      </c>
      <c r="D101" s="30">
        <f t="shared" si="5"/>
        <v>5.180536169</v>
      </c>
      <c r="E101" s="30">
        <f t="shared" si="6"/>
        <v>0.0001916829912</v>
      </c>
      <c r="F101" s="30">
        <f t="shared" si="4"/>
        <v>0.0001135721723</v>
      </c>
      <c r="G101" s="30">
        <f>(E101)*(i_Adv_DSWI/100)</f>
        <v>0.00007811081892</v>
      </c>
      <c r="H101" s="6"/>
      <c r="I101" s="6"/>
      <c r="J101" s="6"/>
      <c r="L101" s="6"/>
      <c r="M101" s="6"/>
      <c r="N101" s="6"/>
      <c r="O101" s="6"/>
      <c r="P101" s="6"/>
      <c r="Q101" s="6"/>
      <c r="R101" s="6"/>
      <c r="S101" s="6"/>
      <c r="T101" s="6"/>
      <c r="U101" s="6"/>
      <c r="V101" s="6"/>
      <c r="W101" s="6"/>
      <c r="X101" s="6"/>
      <c r="Y101" s="6"/>
      <c r="Z101" s="6"/>
    </row>
    <row r="102" ht="14.25" customHeight="1">
      <c r="A102" s="6"/>
      <c r="B102" s="6"/>
      <c r="C102" s="6">
        <f>Markov!C97</f>
        <v>71</v>
      </c>
      <c r="D102" s="30">
        <f t="shared" si="5"/>
        <v>5.199279954</v>
      </c>
      <c r="E102" s="30">
        <f t="shared" si="6"/>
        <v>0.0001874378473</v>
      </c>
      <c r="F102" s="30">
        <f t="shared" si="4"/>
        <v>0.0001110569245</v>
      </c>
      <c r="G102" s="30">
        <f>(E102)*(i_Adv_DSWI/100)</f>
        <v>0.00007638092277</v>
      </c>
      <c r="H102" s="6"/>
      <c r="I102" s="6"/>
      <c r="J102" s="6"/>
      <c r="L102" s="6"/>
      <c r="M102" s="6"/>
      <c r="N102" s="6"/>
      <c r="O102" s="6"/>
      <c r="P102" s="6"/>
      <c r="Q102" s="6"/>
      <c r="R102" s="6"/>
      <c r="S102" s="6"/>
      <c r="T102" s="6"/>
      <c r="U102" s="6"/>
      <c r="V102" s="6"/>
      <c r="W102" s="6"/>
      <c r="X102" s="6"/>
      <c r="Y102" s="6"/>
      <c r="Z102" s="6"/>
    </row>
    <row r="103" ht="14.25" customHeight="1">
      <c r="A103" s="6"/>
      <c r="B103" s="6"/>
      <c r="C103" s="6">
        <f>Markov!C98</f>
        <v>72</v>
      </c>
      <c r="D103" s="30">
        <f t="shared" si="5"/>
        <v>5.217612869</v>
      </c>
      <c r="E103" s="30">
        <f t="shared" si="6"/>
        <v>0.0001833291531</v>
      </c>
      <c r="F103" s="30">
        <f t="shared" si="4"/>
        <v>0.0001086225232</v>
      </c>
      <c r="G103" s="30">
        <f>(E103)*(i_Adv_DSWI/100)</f>
        <v>0.0000747066299</v>
      </c>
      <c r="H103" s="6"/>
      <c r="I103" s="6"/>
      <c r="J103" s="6"/>
      <c r="L103" s="6"/>
      <c r="M103" s="6"/>
      <c r="N103" s="6"/>
      <c r="O103" s="6"/>
      <c r="P103" s="6"/>
      <c r="Q103" s="6"/>
      <c r="R103" s="6"/>
      <c r="S103" s="6"/>
      <c r="T103" s="6"/>
      <c r="U103" s="6"/>
      <c r="V103" s="6"/>
      <c r="W103" s="6"/>
      <c r="X103" s="6"/>
      <c r="Y103" s="6"/>
      <c r="Z103" s="6"/>
    </row>
    <row r="104" ht="14.25" customHeight="1">
      <c r="A104" s="6"/>
      <c r="B104" s="6"/>
      <c r="C104" s="6">
        <f>Markov!C99</f>
        <v>73</v>
      </c>
      <c r="D104" s="30">
        <f t="shared" si="5"/>
        <v>5.23554799</v>
      </c>
      <c r="E104" s="30">
        <f t="shared" si="6"/>
        <v>0.0001793512083</v>
      </c>
      <c r="F104" s="30">
        <f t="shared" si="4"/>
        <v>0.0001062655909</v>
      </c>
      <c r="G104" s="30">
        <f>(E104)*(i_Adv_DSWI/100)</f>
        <v>0.00007308561736</v>
      </c>
      <c r="H104" s="6"/>
      <c r="I104" s="6"/>
      <c r="J104" s="6"/>
      <c r="L104" s="6"/>
      <c r="M104" s="6"/>
      <c r="N104" s="6"/>
      <c r="O104" s="6"/>
      <c r="P104" s="6"/>
      <c r="Q104" s="6"/>
      <c r="R104" s="6"/>
      <c r="S104" s="6"/>
      <c r="T104" s="6"/>
      <c r="U104" s="6"/>
      <c r="V104" s="6"/>
      <c r="W104" s="6"/>
      <c r="X104" s="6"/>
      <c r="Y104" s="6"/>
      <c r="Z104" s="6"/>
    </row>
    <row r="105" ht="14.25" customHeight="1">
      <c r="A105" s="6"/>
      <c r="B105" s="6"/>
      <c r="C105" s="6">
        <f>Markov!C100</f>
        <v>74</v>
      </c>
      <c r="D105" s="30">
        <f t="shared" si="5"/>
        <v>5.25309785</v>
      </c>
      <c r="E105" s="30">
        <f t="shared" si="6"/>
        <v>0.0001754986032</v>
      </c>
      <c r="F105" s="30">
        <f t="shared" si="4"/>
        <v>0.0001039829224</v>
      </c>
      <c r="G105" s="30">
        <f>(E105)*(i_Adv_DSWI/100)</f>
        <v>0.00007151568082</v>
      </c>
      <c r="H105" s="6"/>
      <c r="I105" s="6"/>
      <c r="J105" s="6"/>
      <c r="L105" s="6"/>
      <c r="M105" s="6"/>
      <c r="N105" s="6"/>
      <c r="O105" s="6"/>
      <c r="P105" s="6"/>
      <c r="Q105" s="6"/>
      <c r="R105" s="6"/>
      <c r="S105" s="6"/>
      <c r="T105" s="6"/>
      <c r="U105" s="6"/>
      <c r="V105" s="6"/>
      <c r="W105" s="6"/>
      <c r="X105" s="6"/>
      <c r="Y105" s="6"/>
      <c r="Z105" s="6"/>
    </row>
    <row r="106" ht="14.25" customHeight="1">
      <c r="A106" s="6"/>
      <c r="B106" s="6"/>
      <c r="C106" s="6">
        <f>Markov!C101</f>
        <v>75</v>
      </c>
      <c r="D106" s="30">
        <f t="shared" si="5"/>
        <v>5.270274471</v>
      </c>
      <c r="E106" s="30">
        <f t="shared" si="6"/>
        <v>0.0001717662023</v>
      </c>
      <c r="F106" s="30">
        <f t="shared" si="4"/>
        <v>0.0001017714749</v>
      </c>
      <c r="G106" s="30">
        <f>(E106)*(i_Adv_DSWI/100)</f>
        <v>0.00006999472743</v>
      </c>
      <c r="H106" s="6"/>
      <c r="I106" s="6"/>
      <c r="J106" s="6"/>
      <c r="L106" s="6"/>
      <c r="M106" s="6"/>
      <c r="N106" s="6"/>
      <c r="O106" s="6"/>
      <c r="P106" s="6"/>
      <c r="Q106" s="6"/>
      <c r="R106" s="6"/>
      <c r="S106" s="6"/>
      <c r="T106" s="6"/>
      <c r="U106" s="6"/>
      <c r="V106" s="6"/>
      <c r="W106" s="6"/>
      <c r="X106" s="6"/>
      <c r="Y106" s="6"/>
      <c r="Z106" s="6"/>
    </row>
    <row r="107" ht="14.25" customHeight="1">
      <c r="A107" s="6"/>
      <c r="B107" s="6"/>
      <c r="C107" s="6">
        <f>Markov!C102</f>
        <v>76</v>
      </c>
      <c r="D107" s="30">
        <f t="shared" si="5"/>
        <v>5.287089383</v>
      </c>
      <c r="E107" s="30">
        <f t="shared" si="6"/>
        <v>0.0001681491269</v>
      </c>
      <c r="F107" s="30">
        <f t="shared" si="4"/>
        <v>0.00009962835768</v>
      </c>
      <c r="G107" s="30">
        <f>(E107)*(i_Adv_DSWI/100)</f>
        <v>0.00006852076921</v>
      </c>
      <c r="H107" s="6"/>
      <c r="I107" s="6"/>
      <c r="J107" s="6"/>
      <c r="L107" s="6"/>
      <c r="M107" s="6"/>
      <c r="N107" s="6"/>
      <c r="O107" s="6"/>
      <c r="P107" s="6"/>
      <c r="Q107" s="6"/>
      <c r="R107" s="6"/>
      <c r="S107" s="6"/>
      <c r="T107" s="6"/>
      <c r="U107" s="6"/>
      <c r="V107" s="6"/>
      <c r="W107" s="6"/>
      <c r="X107" s="6"/>
      <c r="Y107" s="6"/>
      <c r="Z107" s="6"/>
    </row>
    <row r="108" ht="14.25" customHeight="1">
      <c r="A108" s="6"/>
      <c r="B108" s="6"/>
      <c r="C108" s="6">
        <f>Markov!C103</f>
        <v>77</v>
      </c>
      <c r="D108" s="30">
        <f t="shared" si="5"/>
        <v>5.303553657</v>
      </c>
      <c r="E108" s="30">
        <f t="shared" si="6"/>
        <v>0.0001646427408</v>
      </c>
      <c r="F108" s="30">
        <f t="shared" si="4"/>
        <v>0.0000975508239</v>
      </c>
      <c r="G108" s="30">
        <f>(E108)*(i_Adv_DSWI/100)</f>
        <v>0.00006709191686</v>
      </c>
      <c r="H108" s="6"/>
      <c r="I108" s="6"/>
      <c r="J108" s="6"/>
      <c r="L108" s="6"/>
      <c r="M108" s="6"/>
      <c r="N108" s="6"/>
      <c r="O108" s="6"/>
      <c r="P108" s="6"/>
      <c r="Q108" s="6"/>
      <c r="R108" s="6"/>
      <c r="S108" s="6"/>
      <c r="T108" s="6"/>
      <c r="U108" s="6"/>
      <c r="V108" s="6"/>
      <c r="W108" s="6"/>
      <c r="X108" s="6"/>
      <c r="Y108" s="6"/>
      <c r="Z108" s="6"/>
    </row>
    <row r="109" ht="14.25" customHeight="1">
      <c r="A109" s="6"/>
      <c r="B109" s="6"/>
      <c r="C109" s="6">
        <f>Markov!C104</f>
        <v>78</v>
      </c>
      <c r="D109" s="30">
        <f t="shared" si="5"/>
        <v>5.319677921</v>
      </c>
      <c r="E109" s="30">
        <f t="shared" si="6"/>
        <v>0.0001612426356</v>
      </c>
      <c r="F109" s="30">
        <f t="shared" si="4"/>
        <v>0.00009553626161</v>
      </c>
      <c r="G109" s="30">
        <f>(E109)*(i_Adv_DSWI/100)</f>
        <v>0.00006570637402</v>
      </c>
      <c r="H109" s="6"/>
      <c r="I109" s="6"/>
      <c r="J109" s="6"/>
      <c r="L109" s="6"/>
      <c r="M109" s="6"/>
      <c r="N109" s="6"/>
      <c r="O109" s="6"/>
      <c r="P109" s="6"/>
      <c r="Q109" s="6"/>
      <c r="R109" s="6"/>
      <c r="S109" s="6"/>
      <c r="T109" s="6"/>
      <c r="U109" s="6"/>
      <c r="V109" s="6"/>
      <c r="W109" s="6"/>
      <c r="X109" s="6"/>
      <c r="Y109" s="6"/>
      <c r="Z109" s="6"/>
    </row>
    <row r="110" ht="14.25" customHeight="1">
      <c r="A110" s="6"/>
      <c r="B110" s="6"/>
      <c r="C110" s="6">
        <f>Markov!C105</f>
        <v>79</v>
      </c>
      <c r="D110" s="30">
        <f t="shared" si="5"/>
        <v>5.335472383</v>
      </c>
      <c r="E110" s="30">
        <f t="shared" si="6"/>
        <v>0.0001579446181</v>
      </c>
      <c r="F110" s="30">
        <f t="shared" si="4"/>
        <v>0.00009358218623</v>
      </c>
      <c r="G110" s="30">
        <f>(E110)*(i_Adv_DSWI/100)</f>
        <v>0.00006436243188</v>
      </c>
      <c r="H110" s="6"/>
      <c r="I110" s="6"/>
      <c r="J110" s="6"/>
      <c r="L110" s="6"/>
      <c r="M110" s="6"/>
      <c r="N110" s="6"/>
      <c r="O110" s="6"/>
      <c r="P110" s="6"/>
      <c r="Q110" s="6"/>
      <c r="R110" s="6"/>
      <c r="S110" s="6"/>
      <c r="T110" s="6"/>
      <c r="U110" s="6"/>
      <c r="V110" s="6"/>
      <c r="W110" s="6"/>
      <c r="X110" s="6"/>
      <c r="Y110" s="6"/>
      <c r="Z110" s="6"/>
    </row>
    <row r="111" ht="14.25" customHeight="1">
      <c r="A111" s="6"/>
      <c r="B111" s="6"/>
      <c r="C111" s="6">
        <f>Markov!C106</f>
        <v>80</v>
      </c>
      <c r="D111" s="30">
        <f t="shared" si="5"/>
        <v>5.350946853</v>
      </c>
      <c r="E111" s="30">
        <f t="shared" si="6"/>
        <v>0.0001547446973</v>
      </c>
      <c r="F111" s="30">
        <f t="shared" si="4"/>
        <v>0.00009168623314</v>
      </c>
      <c r="G111" s="30">
        <f>(E111)*(i_Adv_DSWI/100)</f>
        <v>0.00006305846415</v>
      </c>
      <c r="H111" s="6"/>
      <c r="I111" s="6"/>
      <c r="J111" s="6"/>
      <c r="L111" s="6"/>
      <c r="M111" s="6"/>
      <c r="N111" s="6"/>
      <c r="O111" s="6"/>
      <c r="P111" s="6"/>
      <c r="Q111" s="6"/>
      <c r="R111" s="6"/>
      <c r="S111" s="6"/>
      <c r="T111" s="6"/>
      <c r="U111" s="6"/>
      <c r="V111" s="6"/>
      <c r="W111" s="6"/>
      <c r="X111" s="6"/>
      <c r="Y111" s="6"/>
      <c r="Z111" s="6"/>
    </row>
    <row r="112" ht="14.25" customHeight="1">
      <c r="A112" s="6"/>
      <c r="B112" s="6"/>
      <c r="C112" s="6">
        <f>Markov!C107</f>
        <v>81</v>
      </c>
      <c r="D112" s="30">
        <f t="shared" si="5"/>
        <v>5.36611076</v>
      </c>
      <c r="E112" s="30">
        <f t="shared" si="6"/>
        <v>0.0001516390733</v>
      </c>
      <c r="F112" s="30">
        <f t="shared" si="4"/>
        <v>0.00008984615095</v>
      </c>
      <c r="G112" s="30">
        <f>(E112)*(i_Adv_DSWI/100)</f>
        <v>0.00006179292239</v>
      </c>
      <c r="H112" s="6"/>
      <c r="I112" s="6"/>
      <c r="J112" s="6"/>
      <c r="L112" s="6"/>
      <c r="M112" s="6"/>
      <c r="N112" s="6"/>
      <c r="O112" s="6"/>
      <c r="P112" s="6"/>
      <c r="Q112" s="6"/>
      <c r="R112" s="6"/>
      <c r="S112" s="6"/>
      <c r="T112" s="6"/>
      <c r="U112" s="6"/>
      <c r="V112" s="6"/>
      <c r="W112" s="6"/>
      <c r="X112" s="6"/>
      <c r="Y112" s="6"/>
      <c r="Z112" s="6"/>
    </row>
    <row r="113" ht="14.25" customHeight="1">
      <c r="A113" s="6"/>
      <c r="B113" s="6"/>
      <c r="C113" s="6">
        <f>Markov!C108</f>
        <v>82</v>
      </c>
      <c r="D113" s="30">
        <f t="shared" si="5"/>
        <v>5.380973173</v>
      </c>
      <c r="E113" s="30">
        <f t="shared" si="6"/>
        <v>0.0001486241267</v>
      </c>
      <c r="F113" s="30">
        <f t="shared" si="4"/>
        <v>0.00008805979505</v>
      </c>
      <c r="G113" s="30">
        <f>(E113)*(i_Adv_DSWI/100)</f>
        <v>0.00006056433161</v>
      </c>
      <c r="H113" s="6"/>
      <c r="I113" s="6"/>
      <c r="J113" s="6"/>
      <c r="L113" s="6"/>
      <c r="M113" s="6"/>
      <c r="N113" s="6"/>
      <c r="O113" s="6"/>
      <c r="P113" s="6"/>
      <c r="Q113" s="6"/>
      <c r="R113" s="6"/>
      <c r="S113" s="6"/>
      <c r="T113" s="6"/>
      <c r="U113" s="6"/>
      <c r="V113" s="6"/>
      <c r="W113" s="6"/>
      <c r="X113" s="6"/>
      <c r="Y113" s="6"/>
      <c r="Z113" s="6"/>
    </row>
    <row r="114" ht="14.25" customHeight="1">
      <c r="A114" s="6"/>
      <c r="B114" s="6"/>
      <c r="C114" s="6">
        <f>Markov!C109</f>
        <v>83</v>
      </c>
      <c r="D114" s="30">
        <f t="shared" si="5"/>
        <v>5.395542813</v>
      </c>
      <c r="E114" s="30">
        <f t="shared" si="6"/>
        <v>0.0001456964078</v>
      </c>
      <c r="F114" s="30">
        <f t="shared" si="4"/>
        <v>0.00008632512164</v>
      </c>
      <c r="G114" s="30">
        <f>(E114)*(i_Adv_DSWI/100)</f>
        <v>0.00005937128619</v>
      </c>
      <c r="H114" s="6"/>
      <c r="I114" s="6"/>
      <c r="J114" s="6"/>
      <c r="L114" s="6"/>
      <c r="M114" s="6"/>
      <c r="N114" s="6"/>
      <c r="O114" s="6"/>
      <c r="P114" s="6"/>
      <c r="Q114" s="6"/>
      <c r="R114" s="6"/>
      <c r="S114" s="6"/>
      <c r="T114" s="6"/>
      <c r="U114" s="6"/>
      <c r="V114" s="6"/>
      <c r="W114" s="6"/>
      <c r="X114" s="6"/>
      <c r="Y114" s="6"/>
      <c r="Z114" s="6"/>
    </row>
    <row r="115" ht="14.25" customHeight="1">
      <c r="A115" s="6"/>
      <c r="B115" s="6"/>
      <c r="C115" s="6">
        <f>Markov!C110</f>
        <v>84</v>
      </c>
      <c r="D115" s="30">
        <f t="shared" si="5"/>
        <v>5.409828076</v>
      </c>
      <c r="E115" s="30">
        <f t="shared" si="6"/>
        <v>0.0001428526282</v>
      </c>
      <c r="F115" s="30">
        <f t="shared" si="4"/>
        <v>0.00008464018223</v>
      </c>
      <c r="G115" s="30">
        <f>(E115)*(i_Adv_DSWI/100)</f>
        <v>0.00005821244601</v>
      </c>
      <c r="H115" s="6"/>
      <c r="I115" s="6"/>
      <c r="J115" s="6"/>
      <c r="L115" s="6"/>
      <c r="M115" s="6"/>
      <c r="N115" s="6"/>
      <c r="O115" s="6"/>
      <c r="P115" s="6"/>
      <c r="Q115" s="6"/>
      <c r="R115" s="6"/>
      <c r="S115" s="6"/>
      <c r="T115" s="6"/>
      <c r="U115" s="6"/>
      <c r="V115" s="6"/>
      <c r="W115" s="6"/>
      <c r="X115" s="6"/>
      <c r="Y115" s="6"/>
      <c r="Z115" s="6"/>
    </row>
    <row r="116" ht="14.25" customHeight="1">
      <c r="A116" s="6"/>
      <c r="B116" s="6"/>
      <c r="C116" s="6">
        <f>Markov!C111</f>
        <v>85</v>
      </c>
      <c r="D116" s="30">
        <f t="shared" si="5"/>
        <v>5.423837041</v>
      </c>
      <c r="E116" s="30">
        <f t="shared" si="6"/>
        <v>0.0001400896512</v>
      </c>
      <c r="F116" s="30">
        <f t="shared" si="4"/>
        <v>0.00008300311832</v>
      </c>
      <c r="G116" s="30">
        <f>(E116)*(i_Adv_DSWI/100)</f>
        <v>0.00005708653285</v>
      </c>
      <c r="H116" s="6"/>
      <c r="I116" s="6"/>
      <c r="J116" s="6"/>
      <c r="L116" s="6"/>
      <c r="M116" s="6"/>
      <c r="N116" s="6"/>
      <c r="O116" s="6"/>
      <c r="P116" s="6"/>
      <c r="Q116" s="6"/>
      <c r="R116" s="6"/>
      <c r="S116" s="6"/>
      <c r="T116" s="6"/>
      <c r="U116" s="6"/>
      <c r="V116" s="6"/>
      <c r="W116" s="6"/>
      <c r="X116" s="6"/>
      <c r="Y116" s="6"/>
      <c r="Z116" s="6"/>
    </row>
    <row r="117" ht="14.25" customHeight="1">
      <c r="A117" s="6"/>
      <c r="B117" s="6"/>
      <c r="C117" s="6">
        <f>Markov!C112</f>
        <v>86</v>
      </c>
      <c r="D117" s="30">
        <f t="shared" si="5"/>
        <v>5.43757749</v>
      </c>
      <c r="E117" s="30">
        <f t="shared" si="6"/>
        <v>0.0001374044836</v>
      </c>
      <c r="F117" s="30">
        <f t="shared" si="4"/>
        <v>0.00008141215653</v>
      </c>
      <c r="G117" s="30">
        <f>(E117)*(i_Adv_DSWI/100)</f>
        <v>0.00005599232707</v>
      </c>
      <c r="H117" s="6"/>
      <c r="I117" s="6"/>
      <c r="J117" s="6"/>
      <c r="L117" s="6"/>
      <c r="M117" s="6"/>
      <c r="N117" s="6"/>
      <c r="O117" s="6"/>
      <c r="P117" s="6"/>
      <c r="Q117" s="6"/>
      <c r="R117" s="6"/>
      <c r="S117" s="6"/>
      <c r="T117" s="6"/>
      <c r="U117" s="6"/>
      <c r="V117" s="6"/>
      <c r="W117" s="6"/>
      <c r="X117" s="6"/>
      <c r="Y117" s="6"/>
      <c r="Z117" s="6"/>
    </row>
    <row r="118" ht="14.25" customHeight="1">
      <c r="A118" s="6"/>
      <c r="B118" s="6"/>
      <c r="C118" s="6">
        <f>Markov!C113</f>
        <v>87</v>
      </c>
      <c r="D118" s="30">
        <f t="shared" si="5"/>
        <v>5.451056916</v>
      </c>
      <c r="E118" s="30">
        <f t="shared" si="6"/>
        <v>0.0001347942684</v>
      </c>
      <c r="F118" s="30">
        <f t="shared" si="4"/>
        <v>0.00007986560404</v>
      </c>
      <c r="G118" s="30">
        <f>(E118)*(i_Adv_DSWI/100)</f>
        <v>0.00005492866438</v>
      </c>
      <c r="H118" s="6"/>
      <c r="I118" s="6"/>
      <c r="J118" s="6"/>
      <c r="L118" s="6"/>
      <c r="M118" s="6"/>
      <c r="N118" s="6"/>
      <c r="O118" s="6"/>
      <c r="P118" s="6"/>
      <c r="Q118" s="6"/>
      <c r="R118" s="6"/>
      <c r="S118" s="6"/>
      <c r="T118" s="6"/>
      <c r="U118" s="6"/>
      <c r="V118" s="6"/>
      <c r="W118" s="6"/>
      <c r="X118" s="6"/>
      <c r="Y118" s="6"/>
      <c r="Z118" s="6"/>
    </row>
    <row r="119" ht="14.25" customHeight="1">
      <c r="A119" s="6"/>
      <c r="B119" s="6"/>
      <c r="C119" s="6">
        <f>Markov!C114</f>
        <v>88</v>
      </c>
      <c r="D119" s="30">
        <f t="shared" si="5"/>
        <v>5.464282544</v>
      </c>
      <c r="E119" s="30">
        <f t="shared" si="6"/>
        <v>0.0001322562772</v>
      </c>
      <c r="F119" s="30">
        <f t="shared" si="4"/>
        <v>0.00007836184421</v>
      </c>
      <c r="G119" s="30">
        <f>(E119)*(i_Adv_DSWI/100)</f>
        <v>0.00005389443294</v>
      </c>
      <c r="H119" s="6"/>
      <c r="I119" s="6"/>
      <c r="J119" s="6"/>
      <c r="L119" s="6"/>
      <c r="M119" s="6"/>
      <c r="N119" s="6"/>
      <c r="O119" s="6"/>
      <c r="P119" s="6"/>
      <c r="Q119" s="6"/>
      <c r="R119" s="6"/>
      <c r="S119" s="6"/>
      <c r="T119" s="6"/>
      <c r="U119" s="6"/>
      <c r="V119" s="6"/>
      <c r="W119" s="6"/>
      <c r="X119" s="6"/>
      <c r="Y119" s="6"/>
      <c r="Z119" s="6"/>
    </row>
    <row r="120" ht="14.25" customHeight="1">
      <c r="A120" s="6"/>
      <c r="B120" s="6"/>
      <c r="C120" s="6">
        <f>Markov!C115</f>
        <v>89</v>
      </c>
      <c r="D120" s="30">
        <f t="shared" si="5"/>
        <v>5.477261334</v>
      </c>
      <c r="E120" s="30">
        <f t="shared" si="6"/>
        <v>0.0001297879032</v>
      </c>
      <c r="F120" s="30">
        <f t="shared" si="4"/>
        <v>0.00007689933262</v>
      </c>
      <c r="G120" s="30">
        <f>(E120)*(i_Adv_DSWI/100)</f>
        <v>0.00005288857053</v>
      </c>
      <c r="H120" s="6"/>
      <c r="I120" s="6"/>
      <c r="J120" s="6"/>
      <c r="L120" s="6"/>
      <c r="M120" s="6"/>
      <c r="N120" s="6"/>
      <c r="O120" s="6"/>
      <c r="P120" s="6"/>
      <c r="Q120" s="6"/>
      <c r="R120" s="6"/>
      <c r="S120" s="6"/>
      <c r="T120" s="6"/>
      <c r="U120" s="6"/>
      <c r="V120" s="6"/>
      <c r="W120" s="6"/>
      <c r="X120" s="6"/>
      <c r="Y120" s="6"/>
      <c r="Z120" s="6"/>
    </row>
    <row r="121" ht="14.25" customHeight="1">
      <c r="A121" s="6"/>
      <c r="B121" s="6"/>
      <c r="C121" s="6">
        <f>Markov!C116</f>
        <v>90</v>
      </c>
      <c r="D121" s="30">
        <f t="shared" si="5"/>
        <v>5.49</v>
      </c>
      <c r="E121" s="30">
        <f t="shared" si="6"/>
        <v>0.0001273866552</v>
      </c>
      <c r="F121" s="30">
        <f t="shared" si="4"/>
        <v>0.00007547659318</v>
      </c>
      <c r="G121" s="30">
        <f>(E121)*(i_Adv_DSWI/100)</f>
        <v>0.00005191006197</v>
      </c>
      <c r="H121" s="6"/>
      <c r="I121" s="6"/>
      <c r="J121" s="6"/>
      <c r="L121" s="6"/>
      <c r="M121" s="6"/>
      <c r="N121" s="6"/>
      <c r="O121" s="6"/>
      <c r="P121" s="6"/>
      <c r="Q121" s="6"/>
      <c r="R121" s="6"/>
      <c r="S121" s="6"/>
      <c r="T121" s="6"/>
      <c r="U121" s="6"/>
      <c r="V121" s="6"/>
      <c r="W121" s="6"/>
      <c r="X121" s="6"/>
      <c r="Y121" s="6"/>
      <c r="Z121" s="6"/>
    </row>
    <row r="122" ht="14.25" customHeight="1">
      <c r="A122" s="6"/>
      <c r="B122" s="6"/>
      <c r="C122" s="6">
        <f>Markov!C117</f>
        <v>91</v>
      </c>
      <c r="D122" s="30">
        <f t="shared" si="5"/>
        <v>5.502505015</v>
      </c>
      <c r="E122" s="30">
        <f t="shared" si="6"/>
        <v>0.0001250501513</v>
      </c>
      <c r="F122" s="30">
        <f t="shared" si="4"/>
        <v>0.00007409221463</v>
      </c>
      <c r="G122" s="30">
        <f>(E122)*(i_Adv_DSWI/100)</f>
        <v>0.00005095793664</v>
      </c>
      <c r="H122" s="6"/>
      <c r="I122" s="6"/>
      <c r="J122" s="6"/>
      <c r="L122" s="6"/>
      <c r="M122" s="6"/>
      <c r="N122" s="6"/>
      <c r="O122" s="6"/>
      <c r="P122" s="6"/>
      <c r="Q122" s="6"/>
      <c r="R122" s="6"/>
      <c r="S122" s="6"/>
      <c r="T122" s="6"/>
      <c r="U122" s="6"/>
      <c r="V122" s="6"/>
      <c r="W122" s="6"/>
      <c r="X122" s="6"/>
      <c r="Y122" s="6"/>
      <c r="Z122" s="6"/>
    </row>
    <row r="123" ht="14.25" customHeight="1">
      <c r="A123" s="6"/>
      <c r="B123" s="6"/>
      <c r="C123" s="6">
        <f>Markov!C118</f>
        <v>182.3</v>
      </c>
      <c r="D123" s="30">
        <f t="shared" si="5"/>
        <v>6.114893951</v>
      </c>
      <c r="E123" s="30">
        <f t="shared" si="6"/>
        <v>0.006123889359</v>
      </c>
      <c r="F123" s="30">
        <f t="shared" si="4"/>
        <v>0.003628404445</v>
      </c>
      <c r="G123" s="30">
        <f>(E123)*(i_Adv_DSWI/100)</f>
        <v>0.002495484914</v>
      </c>
      <c r="H123" s="6"/>
      <c r="I123" s="6"/>
      <c r="J123" s="6"/>
      <c r="L123" s="6"/>
      <c r="M123" s="6"/>
      <c r="N123" s="6"/>
      <c r="O123" s="6"/>
      <c r="P123" s="6"/>
      <c r="Q123" s="6"/>
      <c r="R123" s="6"/>
      <c r="S123" s="6"/>
      <c r="T123" s="6"/>
      <c r="U123" s="6"/>
      <c r="V123" s="6"/>
      <c r="W123" s="6"/>
      <c r="X123" s="6"/>
      <c r="Y123" s="6"/>
      <c r="Z123" s="6"/>
    </row>
    <row r="124" ht="14.25" customHeight="1">
      <c r="A124" s="6"/>
      <c r="B124" s="6"/>
      <c r="C124" s="6">
        <f>Markov!C119</f>
        <v>273.6</v>
      </c>
      <c r="D124" s="30">
        <f t="shared" si="5"/>
        <v>6.338962225</v>
      </c>
      <c r="E124" s="30">
        <f t="shared" si="6"/>
        <v>0.002240682738</v>
      </c>
      <c r="F124" s="30">
        <f t="shared" si="4"/>
        <v>0.001327604523</v>
      </c>
      <c r="G124" s="30">
        <f>(E124)*(i_Adv_DSWI/100)</f>
        <v>0.0009130782159</v>
      </c>
      <c r="H124" s="6"/>
      <c r="I124" s="6"/>
      <c r="J124" s="6"/>
      <c r="L124" s="6"/>
      <c r="M124" s="6"/>
      <c r="N124" s="6"/>
      <c r="O124" s="6"/>
      <c r="P124" s="6"/>
      <c r="Q124" s="6"/>
      <c r="R124" s="6"/>
      <c r="S124" s="6"/>
      <c r="T124" s="6"/>
      <c r="U124" s="6"/>
      <c r="V124" s="6"/>
      <c r="W124" s="6"/>
      <c r="X124" s="6"/>
      <c r="Y124" s="6"/>
      <c r="Z124" s="6"/>
    </row>
    <row r="125" ht="14.25" customHeight="1">
      <c r="A125" s="6"/>
      <c r="B125" s="6"/>
      <c r="C125" s="6">
        <f>Markov!C120</f>
        <v>364.9</v>
      </c>
      <c r="D125" s="30">
        <f t="shared" si="5"/>
        <v>6.453815583</v>
      </c>
      <c r="E125" s="30">
        <f t="shared" si="6"/>
        <v>0.001148533577</v>
      </c>
      <c r="F125" s="30">
        <f t="shared" si="4"/>
        <v>0.0006805061443</v>
      </c>
      <c r="G125" s="30">
        <f>(E125)*(i_Adv_DSWI/100)</f>
        <v>0.0004680274326</v>
      </c>
      <c r="H125" s="6"/>
      <c r="I125" s="6"/>
      <c r="J125" s="6"/>
      <c r="L125" s="6"/>
      <c r="M125" s="6"/>
      <c r="N125" s="6"/>
      <c r="O125" s="6"/>
      <c r="P125" s="6"/>
      <c r="Q125" s="6"/>
      <c r="R125" s="6"/>
      <c r="S125" s="6"/>
      <c r="T125" s="6"/>
      <c r="U125" s="6"/>
      <c r="V125" s="6"/>
      <c r="W125" s="6"/>
      <c r="X125" s="6"/>
      <c r="Y125" s="6"/>
      <c r="Z125" s="6"/>
    </row>
    <row r="126" ht="14.25" customHeight="1">
      <c r="A126" s="6"/>
      <c r="B126" s="6"/>
      <c r="C126" s="6">
        <f>Markov!C121</f>
        <v>456.2</v>
      </c>
      <c r="D126" s="30">
        <f t="shared" si="5"/>
        <v>6.523251975</v>
      </c>
      <c r="E126" s="30">
        <f t="shared" si="6"/>
        <v>0.0006943639271</v>
      </c>
      <c r="F126" s="30">
        <f t="shared" si="4"/>
        <v>0.0004114106268</v>
      </c>
      <c r="G126" s="30">
        <f>(E126)*(i_Adv_DSWI/100)</f>
        <v>0.0002829533003</v>
      </c>
      <c r="H126" s="6"/>
      <c r="I126" s="6"/>
      <c r="J126" s="6"/>
      <c r="L126" s="6"/>
      <c r="M126" s="6"/>
      <c r="N126" s="6"/>
      <c r="O126" s="6"/>
      <c r="P126" s="6"/>
      <c r="Q126" s="6"/>
      <c r="R126" s="6"/>
      <c r="S126" s="6"/>
      <c r="T126" s="6"/>
      <c r="U126" s="6"/>
      <c r="V126" s="6"/>
      <c r="W126" s="6"/>
      <c r="X126" s="6"/>
      <c r="Y126" s="6"/>
      <c r="Z126" s="6"/>
    </row>
    <row r="127" ht="14.25" customHeight="1">
      <c r="A127" s="6"/>
      <c r="B127" s="6"/>
      <c r="C127" s="6">
        <f>Markov!C122</f>
        <v>547.5</v>
      </c>
      <c r="D127" s="30">
        <f t="shared" si="5"/>
        <v>6.569598237</v>
      </c>
      <c r="E127" s="30">
        <f t="shared" si="6"/>
        <v>0.0004634626157</v>
      </c>
      <c r="F127" s="30">
        <f t="shared" si="4"/>
        <v>0.0002746015998</v>
      </c>
      <c r="G127" s="30">
        <f>(E127)*(i_Adv_DSWI/100)</f>
        <v>0.0001888610159</v>
      </c>
      <c r="H127" s="6"/>
      <c r="I127" s="6"/>
      <c r="J127" s="6"/>
      <c r="L127" s="6"/>
      <c r="M127" s="6"/>
      <c r="N127" s="6"/>
      <c r="O127" s="6"/>
      <c r="P127" s="6"/>
      <c r="Q127" s="6"/>
      <c r="R127" s="6"/>
      <c r="S127" s="6"/>
      <c r="T127" s="6"/>
      <c r="U127" s="6"/>
      <c r="V127" s="6"/>
      <c r="W127" s="6"/>
      <c r="X127" s="6"/>
      <c r="Y127" s="6"/>
      <c r="Z127" s="6"/>
    </row>
    <row r="128" ht="14.25" customHeight="1">
      <c r="A128" s="6"/>
      <c r="B128" s="6"/>
      <c r="C128" s="6">
        <f>Markov!C123</f>
        <v>638.8</v>
      </c>
      <c r="D128" s="30">
        <f t="shared" si="5"/>
        <v>6.60264993</v>
      </c>
      <c r="E128" s="30">
        <f t="shared" si="6"/>
        <v>0.0003305169275</v>
      </c>
      <c r="F128" s="30">
        <f t="shared" si="4"/>
        <v>0.0001958312795</v>
      </c>
      <c r="G128" s="30">
        <f>(E128)*(i_Adv_DSWI/100)</f>
        <v>0.000134685648</v>
      </c>
      <c r="H128" s="6"/>
      <c r="I128" s="6"/>
      <c r="J128" s="6"/>
      <c r="L128" s="6"/>
      <c r="M128" s="6"/>
      <c r="N128" s="6"/>
      <c r="O128" s="6"/>
      <c r="P128" s="6"/>
      <c r="Q128" s="6"/>
      <c r="R128" s="6"/>
      <c r="S128" s="6"/>
      <c r="T128" s="6"/>
      <c r="U128" s="6"/>
      <c r="V128" s="6"/>
      <c r="W128" s="6"/>
      <c r="X128" s="6"/>
      <c r="Y128" s="6"/>
      <c r="Z128" s="6"/>
    </row>
    <row r="129" ht="14.25" customHeight="1">
      <c r="A129" s="6"/>
      <c r="B129" s="6"/>
      <c r="C129" s="6">
        <f>Markov!C124</f>
        <v>730.1</v>
      </c>
      <c r="D129" s="30">
        <f t="shared" si="5"/>
        <v>6.627366581</v>
      </c>
      <c r="E129" s="30">
        <f t="shared" si="6"/>
        <v>0.0002471665182</v>
      </c>
      <c r="F129" s="30">
        <f t="shared" si="4"/>
        <v>0.0001464461621</v>
      </c>
      <c r="G129" s="30">
        <f>(E129)*(i_Adv_DSWI/100)</f>
        <v>0.0001007203562</v>
      </c>
      <c r="H129" s="6"/>
      <c r="I129" s="6"/>
      <c r="J129" s="6"/>
      <c r="L129" s="6"/>
      <c r="M129" s="6"/>
      <c r="N129" s="6"/>
      <c r="O129" s="6"/>
      <c r="P129" s="6"/>
      <c r="Q129" s="6"/>
      <c r="R129" s="6"/>
      <c r="S129" s="6"/>
      <c r="T129" s="6"/>
      <c r="U129" s="6"/>
      <c r="V129" s="6"/>
      <c r="W129" s="6"/>
      <c r="X129" s="6"/>
      <c r="Y129" s="6"/>
      <c r="Z129" s="6"/>
    </row>
    <row r="130" ht="14.25" customHeight="1">
      <c r="A130" s="6"/>
      <c r="B130" s="6"/>
      <c r="C130" s="6">
        <f>Markov!C125</f>
        <v>821.4</v>
      </c>
      <c r="D130" s="30">
        <f t="shared" si="5"/>
        <v>6.646522592</v>
      </c>
      <c r="E130" s="30">
        <f t="shared" si="6"/>
        <v>0.0001915601106</v>
      </c>
      <c r="F130" s="30">
        <f t="shared" si="4"/>
        <v>0.0001134993655</v>
      </c>
      <c r="G130" s="30">
        <f>(E130)*(i_Adv_DSWI/100)</f>
        <v>0.00007806074508</v>
      </c>
      <c r="H130" s="6"/>
      <c r="I130" s="6"/>
      <c r="J130" s="6"/>
      <c r="L130" s="6"/>
      <c r="M130" s="6"/>
      <c r="N130" s="6"/>
      <c r="O130" s="6"/>
      <c r="P130" s="6"/>
      <c r="Q130" s="6"/>
      <c r="R130" s="6"/>
      <c r="S130" s="6"/>
      <c r="T130" s="6"/>
      <c r="U130" s="6"/>
      <c r="V130" s="6"/>
      <c r="W130" s="6"/>
      <c r="X130" s="6"/>
      <c r="Y130" s="6"/>
      <c r="Z130" s="6"/>
    </row>
    <row r="131" ht="14.25" customHeight="1">
      <c r="A131" s="6"/>
      <c r="B131" s="6"/>
      <c r="C131" s="6">
        <f>Markov!C126</f>
        <v>912.7</v>
      </c>
      <c r="D131" s="30">
        <f t="shared" si="5"/>
        <v>6.661788781</v>
      </c>
      <c r="E131" s="30">
        <f t="shared" si="6"/>
        <v>0.0001526618899</v>
      </c>
      <c r="F131" s="30">
        <f t="shared" si="4"/>
        <v>0.00009045216975</v>
      </c>
      <c r="G131" s="30">
        <f>(E131)*(i_Adv_DSWI/100)</f>
        <v>0.00006220972012</v>
      </c>
      <c r="H131" s="6"/>
      <c r="I131" s="6"/>
      <c r="J131" s="6"/>
      <c r="L131" s="6"/>
      <c r="M131" s="6"/>
      <c r="N131" s="6"/>
      <c r="O131" s="6"/>
      <c r="P131" s="6"/>
      <c r="Q131" s="6"/>
      <c r="R131" s="6"/>
      <c r="S131" s="6"/>
      <c r="T131" s="6"/>
      <c r="U131" s="6"/>
      <c r="V131" s="6"/>
      <c r="W131" s="6"/>
      <c r="X131" s="6"/>
      <c r="Y131" s="6"/>
      <c r="Z131" s="6"/>
    </row>
    <row r="132" ht="14.25" customHeight="1">
      <c r="A132" s="6"/>
      <c r="B132" s="6"/>
      <c r="C132" s="6">
        <f>Markov!C127</f>
        <v>1004</v>
      </c>
      <c r="D132" s="30">
        <f t="shared" si="5"/>
        <v>6.674230257</v>
      </c>
      <c r="E132" s="30">
        <f t="shared" si="6"/>
        <v>0.0001244147553</v>
      </c>
      <c r="F132" s="30">
        <f t="shared" si="4"/>
        <v>0.0000737157425</v>
      </c>
      <c r="G132" s="30">
        <f>(E132)*(i_Adv_DSWI/100)</f>
        <v>0.00005069901277</v>
      </c>
      <c r="H132" s="6"/>
      <c r="I132" s="6"/>
      <c r="J132" s="6"/>
      <c r="L132" s="6"/>
      <c r="M132" s="6"/>
      <c r="N132" s="6"/>
      <c r="O132" s="6"/>
      <c r="P132" s="6"/>
      <c r="Q132" s="6"/>
      <c r="R132" s="6"/>
      <c r="S132" s="6"/>
      <c r="T132" s="6"/>
      <c r="U132" s="6"/>
      <c r="V132" s="6"/>
      <c r="W132" s="6"/>
      <c r="X132" s="6"/>
      <c r="Y132" s="6"/>
      <c r="Z132" s="6"/>
    </row>
    <row r="133" ht="14.25" customHeight="1">
      <c r="A133" s="6"/>
      <c r="B133" s="6"/>
      <c r="C133" s="6">
        <f>Markov!C128</f>
        <v>1095.3</v>
      </c>
      <c r="D133" s="30">
        <f t="shared" si="5"/>
        <v>6.684557445</v>
      </c>
      <c r="E133" s="30">
        <f t="shared" si="6"/>
        <v>0.0001032718781</v>
      </c>
      <c r="F133" s="30">
        <f t="shared" si="4"/>
        <v>0.00006118858779</v>
      </c>
      <c r="G133" s="30">
        <f>(E133)*(i_Adv_DSWI/100)</f>
        <v>0.00004208329034</v>
      </c>
      <c r="H133" s="6"/>
      <c r="I133" s="6"/>
      <c r="J133" s="6"/>
      <c r="L133" s="6"/>
      <c r="M133" s="6"/>
      <c r="N133" s="6"/>
      <c r="O133" s="6"/>
      <c r="P133" s="6"/>
      <c r="Q133" s="6"/>
      <c r="R133" s="6"/>
      <c r="S133" s="6"/>
      <c r="T133" s="6"/>
      <c r="U133" s="6"/>
      <c r="V133" s="6"/>
      <c r="W133" s="6"/>
      <c r="X133" s="6"/>
      <c r="Y133" s="6"/>
      <c r="Z133" s="6"/>
    </row>
    <row r="134" ht="14.25" customHeight="1">
      <c r="A134" s="6"/>
      <c r="B134" s="6"/>
      <c r="C134" s="6">
        <f>Markov!C129</f>
        <v>1186.6</v>
      </c>
      <c r="D134" s="30">
        <f t="shared" si="5"/>
        <v>6.693262017</v>
      </c>
      <c r="E134" s="30">
        <f t="shared" si="6"/>
        <v>0.00008704571866</v>
      </c>
      <c r="F134" s="30">
        <f t="shared" si="4"/>
        <v>0.00005157458831</v>
      </c>
      <c r="G134" s="30">
        <f>(E134)*(i_Adv_DSWI/100)</f>
        <v>0.00003547113035</v>
      </c>
      <c r="H134" s="6"/>
      <c r="I134" s="6"/>
      <c r="J134" s="6"/>
      <c r="L134" s="6"/>
      <c r="M134" s="6"/>
      <c r="N134" s="6"/>
      <c r="O134" s="6"/>
      <c r="P134" s="6"/>
      <c r="Q134" s="6"/>
      <c r="R134" s="6"/>
      <c r="S134" s="6"/>
      <c r="T134" s="6"/>
      <c r="U134" s="6"/>
      <c r="V134" s="6"/>
      <c r="W134" s="6"/>
      <c r="X134" s="6"/>
      <c r="Y134" s="6"/>
      <c r="Z134" s="6"/>
    </row>
    <row r="135" ht="14.25" customHeight="1">
      <c r="A135" s="6"/>
      <c r="B135" s="6"/>
      <c r="C135" s="6">
        <f>Markov!C130</f>
        <v>1277.9</v>
      </c>
      <c r="D135" s="30">
        <f t="shared" si="5"/>
        <v>6.700694856</v>
      </c>
      <c r="E135" s="30">
        <f t="shared" si="6"/>
        <v>0.00007432839085</v>
      </c>
      <c r="F135" s="30">
        <f t="shared" si="4"/>
        <v>0.00004403957158</v>
      </c>
      <c r="G135" s="30">
        <f>(E135)*(i_Adv_DSWI/100)</f>
        <v>0.00003028881927</v>
      </c>
      <c r="H135" s="6"/>
      <c r="I135" s="6"/>
      <c r="J135" s="6"/>
      <c r="L135" s="6"/>
      <c r="M135" s="6"/>
      <c r="N135" s="6"/>
      <c r="O135" s="6"/>
      <c r="P135" s="6"/>
      <c r="Q135" s="6"/>
      <c r="R135" s="6"/>
      <c r="S135" s="6"/>
      <c r="T135" s="6"/>
      <c r="U135" s="6"/>
      <c r="V135" s="6"/>
      <c r="W135" s="6"/>
      <c r="X135" s="6"/>
      <c r="Y135" s="6"/>
      <c r="Z135" s="6"/>
    </row>
    <row r="136" ht="14.25" customHeight="1">
      <c r="A136" s="6"/>
      <c r="B136" s="6"/>
      <c r="C136" s="6">
        <f>Markov!C131</f>
        <v>1369.2</v>
      </c>
      <c r="D136" s="30">
        <f t="shared" si="5"/>
        <v>6.70711295</v>
      </c>
      <c r="E136" s="30">
        <f t="shared" si="6"/>
        <v>0.00006418094687</v>
      </c>
      <c r="F136" s="30">
        <f t="shared" si="4"/>
        <v>0.00003802721102</v>
      </c>
      <c r="G136" s="30">
        <f>(E136)*(i_Adv_DSWI/100)</f>
        <v>0.00002615373585</v>
      </c>
      <c r="H136" s="6"/>
      <c r="I136" s="6"/>
      <c r="J136" s="6"/>
      <c r="L136" s="6"/>
      <c r="M136" s="6"/>
      <c r="N136" s="6"/>
      <c r="O136" s="6"/>
      <c r="P136" s="6"/>
      <c r="Q136" s="6"/>
      <c r="R136" s="6"/>
      <c r="S136" s="6"/>
      <c r="T136" s="6"/>
      <c r="U136" s="6"/>
      <c r="V136" s="6"/>
      <c r="W136" s="6"/>
      <c r="X136" s="6"/>
      <c r="Y136" s="6"/>
      <c r="Z136" s="6"/>
    </row>
    <row r="137" ht="14.25" customHeight="1">
      <c r="A137" s="6"/>
      <c r="B137" s="6"/>
      <c r="C137" s="6">
        <f>Markov!C132</f>
        <v>1460.5</v>
      </c>
      <c r="D137" s="30">
        <f t="shared" si="5"/>
        <v>6.712708747</v>
      </c>
      <c r="E137" s="30">
        <f t="shared" si="6"/>
        <v>0.00005595796817</v>
      </c>
      <c r="F137" s="30">
        <f t="shared" si="4"/>
        <v>0.00003315509614</v>
      </c>
      <c r="G137" s="30">
        <f>(E137)*(i_Adv_DSWI/100)</f>
        <v>0.00002280287203</v>
      </c>
      <c r="H137" s="6"/>
      <c r="I137" s="6"/>
      <c r="J137" s="6"/>
      <c r="L137" s="6"/>
      <c r="M137" s="6"/>
      <c r="N137" s="6"/>
      <c r="O137" s="6"/>
      <c r="P137" s="6"/>
      <c r="Q137" s="6"/>
      <c r="R137" s="6"/>
      <c r="S137" s="6"/>
      <c r="T137" s="6"/>
      <c r="U137" s="6"/>
      <c r="V137" s="6"/>
      <c r="W137" s="6"/>
      <c r="X137" s="6"/>
      <c r="Y137" s="6"/>
      <c r="Z137" s="6"/>
    </row>
    <row r="138" ht="14.25" customHeight="1">
      <c r="A138" s="6"/>
      <c r="B138" s="6"/>
      <c r="C138" s="6">
        <f>Markov!C133</f>
        <v>1551.8</v>
      </c>
      <c r="D138" s="30">
        <f t="shared" si="5"/>
        <v>6.71762916</v>
      </c>
      <c r="E138" s="30">
        <f t="shared" si="6"/>
        <v>0.00004920412297</v>
      </c>
      <c r="F138" s="30">
        <f t="shared" si="4"/>
        <v>0.00002915344286</v>
      </c>
      <c r="G138" s="30">
        <f>(E138)*(i_Adv_DSWI/100)</f>
        <v>0.00002005068011</v>
      </c>
      <c r="H138" s="6"/>
      <c r="I138" s="6"/>
      <c r="J138" s="6"/>
      <c r="L138" s="6"/>
      <c r="M138" s="6"/>
      <c r="N138" s="6"/>
      <c r="O138" s="6"/>
      <c r="P138" s="6"/>
      <c r="Q138" s="6"/>
      <c r="R138" s="6"/>
      <c r="S138" s="6"/>
      <c r="T138" s="6"/>
      <c r="U138" s="6"/>
      <c r="V138" s="6"/>
      <c r="W138" s="6"/>
      <c r="X138" s="6"/>
      <c r="Y138" s="6"/>
      <c r="Z138" s="6"/>
    </row>
    <row r="139" ht="14.25" customHeight="1">
      <c r="A139" s="6"/>
      <c r="B139" s="6"/>
      <c r="C139" s="6">
        <f>Markov!C134</f>
        <v>1643.1</v>
      </c>
      <c r="D139" s="30">
        <f t="shared" si="5"/>
        <v>6.721988244</v>
      </c>
      <c r="E139" s="30">
        <f t="shared" si="6"/>
        <v>0.00004359084298</v>
      </c>
      <c r="F139" s="30">
        <f t="shared" si="4"/>
        <v>0.00002582757447</v>
      </c>
      <c r="G139" s="30">
        <f>(E139)*(i_Adv_DSWI/100)</f>
        <v>0.00001776326851</v>
      </c>
      <c r="H139" s="6"/>
      <c r="I139" s="6"/>
      <c r="J139" s="6"/>
      <c r="L139" s="6"/>
      <c r="M139" s="6"/>
      <c r="N139" s="6"/>
      <c r="O139" s="6"/>
      <c r="P139" s="6"/>
      <c r="Q139" s="6"/>
      <c r="R139" s="6"/>
      <c r="S139" s="6"/>
      <c r="T139" s="6"/>
      <c r="U139" s="6"/>
      <c r="V139" s="6"/>
      <c r="W139" s="6"/>
      <c r="X139" s="6"/>
      <c r="Y139" s="6"/>
      <c r="Z139" s="6"/>
    </row>
    <row r="140" ht="14.25" customHeight="1">
      <c r="A140" s="6"/>
      <c r="B140" s="6"/>
      <c r="C140" s="6">
        <f>Markov!C135</f>
        <v>1734.4</v>
      </c>
      <c r="D140" s="30">
        <f t="shared" si="5"/>
        <v>6.725875872</v>
      </c>
      <c r="E140" s="30">
        <f t="shared" si="6"/>
        <v>0.00003887628561</v>
      </c>
      <c r="F140" s="30">
        <f t="shared" si="4"/>
        <v>0.00002303419922</v>
      </c>
      <c r="G140" s="30">
        <f>(E140)*(i_Adv_DSWI/100)</f>
        <v>0.00001584208638</v>
      </c>
      <c r="H140" s="6"/>
      <c r="I140" s="6"/>
      <c r="J140" s="6"/>
      <c r="L140" s="6"/>
      <c r="M140" s="6"/>
      <c r="N140" s="6"/>
      <c r="O140" s="6"/>
      <c r="P140" s="6"/>
      <c r="Q140" s="6"/>
      <c r="R140" s="6"/>
      <c r="S140" s="6"/>
      <c r="T140" s="6"/>
      <c r="U140" s="6"/>
      <c r="V140" s="6"/>
      <c r="W140" s="6"/>
      <c r="X140" s="6"/>
      <c r="Y140" s="6"/>
      <c r="Z140" s="6"/>
    </row>
    <row r="141" ht="14.25" customHeight="1">
      <c r="A141" s="6"/>
      <c r="B141" s="6"/>
      <c r="C141" s="6">
        <f>Markov!C136</f>
        <v>1825.7</v>
      </c>
      <c r="D141" s="30">
        <f t="shared" si="5"/>
        <v>6.729363802</v>
      </c>
      <c r="E141" s="30">
        <f t="shared" si="6"/>
        <v>0.0000348792931</v>
      </c>
      <c r="F141" s="30">
        <f t="shared" si="4"/>
        <v>0.00002066598116</v>
      </c>
      <c r="G141" s="30">
        <f>(E141)*(i_Adv_DSWI/100)</f>
        <v>0.00001421331194</v>
      </c>
      <c r="H141" s="6"/>
      <c r="I141" s="6"/>
      <c r="J141" s="6"/>
      <c r="L141" s="6"/>
      <c r="M141" s="6"/>
      <c r="N141" s="6"/>
      <c r="O141" s="6"/>
      <c r="P141" s="6"/>
      <c r="Q141" s="6"/>
      <c r="R141" s="6"/>
      <c r="S141" s="6"/>
      <c r="T141" s="6"/>
      <c r="U141" s="6"/>
      <c r="V141" s="6"/>
      <c r="W141" s="6"/>
      <c r="X141" s="6"/>
      <c r="Y141" s="6"/>
      <c r="Z141" s="6"/>
    </row>
    <row r="142" ht="14.25" customHeight="1">
      <c r="A142" s="6"/>
      <c r="B142" s="6"/>
      <c r="G142" s="6"/>
      <c r="H142" s="6"/>
      <c r="I142" s="6"/>
      <c r="J142" s="6"/>
      <c r="L142" s="6"/>
      <c r="M142" s="6"/>
      <c r="N142" s="6"/>
      <c r="O142" s="6"/>
      <c r="P142" s="6"/>
      <c r="Q142" s="6"/>
      <c r="R142" s="6"/>
      <c r="S142" s="6"/>
      <c r="T142" s="6"/>
      <c r="U142" s="6"/>
      <c r="V142" s="6"/>
      <c r="W142" s="6"/>
      <c r="X142" s="6"/>
      <c r="Y142" s="6"/>
      <c r="Z142" s="6"/>
    </row>
    <row r="143" ht="14.25" customHeight="1">
      <c r="A143" s="6"/>
      <c r="B143" s="6"/>
      <c r="G143" s="6"/>
      <c r="H143" s="6"/>
      <c r="I143" s="6"/>
      <c r="J143" s="6"/>
      <c r="K143" s="6"/>
      <c r="L143" s="6"/>
      <c r="M143" s="6"/>
      <c r="N143" s="6"/>
      <c r="O143" s="6"/>
      <c r="P143" s="6"/>
      <c r="Q143" s="6"/>
      <c r="R143" s="6"/>
      <c r="S143" s="6"/>
      <c r="T143" s="6"/>
      <c r="U143" s="6"/>
      <c r="V143" s="6"/>
      <c r="W143" s="6"/>
      <c r="X143" s="6"/>
      <c r="Y143" s="6"/>
      <c r="Z143" s="6"/>
    </row>
    <row r="144" ht="14.25" customHeight="1">
      <c r="A144" s="6"/>
      <c r="B144" s="6"/>
      <c r="F144" s="26"/>
      <c r="G144" s="26"/>
      <c r="H144" s="26"/>
      <c r="I144" s="6"/>
      <c r="J144" s="6"/>
      <c r="K144" s="6"/>
      <c r="L144" s="6"/>
      <c r="M144" s="6"/>
      <c r="N144" s="6"/>
      <c r="O144" s="6"/>
      <c r="P144" s="6"/>
      <c r="Q144" s="6"/>
      <c r="R144" s="6"/>
      <c r="S144" s="6"/>
      <c r="T144" s="6"/>
      <c r="U144" s="6"/>
      <c r="V144" s="6"/>
      <c r="W144" s="6"/>
      <c r="X144" s="6"/>
      <c r="Y144" s="6"/>
      <c r="Z144" s="6"/>
    </row>
    <row r="145" ht="14.25" customHeight="1">
      <c r="A145" s="6"/>
      <c r="B145" s="6"/>
      <c r="G145" s="6"/>
      <c r="H145" s="6"/>
      <c r="I145" s="6"/>
      <c r="J145" s="6"/>
      <c r="K145" s="6"/>
      <c r="L145" s="6"/>
      <c r="M145" s="6"/>
      <c r="N145" s="6"/>
      <c r="O145" s="6"/>
      <c r="P145" s="6"/>
      <c r="Q145" s="6"/>
      <c r="R145" s="6"/>
      <c r="S145" s="6"/>
      <c r="T145" s="6"/>
      <c r="U145" s="6"/>
      <c r="V145" s="6"/>
      <c r="W145" s="6"/>
      <c r="X145" s="6"/>
      <c r="Y145" s="6"/>
      <c r="Z145" s="6"/>
    </row>
    <row r="146" ht="14.25" customHeight="1">
      <c r="A146" s="6"/>
      <c r="B146" s="6"/>
      <c r="G146" s="6"/>
      <c r="H146" s="6"/>
      <c r="I146" s="6"/>
      <c r="J146" s="6"/>
      <c r="K146" s="6"/>
      <c r="L146" s="6"/>
      <c r="M146" s="6"/>
      <c r="N146" s="6"/>
      <c r="O146" s="6"/>
      <c r="P146" s="6"/>
      <c r="Q146" s="6"/>
      <c r="R146" s="6"/>
      <c r="S146" s="6"/>
      <c r="T146" s="6"/>
      <c r="U146" s="6"/>
      <c r="V146" s="6"/>
      <c r="W146" s="6"/>
      <c r="X146" s="6"/>
      <c r="Y146" s="6"/>
      <c r="Z146" s="6"/>
    </row>
    <row r="147" ht="14.25" customHeight="1">
      <c r="A147" s="6"/>
      <c r="B147" s="6"/>
      <c r="G147" s="6"/>
      <c r="H147" s="6"/>
      <c r="I147" s="6"/>
      <c r="J147" s="6"/>
      <c r="K147" s="6"/>
      <c r="L147" s="6"/>
      <c r="M147" s="6"/>
      <c r="N147" s="6"/>
      <c r="O147" s="6"/>
      <c r="P147" s="6"/>
      <c r="Q147" s="6"/>
      <c r="R147" s="6"/>
      <c r="S147" s="6"/>
      <c r="T147" s="6"/>
      <c r="U147" s="6"/>
      <c r="V147" s="6"/>
      <c r="W147" s="6"/>
      <c r="X147" s="6"/>
      <c r="Y147" s="6"/>
      <c r="Z147" s="6"/>
    </row>
    <row r="148" ht="14.25" customHeight="1">
      <c r="A148" s="6"/>
      <c r="B148" s="6"/>
      <c r="G148" s="6"/>
      <c r="H148" s="6"/>
      <c r="I148" s="6"/>
      <c r="J148" s="6"/>
      <c r="K148" s="6"/>
      <c r="L148" s="6"/>
      <c r="M148" s="6"/>
      <c r="N148" s="6"/>
      <c r="O148" s="6"/>
      <c r="P148" s="6"/>
      <c r="Q148" s="6"/>
      <c r="R148" s="6"/>
      <c r="S148" s="6"/>
      <c r="T148" s="6"/>
      <c r="U148" s="6"/>
      <c r="V148" s="6"/>
      <c r="W148" s="6"/>
      <c r="X148" s="6"/>
      <c r="Y148" s="6"/>
      <c r="Z148" s="6"/>
    </row>
    <row r="149" ht="14.25" customHeight="1">
      <c r="A149" s="6"/>
      <c r="B149" s="6"/>
      <c r="G149" s="6"/>
      <c r="H149" s="6"/>
      <c r="I149" s="6"/>
      <c r="J149" s="6"/>
      <c r="K149" s="6"/>
      <c r="L149" s="6"/>
      <c r="M149" s="6"/>
      <c r="N149" s="6"/>
      <c r="O149" s="6"/>
      <c r="P149" s="6"/>
      <c r="Q149" s="6"/>
      <c r="R149" s="6"/>
      <c r="S149" s="6"/>
      <c r="T149" s="6"/>
      <c r="U149" s="6"/>
      <c r="V149" s="6"/>
      <c r="W149" s="6"/>
      <c r="X149" s="6"/>
      <c r="Y149" s="6"/>
      <c r="Z149" s="6"/>
    </row>
    <row r="150" ht="14.25" customHeight="1">
      <c r="A150" s="6"/>
      <c r="B150" s="6"/>
      <c r="G150" s="6"/>
      <c r="H150" s="6"/>
      <c r="I150" s="6"/>
      <c r="J150" s="6"/>
      <c r="K150" s="6"/>
      <c r="L150" s="6"/>
      <c r="M150" s="6"/>
      <c r="N150" s="6"/>
      <c r="O150" s="6"/>
      <c r="P150" s="6"/>
      <c r="Q150" s="6"/>
      <c r="R150" s="6"/>
      <c r="S150" s="6"/>
      <c r="T150" s="6"/>
      <c r="U150" s="6"/>
      <c r="V150" s="6"/>
      <c r="W150" s="6"/>
      <c r="X150" s="6"/>
      <c r="Y150" s="6"/>
      <c r="Z150" s="6"/>
    </row>
    <row r="151" ht="14.25" customHeight="1">
      <c r="A151" s="6"/>
      <c r="B151" s="6"/>
      <c r="G151" s="6"/>
      <c r="H151" s="6"/>
      <c r="I151" s="6"/>
      <c r="J151" s="6"/>
      <c r="K151" s="6"/>
      <c r="L151" s="6"/>
      <c r="M151" s="6"/>
      <c r="N151" s="6"/>
      <c r="O151" s="6"/>
      <c r="P151" s="6"/>
      <c r="Q151" s="6"/>
      <c r="R151" s="6"/>
      <c r="S151" s="6"/>
      <c r="T151" s="6"/>
      <c r="U151" s="6"/>
      <c r="V151" s="6"/>
      <c r="W151" s="6"/>
      <c r="X151" s="6"/>
      <c r="Y151" s="6"/>
      <c r="Z151" s="6"/>
    </row>
    <row r="152" ht="14.25" customHeight="1">
      <c r="A152" s="6"/>
      <c r="B152" s="6"/>
      <c r="G152" s="6"/>
      <c r="H152" s="6"/>
      <c r="I152" s="6"/>
      <c r="J152" s="6"/>
      <c r="K152" s="6"/>
      <c r="L152" s="6"/>
      <c r="M152" s="6"/>
      <c r="N152" s="6"/>
      <c r="O152" s="6"/>
      <c r="P152" s="6"/>
      <c r="Q152" s="6"/>
      <c r="R152" s="6"/>
      <c r="S152" s="6"/>
      <c r="T152" s="6"/>
      <c r="U152" s="6"/>
      <c r="V152" s="6"/>
      <c r="W152" s="6"/>
      <c r="X152" s="6"/>
      <c r="Y152" s="6"/>
      <c r="Z152" s="6"/>
    </row>
    <row r="153" ht="14.25" customHeight="1">
      <c r="A153" s="6"/>
      <c r="B153" s="6"/>
      <c r="G153" s="6"/>
      <c r="H153" s="6"/>
      <c r="I153" s="6"/>
      <c r="J153" s="6"/>
      <c r="K153" s="6"/>
      <c r="L153" s="6"/>
      <c r="M153" s="6"/>
      <c r="N153" s="6"/>
      <c r="O153" s="6"/>
      <c r="P153" s="6"/>
      <c r="Q153" s="6"/>
      <c r="R153" s="6"/>
      <c r="S153" s="6"/>
      <c r="T153" s="6"/>
      <c r="U153" s="6"/>
      <c r="V153" s="6"/>
      <c r="W153" s="6"/>
      <c r="X153" s="6"/>
      <c r="Y153" s="6"/>
      <c r="Z153" s="6"/>
    </row>
    <row r="154" ht="14.25" customHeight="1">
      <c r="A154" s="6"/>
      <c r="B154" s="6"/>
      <c r="G154" s="6"/>
      <c r="H154" s="6"/>
      <c r="I154" s="6"/>
      <c r="J154" s="6"/>
      <c r="K154" s="6"/>
      <c r="L154" s="6"/>
      <c r="M154" s="6"/>
      <c r="N154" s="6"/>
      <c r="O154" s="6"/>
      <c r="P154" s="6"/>
      <c r="Q154" s="6"/>
      <c r="R154" s="6"/>
      <c r="S154" s="6"/>
      <c r="T154" s="6"/>
      <c r="U154" s="6"/>
      <c r="V154" s="6"/>
      <c r="W154" s="6"/>
      <c r="X154" s="6"/>
      <c r="Y154" s="6"/>
      <c r="Z154" s="6"/>
    </row>
    <row r="155" ht="14.25" customHeight="1">
      <c r="A155" s="6"/>
      <c r="B155" s="6"/>
      <c r="G155" s="6"/>
      <c r="H155" s="6"/>
      <c r="I155" s="6"/>
      <c r="J155" s="6"/>
      <c r="K155" s="6"/>
      <c r="L155" s="6"/>
      <c r="M155" s="6"/>
      <c r="N155" s="6"/>
      <c r="O155" s="6"/>
      <c r="P155" s="6"/>
      <c r="Q155" s="6"/>
      <c r="R155" s="6"/>
      <c r="S155" s="6"/>
      <c r="T155" s="6"/>
      <c r="U155" s="6"/>
      <c r="V155" s="6"/>
      <c r="W155" s="6"/>
      <c r="X155" s="6"/>
      <c r="Y155" s="6"/>
      <c r="Z155" s="6"/>
    </row>
    <row r="156" ht="14.25" customHeight="1">
      <c r="A156" s="6"/>
      <c r="B156" s="6"/>
      <c r="G156" s="6"/>
      <c r="H156" s="6"/>
      <c r="I156" s="6"/>
      <c r="J156" s="6"/>
      <c r="K156" s="6"/>
      <c r="L156" s="6"/>
      <c r="M156" s="6"/>
      <c r="N156" s="6"/>
      <c r="O156" s="6"/>
      <c r="P156" s="6"/>
      <c r="Q156" s="6"/>
      <c r="R156" s="6"/>
      <c r="S156" s="6"/>
      <c r="T156" s="6"/>
      <c r="U156" s="6"/>
      <c r="V156" s="6"/>
      <c r="W156" s="6"/>
      <c r="X156" s="6"/>
      <c r="Y156" s="6"/>
      <c r="Z156" s="6"/>
    </row>
    <row r="157" ht="14.25" customHeight="1">
      <c r="A157" s="6"/>
      <c r="B157" s="6"/>
      <c r="G157" s="6"/>
      <c r="H157" s="6"/>
      <c r="I157" s="6"/>
      <c r="J157" s="6"/>
      <c r="K157" s="6"/>
      <c r="L157" s="6"/>
      <c r="M157" s="6"/>
      <c r="N157" s="6"/>
      <c r="O157" s="6"/>
      <c r="P157" s="6"/>
      <c r="Q157" s="6"/>
      <c r="R157" s="6"/>
      <c r="S157" s="6"/>
      <c r="T157" s="6"/>
      <c r="U157" s="6"/>
      <c r="V157" s="6"/>
      <c r="W157" s="6"/>
      <c r="X157" s="6"/>
      <c r="Y157" s="6"/>
      <c r="Z157" s="6"/>
    </row>
    <row r="158" ht="14.25" customHeight="1">
      <c r="A158" s="6"/>
      <c r="B158" s="6"/>
      <c r="G158" s="6"/>
      <c r="H158" s="6"/>
      <c r="I158" s="6"/>
      <c r="J158" s="6"/>
      <c r="K158" s="6"/>
      <c r="L158" s="6"/>
      <c r="M158" s="6"/>
      <c r="N158" s="6"/>
      <c r="O158" s="6"/>
      <c r="P158" s="6"/>
      <c r="Q158" s="6"/>
      <c r="R158" s="6"/>
      <c r="S158" s="6"/>
      <c r="T158" s="6"/>
      <c r="U158" s="6"/>
      <c r="V158" s="6"/>
      <c r="W158" s="6"/>
      <c r="X158" s="6"/>
      <c r="Y158" s="6"/>
      <c r="Z158" s="6"/>
    </row>
    <row r="159" ht="14.25" customHeight="1">
      <c r="A159" s="6"/>
      <c r="B159" s="6"/>
      <c r="G159" s="6"/>
      <c r="H159" s="6"/>
      <c r="I159" s="6"/>
      <c r="J159" s="6"/>
      <c r="K159" s="6"/>
      <c r="L159" s="6"/>
      <c r="M159" s="6"/>
      <c r="N159" s="6"/>
      <c r="O159" s="6"/>
      <c r="P159" s="6"/>
      <c r="Q159" s="6"/>
      <c r="R159" s="6"/>
      <c r="S159" s="6"/>
      <c r="T159" s="6"/>
      <c r="U159" s="6"/>
      <c r="V159" s="6"/>
      <c r="W159" s="6"/>
      <c r="X159" s="6"/>
      <c r="Y159" s="6"/>
      <c r="Z159" s="6"/>
    </row>
    <row r="160" ht="14.25" customHeight="1">
      <c r="A160" s="6"/>
      <c r="B160" s="6"/>
      <c r="G160" s="6"/>
      <c r="H160" s="6"/>
      <c r="I160" s="6"/>
      <c r="J160" s="6"/>
      <c r="K160" s="6"/>
      <c r="L160" s="6"/>
      <c r="M160" s="6"/>
      <c r="N160" s="6"/>
      <c r="O160" s="6"/>
      <c r="P160" s="6"/>
      <c r="Q160" s="6"/>
      <c r="R160" s="6"/>
      <c r="S160" s="6"/>
      <c r="T160" s="6"/>
      <c r="U160" s="6"/>
      <c r="V160" s="6"/>
      <c r="W160" s="6"/>
      <c r="X160" s="6"/>
      <c r="Y160" s="6"/>
      <c r="Z160" s="6"/>
    </row>
    <row r="161" ht="14.25" customHeight="1">
      <c r="A161" s="6"/>
      <c r="B161" s="6"/>
      <c r="G161" s="6"/>
      <c r="H161" s="6"/>
      <c r="I161" s="6"/>
      <c r="J161" s="6"/>
      <c r="K161" s="6"/>
      <c r="L161" s="6"/>
      <c r="M161" s="6"/>
      <c r="N161" s="6"/>
      <c r="O161" s="6"/>
      <c r="P161" s="6"/>
      <c r="Q161" s="6"/>
      <c r="R161" s="6"/>
      <c r="S161" s="6"/>
      <c r="T161" s="6"/>
      <c r="U161" s="6"/>
      <c r="V161" s="6"/>
      <c r="W161" s="6"/>
      <c r="X161" s="6"/>
      <c r="Y161" s="6"/>
      <c r="Z161" s="6"/>
    </row>
    <row r="162" ht="14.25" customHeight="1">
      <c r="A162" s="6"/>
      <c r="B162" s="6"/>
      <c r="G162" s="6"/>
      <c r="H162" s="6"/>
      <c r="I162" s="6"/>
      <c r="J162" s="6"/>
      <c r="K162" s="6"/>
      <c r="L162" s="6"/>
      <c r="M162" s="6"/>
      <c r="N162" s="6"/>
      <c r="O162" s="6"/>
      <c r="P162" s="6"/>
      <c r="Q162" s="6"/>
      <c r="R162" s="6"/>
      <c r="S162" s="6"/>
      <c r="T162" s="6"/>
      <c r="U162" s="6"/>
      <c r="V162" s="6"/>
      <c r="W162" s="6"/>
      <c r="X162" s="6"/>
      <c r="Y162" s="6"/>
      <c r="Z162" s="6"/>
    </row>
    <row r="163" ht="14.25" customHeight="1">
      <c r="A163" s="6"/>
      <c r="B163" s="6"/>
      <c r="G163" s="6"/>
      <c r="H163" s="6"/>
      <c r="I163" s="6"/>
      <c r="J163" s="6"/>
      <c r="K163" s="6"/>
      <c r="L163" s="6"/>
      <c r="M163" s="6"/>
      <c r="N163" s="6"/>
      <c r="O163" s="6"/>
      <c r="P163" s="6"/>
      <c r="Q163" s="6"/>
      <c r="R163" s="6"/>
      <c r="S163" s="6"/>
      <c r="T163" s="6"/>
      <c r="U163" s="6"/>
      <c r="V163" s="6"/>
      <c r="W163" s="6"/>
      <c r="X163" s="6"/>
      <c r="Y163" s="6"/>
      <c r="Z163" s="6"/>
    </row>
    <row r="164" ht="14.25" customHeight="1">
      <c r="A164" s="6"/>
      <c r="B164" s="6"/>
      <c r="G164" s="6"/>
      <c r="H164" s="6"/>
      <c r="I164" s="6"/>
      <c r="J164" s="6"/>
      <c r="K164" s="6"/>
      <c r="L164" s="6"/>
      <c r="M164" s="6"/>
      <c r="N164" s="6"/>
      <c r="O164" s="6"/>
      <c r="P164" s="6"/>
      <c r="Q164" s="6"/>
      <c r="R164" s="6"/>
      <c r="S164" s="6"/>
      <c r="T164" s="6"/>
      <c r="U164" s="6"/>
      <c r="V164" s="6"/>
      <c r="W164" s="6"/>
      <c r="X164" s="6"/>
      <c r="Y164" s="6"/>
      <c r="Z164" s="6"/>
    </row>
    <row r="165" ht="14.25" customHeight="1">
      <c r="A165" s="6"/>
      <c r="B165" s="6"/>
      <c r="G165" s="6"/>
      <c r="H165" s="6"/>
      <c r="I165" s="6"/>
      <c r="J165" s="6"/>
      <c r="K165" s="6"/>
      <c r="L165" s="6"/>
      <c r="M165" s="6"/>
      <c r="N165" s="6"/>
      <c r="O165" s="6"/>
      <c r="P165" s="6"/>
      <c r="Q165" s="6"/>
      <c r="R165" s="6"/>
      <c r="S165" s="6"/>
      <c r="T165" s="6"/>
      <c r="U165" s="6"/>
      <c r="V165" s="6"/>
      <c r="W165" s="6"/>
      <c r="X165" s="6"/>
      <c r="Y165" s="6"/>
      <c r="Z165" s="6"/>
    </row>
    <row r="166" ht="14.25" customHeight="1">
      <c r="A166" s="6"/>
      <c r="B166" s="6"/>
      <c r="G166" s="6"/>
      <c r="H166" s="6"/>
      <c r="I166" s="6"/>
      <c r="J166" s="6"/>
      <c r="K166" s="6"/>
      <c r="L166" s="6"/>
      <c r="M166" s="6"/>
      <c r="N166" s="6"/>
      <c r="O166" s="6"/>
      <c r="P166" s="6"/>
      <c r="Q166" s="6"/>
      <c r="R166" s="6"/>
      <c r="S166" s="6"/>
      <c r="T166" s="6"/>
      <c r="U166" s="6"/>
      <c r="V166" s="6"/>
      <c r="W166" s="6"/>
      <c r="X166" s="6"/>
      <c r="Y166" s="6"/>
      <c r="Z166" s="6"/>
    </row>
    <row r="167" ht="14.25" customHeight="1">
      <c r="A167" s="6"/>
      <c r="B167" s="6"/>
      <c r="G167" s="6"/>
      <c r="H167" s="6"/>
      <c r="I167" s="6"/>
      <c r="J167" s="6"/>
      <c r="K167" s="6"/>
      <c r="L167" s="6"/>
      <c r="M167" s="6"/>
      <c r="N167" s="6"/>
      <c r="O167" s="6"/>
      <c r="P167" s="6"/>
      <c r="Q167" s="6"/>
      <c r="R167" s="6"/>
      <c r="S167" s="6"/>
      <c r="T167" s="6"/>
      <c r="U167" s="6"/>
      <c r="V167" s="6"/>
      <c r="W167" s="6"/>
      <c r="X167" s="6"/>
      <c r="Y167" s="6"/>
      <c r="Z167" s="6"/>
    </row>
    <row r="168" ht="14.25" customHeight="1">
      <c r="A168" s="6"/>
      <c r="B168" s="6"/>
      <c r="G168" s="6"/>
      <c r="H168" s="6"/>
      <c r="I168" s="6"/>
      <c r="J168" s="6"/>
      <c r="K168" s="6"/>
      <c r="L168" s="6"/>
      <c r="M168" s="6"/>
      <c r="N168" s="6"/>
      <c r="O168" s="6"/>
      <c r="P168" s="6"/>
      <c r="Q168" s="6"/>
      <c r="R168" s="6"/>
      <c r="S168" s="6"/>
      <c r="T168" s="6"/>
      <c r="U168" s="6"/>
      <c r="V168" s="6"/>
      <c r="W168" s="6"/>
      <c r="X168" s="6"/>
      <c r="Y168" s="6"/>
      <c r="Z168" s="6"/>
    </row>
    <row r="169" ht="14.25" customHeight="1">
      <c r="A169" s="6"/>
      <c r="B169" s="6"/>
      <c r="G169" s="6"/>
      <c r="H169" s="6"/>
      <c r="I169" s="6"/>
      <c r="J169" s="6"/>
      <c r="K169" s="6"/>
      <c r="L169" s="6"/>
      <c r="M169" s="6"/>
      <c r="N169" s="6"/>
      <c r="O169" s="6"/>
      <c r="P169" s="6"/>
      <c r="Q169" s="6"/>
      <c r="R169" s="6"/>
      <c r="S169" s="6"/>
      <c r="T169" s="6"/>
      <c r="U169" s="6"/>
      <c r="V169" s="6"/>
      <c r="W169" s="6"/>
      <c r="X169" s="6"/>
      <c r="Y169" s="6"/>
      <c r="Z169" s="6"/>
    </row>
    <row r="170" ht="14.25" customHeight="1">
      <c r="A170" s="6"/>
      <c r="B170" s="6"/>
      <c r="G170" s="6"/>
      <c r="H170" s="6"/>
      <c r="I170" s="6"/>
      <c r="J170" s="6"/>
      <c r="K170" s="6"/>
      <c r="L170" s="6"/>
      <c r="M170" s="6"/>
      <c r="N170" s="6"/>
      <c r="O170" s="6"/>
      <c r="P170" s="6"/>
      <c r="Q170" s="6"/>
      <c r="R170" s="6"/>
      <c r="S170" s="6"/>
      <c r="T170" s="6"/>
      <c r="U170" s="6"/>
      <c r="V170" s="6"/>
      <c r="W170" s="6"/>
      <c r="X170" s="6"/>
      <c r="Y170" s="6"/>
      <c r="Z170" s="6"/>
    </row>
    <row r="171" ht="14.25" customHeight="1">
      <c r="A171" s="6"/>
      <c r="B171" s="6"/>
      <c r="G171" s="6"/>
      <c r="H171" s="6"/>
      <c r="I171" s="6"/>
      <c r="J171" s="6"/>
      <c r="K171" s="6"/>
      <c r="L171" s="6"/>
      <c r="M171" s="6"/>
      <c r="N171" s="6"/>
      <c r="O171" s="6"/>
      <c r="P171" s="6"/>
      <c r="Q171" s="6"/>
      <c r="R171" s="6"/>
      <c r="S171" s="6"/>
      <c r="T171" s="6"/>
      <c r="U171" s="6"/>
      <c r="V171" s="6"/>
      <c r="W171" s="6"/>
      <c r="X171" s="6"/>
      <c r="Y171" s="6"/>
      <c r="Z171" s="6"/>
    </row>
    <row r="172" ht="14.25" customHeight="1">
      <c r="A172" s="6"/>
      <c r="B172" s="6"/>
      <c r="G172" s="6"/>
      <c r="H172" s="6"/>
      <c r="I172" s="6"/>
      <c r="J172" s="6"/>
      <c r="K172" s="6"/>
      <c r="L172" s="6"/>
      <c r="M172" s="6"/>
      <c r="N172" s="6"/>
      <c r="O172" s="6"/>
      <c r="P172" s="6"/>
      <c r="Q172" s="6"/>
      <c r="R172" s="6"/>
      <c r="S172" s="6"/>
      <c r="T172" s="6"/>
      <c r="U172" s="6"/>
      <c r="V172" s="6"/>
      <c r="W172" s="6"/>
      <c r="X172" s="6"/>
      <c r="Y172" s="6"/>
      <c r="Z172" s="6"/>
    </row>
    <row r="173" ht="14.25" customHeight="1">
      <c r="A173" s="6"/>
      <c r="B173" s="6"/>
      <c r="G173" s="6"/>
      <c r="H173" s="6"/>
      <c r="I173" s="6"/>
      <c r="J173" s="6"/>
      <c r="K173" s="6"/>
      <c r="L173" s="6"/>
      <c r="M173" s="6"/>
      <c r="N173" s="6"/>
      <c r="O173" s="6"/>
      <c r="P173" s="6"/>
      <c r="Q173" s="6"/>
      <c r="R173" s="6"/>
      <c r="S173" s="6"/>
      <c r="T173" s="6"/>
      <c r="U173" s="6"/>
      <c r="V173" s="6"/>
      <c r="W173" s="6"/>
      <c r="X173" s="6"/>
      <c r="Y173" s="6"/>
      <c r="Z173" s="6"/>
    </row>
    <row r="174" ht="14.25" customHeight="1">
      <c r="A174" s="6"/>
      <c r="B174" s="6"/>
      <c r="G174" s="6"/>
      <c r="H174" s="6"/>
      <c r="I174" s="6"/>
      <c r="J174" s="6"/>
      <c r="K174" s="6"/>
      <c r="L174" s="6"/>
      <c r="M174" s="6"/>
      <c r="N174" s="6"/>
      <c r="O174" s="6"/>
      <c r="P174" s="6"/>
      <c r="Q174" s="6"/>
      <c r="R174" s="6"/>
      <c r="S174" s="6"/>
      <c r="T174" s="6"/>
      <c r="U174" s="6"/>
      <c r="V174" s="6"/>
      <c r="W174" s="6"/>
      <c r="X174" s="6"/>
      <c r="Y174" s="6"/>
      <c r="Z174" s="6"/>
    </row>
    <row r="175" ht="14.25" customHeight="1">
      <c r="A175" s="6"/>
      <c r="B175" s="6"/>
      <c r="G175" s="6"/>
      <c r="H175" s="6"/>
      <c r="I175" s="6"/>
      <c r="J175" s="6"/>
      <c r="K175" s="6"/>
      <c r="L175" s="6"/>
      <c r="M175" s="6"/>
      <c r="N175" s="6"/>
      <c r="O175" s="6"/>
      <c r="P175" s="6"/>
      <c r="Q175" s="6"/>
      <c r="R175" s="6"/>
      <c r="S175" s="6"/>
      <c r="T175" s="6"/>
      <c r="U175" s="6"/>
      <c r="V175" s="6"/>
      <c r="W175" s="6"/>
      <c r="X175" s="6"/>
      <c r="Y175" s="6"/>
      <c r="Z175" s="6"/>
    </row>
    <row r="176" ht="14.25" customHeight="1">
      <c r="A176" s="6"/>
      <c r="B176" s="6"/>
      <c r="G176" s="6"/>
      <c r="H176" s="6"/>
      <c r="I176" s="6"/>
      <c r="J176" s="6"/>
      <c r="K176" s="6"/>
      <c r="L176" s="6"/>
      <c r="M176" s="6"/>
      <c r="N176" s="6"/>
      <c r="O176" s="6"/>
      <c r="P176" s="6"/>
      <c r="Q176" s="6"/>
      <c r="R176" s="6"/>
      <c r="S176" s="6"/>
      <c r="T176" s="6"/>
      <c r="U176" s="6"/>
      <c r="V176" s="6"/>
      <c r="W176" s="6"/>
      <c r="X176" s="6"/>
      <c r="Y176" s="6"/>
      <c r="Z176" s="6"/>
    </row>
    <row r="177" ht="14.25" customHeight="1">
      <c r="A177" s="6"/>
      <c r="B177" s="6"/>
      <c r="G177" s="6"/>
      <c r="H177" s="6"/>
      <c r="I177" s="6"/>
      <c r="J177" s="6"/>
      <c r="K177" s="6"/>
      <c r="L177" s="6"/>
      <c r="M177" s="6"/>
      <c r="N177" s="6"/>
      <c r="O177" s="6"/>
      <c r="P177" s="6"/>
      <c r="Q177" s="6"/>
      <c r="R177" s="6"/>
      <c r="S177" s="6"/>
      <c r="T177" s="6"/>
      <c r="U177" s="6"/>
      <c r="V177" s="6"/>
      <c r="W177" s="6"/>
      <c r="X177" s="6"/>
      <c r="Y177" s="6"/>
      <c r="Z177" s="6"/>
    </row>
    <row r="178" ht="14.25" customHeight="1">
      <c r="A178" s="6"/>
      <c r="B178" s="6"/>
      <c r="G178" s="6"/>
      <c r="H178" s="6"/>
      <c r="I178" s="6"/>
      <c r="J178" s="6"/>
      <c r="K178" s="6"/>
      <c r="L178" s="6"/>
      <c r="M178" s="6"/>
      <c r="N178" s="6"/>
      <c r="O178" s="6"/>
      <c r="P178" s="6"/>
      <c r="Q178" s="6"/>
      <c r="R178" s="6"/>
      <c r="S178" s="6"/>
      <c r="T178" s="6"/>
      <c r="U178" s="6"/>
      <c r="V178" s="6"/>
      <c r="W178" s="6"/>
      <c r="X178" s="6"/>
      <c r="Y178" s="6"/>
      <c r="Z178" s="6"/>
    </row>
    <row r="179" ht="14.25" customHeight="1">
      <c r="A179" s="6"/>
      <c r="B179" s="6"/>
      <c r="G179" s="6"/>
      <c r="H179" s="6"/>
      <c r="I179" s="6"/>
      <c r="J179" s="6"/>
      <c r="K179" s="6"/>
      <c r="L179" s="6"/>
      <c r="M179" s="6"/>
      <c r="N179" s="6"/>
      <c r="O179" s="6"/>
      <c r="P179" s="6"/>
      <c r="Q179" s="6"/>
      <c r="R179" s="6"/>
      <c r="S179" s="6"/>
      <c r="T179" s="6"/>
      <c r="U179" s="6"/>
      <c r="V179" s="6"/>
      <c r="W179" s="6"/>
      <c r="X179" s="6"/>
      <c r="Y179" s="6"/>
      <c r="Z179" s="6"/>
    </row>
    <row r="180" ht="14.25" customHeight="1">
      <c r="A180" s="6"/>
      <c r="B180" s="6"/>
      <c r="G180" s="6"/>
      <c r="H180" s="6"/>
      <c r="I180" s="6"/>
      <c r="J180" s="6"/>
      <c r="K180" s="6"/>
      <c r="L180" s="6"/>
      <c r="M180" s="6"/>
      <c r="N180" s="6"/>
      <c r="O180" s="6"/>
      <c r="P180" s="6"/>
      <c r="Q180" s="6"/>
      <c r="R180" s="6"/>
      <c r="S180" s="6"/>
      <c r="T180" s="6"/>
      <c r="U180" s="6"/>
      <c r="V180" s="6"/>
      <c r="W180" s="6"/>
      <c r="X180" s="6"/>
      <c r="Y180" s="6"/>
      <c r="Z180" s="6"/>
    </row>
    <row r="181" ht="14.25" customHeight="1">
      <c r="A181" s="6"/>
      <c r="B181" s="6"/>
      <c r="G181" s="6"/>
      <c r="H181" s="6"/>
      <c r="I181" s="6"/>
      <c r="J181" s="6"/>
      <c r="K181" s="6"/>
      <c r="L181" s="6"/>
      <c r="M181" s="6"/>
      <c r="N181" s="6"/>
      <c r="O181" s="6"/>
      <c r="P181" s="6"/>
      <c r="Q181" s="6"/>
      <c r="R181" s="6"/>
      <c r="S181" s="6"/>
      <c r="T181" s="6"/>
      <c r="U181" s="6"/>
      <c r="V181" s="6"/>
      <c r="W181" s="6"/>
      <c r="X181" s="6"/>
      <c r="Y181" s="6"/>
      <c r="Z181" s="6"/>
    </row>
    <row r="182" ht="14.25" customHeight="1">
      <c r="A182" s="6"/>
      <c r="B182" s="6"/>
      <c r="G182" s="6"/>
      <c r="H182" s="6"/>
      <c r="I182" s="6"/>
      <c r="J182" s="6"/>
      <c r="K182" s="6"/>
      <c r="L182" s="6"/>
      <c r="M182" s="6"/>
      <c r="N182" s="6"/>
      <c r="O182" s="6"/>
      <c r="P182" s="6"/>
      <c r="Q182" s="6"/>
      <c r="R182" s="6"/>
      <c r="S182" s="6"/>
      <c r="T182" s="6"/>
      <c r="U182" s="6"/>
      <c r="V182" s="6"/>
      <c r="W182" s="6"/>
      <c r="X182" s="6"/>
      <c r="Y182" s="6"/>
      <c r="Z182" s="6"/>
    </row>
    <row r="183" ht="14.25" customHeight="1">
      <c r="A183" s="6"/>
      <c r="B183" s="6"/>
      <c r="G183" s="6"/>
      <c r="H183" s="6"/>
      <c r="I183" s="6"/>
      <c r="J183" s="6"/>
      <c r="K183" s="6"/>
      <c r="L183" s="6"/>
      <c r="M183" s="6"/>
      <c r="N183" s="6"/>
      <c r="O183" s="6"/>
      <c r="P183" s="6"/>
      <c r="Q183" s="6"/>
      <c r="R183" s="6"/>
      <c r="S183" s="6"/>
      <c r="T183" s="6"/>
      <c r="U183" s="6"/>
      <c r="V183" s="6"/>
      <c r="W183" s="6"/>
      <c r="X183" s="6"/>
      <c r="Y183" s="6"/>
      <c r="Z183" s="6"/>
    </row>
    <row r="184" ht="14.25" customHeight="1">
      <c r="A184" s="6"/>
      <c r="B184" s="6"/>
      <c r="G184" s="6"/>
      <c r="H184" s="6"/>
      <c r="I184" s="6"/>
      <c r="J184" s="6"/>
      <c r="K184" s="6"/>
      <c r="L184" s="6"/>
      <c r="M184" s="6"/>
      <c r="N184" s="6"/>
      <c r="O184" s="6"/>
      <c r="P184" s="6"/>
      <c r="Q184" s="6"/>
      <c r="R184" s="6"/>
      <c r="S184" s="6"/>
      <c r="T184" s="6"/>
      <c r="U184" s="6"/>
      <c r="V184" s="6"/>
      <c r="W184" s="6"/>
      <c r="X184" s="6"/>
      <c r="Y184" s="6"/>
      <c r="Z184" s="6"/>
    </row>
    <row r="185" ht="14.25" customHeight="1">
      <c r="A185" s="6"/>
      <c r="B185" s="6"/>
      <c r="G185" s="6"/>
      <c r="H185" s="6"/>
      <c r="I185" s="6"/>
      <c r="J185" s="6"/>
      <c r="K185" s="6"/>
      <c r="L185" s="6"/>
      <c r="M185" s="6"/>
      <c r="N185" s="6"/>
      <c r="O185" s="6"/>
      <c r="P185" s="6"/>
      <c r="Q185" s="6"/>
      <c r="R185" s="6"/>
      <c r="S185" s="6"/>
      <c r="T185" s="6"/>
      <c r="U185" s="6"/>
      <c r="V185" s="6"/>
      <c r="W185" s="6"/>
      <c r="X185" s="6"/>
      <c r="Y185" s="6"/>
      <c r="Z185" s="6"/>
    </row>
    <row r="186" ht="14.25" customHeight="1">
      <c r="A186" s="6"/>
      <c r="B186" s="6"/>
      <c r="G186" s="6"/>
      <c r="H186" s="6"/>
      <c r="I186" s="6"/>
      <c r="J186" s="6"/>
      <c r="K186" s="6"/>
      <c r="L186" s="6"/>
      <c r="M186" s="6"/>
      <c r="N186" s="6"/>
      <c r="O186" s="6"/>
      <c r="P186" s="6"/>
      <c r="Q186" s="6"/>
      <c r="R186" s="6"/>
      <c r="S186" s="6"/>
      <c r="T186" s="6"/>
      <c r="U186" s="6"/>
      <c r="V186" s="6"/>
      <c r="W186" s="6"/>
      <c r="X186" s="6"/>
      <c r="Y186" s="6"/>
      <c r="Z186" s="6"/>
    </row>
    <row r="187" ht="14.25" customHeight="1">
      <c r="A187" s="6"/>
      <c r="B187" s="6"/>
      <c r="G187" s="6"/>
      <c r="H187" s="6"/>
      <c r="I187" s="6"/>
      <c r="J187" s="6"/>
      <c r="K187" s="6"/>
      <c r="L187" s="6"/>
      <c r="M187" s="6"/>
      <c r="N187" s="6"/>
      <c r="O187" s="6"/>
      <c r="P187" s="6"/>
      <c r="Q187" s="6"/>
      <c r="R187" s="6"/>
      <c r="S187" s="6"/>
      <c r="T187" s="6"/>
      <c r="U187" s="6"/>
      <c r="V187" s="6"/>
      <c r="W187" s="6"/>
      <c r="X187" s="6"/>
      <c r="Y187" s="6"/>
      <c r="Z187" s="6"/>
    </row>
    <row r="188" ht="14.25" customHeight="1">
      <c r="A188" s="6"/>
      <c r="B188" s="6"/>
      <c r="G188" s="6"/>
      <c r="H188" s="6"/>
      <c r="I188" s="6"/>
      <c r="J188" s="6"/>
      <c r="K188" s="6"/>
      <c r="L188" s="6"/>
      <c r="M188" s="6"/>
      <c r="N188" s="6"/>
      <c r="O188" s="6"/>
      <c r="P188" s="6"/>
      <c r="Q188" s="6"/>
      <c r="R188" s="6"/>
      <c r="S188" s="6"/>
      <c r="T188" s="6"/>
      <c r="U188" s="6"/>
      <c r="V188" s="6"/>
      <c r="W188" s="6"/>
      <c r="X188" s="6"/>
      <c r="Y188" s="6"/>
      <c r="Z188" s="6"/>
    </row>
    <row r="189" ht="14.25" customHeight="1">
      <c r="A189" s="6"/>
      <c r="B189" s="6"/>
      <c r="G189" s="6"/>
      <c r="H189" s="6"/>
      <c r="I189" s="6"/>
      <c r="J189" s="6"/>
      <c r="K189" s="6"/>
      <c r="L189" s="6"/>
      <c r="M189" s="6"/>
      <c r="N189" s="6"/>
      <c r="O189" s="6"/>
      <c r="P189" s="6"/>
      <c r="Q189" s="6"/>
      <c r="R189" s="6"/>
      <c r="S189" s="6"/>
      <c r="T189" s="6"/>
      <c r="U189" s="6"/>
      <c r="V189" s="6"/>
      <c r="W189" s="6"/>
      <c r="X189" s="6"/>
      <c r="Y189" s="6"/>
      <c r="Z189" s="6"/>
    </row>
    <row r="190" ht="14.25" customHeight="1">
      <c r="A190" s="6"/>
      <c r="B190" s="6"/>
      <c r="G190" s="6"/>
      <c r="H190" s="6"/>
      <c r="I190" s="6"/>
      <c r="J190" s="6"/>
      <c r="K190" s="6"/>
      <c r="L190" s="6"/>
      <c r="M190" s="6"/>
      <c r="N190" s="6"/>
      <c r="O190" s="6"/>
      <c r="P190" s="6"/>
      <c r="Q190" s="6"/>
      <c r="R190" s="6"/>
      <c r="S190" s="6"/>
      <c r="T190" s="6"/>
      <c r="U190" s="6"/>
      <c r="V190" s="6"/>
      <c r="W190" s="6"/>
      <c r="X190" s="6"/>
      <c r="Y190" s="6"/>
      <c r="Z190" s="6"/>
    </row>
    <row r="191" ht="14.25" customHeight="1">
      <c r="A191" s="6"/>
      <c r="B191" s="6"/>
      <c r="G191" s="6"/>
      <c r="H191" s="6"/>
      <c r="I191" s="6"/>
      <c r="J191" s="6"/>
      <c r="K191" s="6"/>
      <c r="L191" s="6"/>
      <c r="M191" s="6"/>
      <c r="N191" s="6"/>
      <c r="O191" s="6"/>
      <c r="P191" s="6"/>
      <c r="Q191" s="6"/>
      <c r="R191" s="6"/>
      <c r="S191" s="6"/>
      <c r="T191" s="6"/>
      <c r="U191" s="6"/>
      <c r="V191" s="6"/>
      <c r="W191" s="6"/>
      <c r="X191" s="6"/>
      <c r="Y191" s="6"/>
      <c r="Z191" s="6"/>
    </row>
    <row r="192" ht="14.25" customHeight="1">
      <c r="A192" s="6"/>
      <c r="B192" s="6"/>
      <c r="G192" s="6"/>
      <c r="H192" s="6"/>
      <c r="I192" s="6"/>
      <c r="J192" s="6"/>
      <c r="K192" s="6"/>
      <c r="L192" s="6"/>
      <c r="M192" s="6"/>
      <c r="N192" s="6"/>
      <c r="O192" s="6"/>
      <c r="P192" s="6"/>
      <c r="Q192" s="6"/>
      <c r="R192" s="6"/>
      <c r="S192" s="6"/>
      <c r="T192" s="6"/>
      <c r="U192" s="6"/>
      <c r="V192" s="6"/>
      <c r="W192" s="6"/>
      <c r="X192" s="6"/>
      <c r="Y192" s="6"/>
      <c r="Z192" s="6"/>
    </row>
    <row r="193" ht="14.25" customHeight="1">
      <c r="A193" s="6"/>
      <c r="B193" s="6"/>
      <c r="G193" s="6"/>
      <c r="H193" s="6"/>
      <c r="I193" s="6"/>
      <c r="J193" s="6"/>
      <c r="K193" s="6"/>
      <c r="L193" s="6"/>
      <c r="M193" s="6"/>
      <c r="N193" s="6"/>
      <c r="O193" s="6"/>
      <c r="P193" s="6"/>
      <c r="Q193" s="6"/>
      <c r="R193" s="6"/>
      <c r="S193" s="6"/>
      <c r="T193" s="6"/>
      <c r="U193" s="6"/>
      <c r="V193" s="6"/>
      <c r="W193" s="6"/>
      <c r="X193" s="6"/>
      <c r="Y193" s="6"/>
      <c r="Z193" s="6"/>
    </row>
    <row r="194" ht="14.25" customHeight="1">
      <c r="A194" s="6"/>
      <c r="B194" s="6"/>
      <c r="G194" s="6"/>
      <c r="H194" s="6"/>
      <c r="I194" s="6"/>
      <c r="J194" s="6"/>
      <c r="K194" s="6"/>
      <c r="L194" s="6"/>
      <c r="M194" s="6"/>
      <c r="N194" s="6"/>
      <c r="O194" s="6"/>
      <c r="P194" s="6"/>
      <c r="Q194" s="6"/>
      <c r="R194" s="6"/>
      <c r="S194" s="6"/>
      <c r="T194" s="6"/>
      <c r="U194" s="6"/>
      <c r="V194" s="6"/>
      <c r="W194" s="6"/>
      <c r="X194" s="6"/>
      <c r="Y194" s="6"/>
      <c r="Z194" s="6"/>
    </row>
    <row r="195" ht="14.25" customHeight="1">
      <c r="A195" s="6"/>
      <c r="B195" s="6"/>
      <c r="G195" s="6"/>
      <c r="H195" s="6"/>
      <c r="I195" s="6"/>
      <c r="J195" s="6"/>
      <c r="K195" s="6"/>
      <c r="L195" s="6"/>
      <c r="M195" s="6"/>
      <c r="N195" s="6"/>
      <c r="O195" s="6"/>
      <c r="P195" s="6"/>
      <c r="Q195" s="6"/>
      <c r="R195" s="6"/>
      <c r="S195" s="6"/>
      <c r="T195" s="6"/>
      <c r="U195" s="6"/>
      <c r="V195" s="6"/>
      <c r="W195" s="6"/>
      <c r="X195" s="6"/>
      <c r="Y195" s="6"/>
      <c r="Z195" s="6"/>
    </row>
    <row r="196" ht="14.25" customHeight="1">
      <c r="A196" s="6"/>
      <c r="B196" s="6"/>
      <c r="G196" s="6"/>
      <c r="H196" s="6"/>
      <c r="I196" s="6"/>
      <c r="J196" s="6"/>
      <c r="K196" s="6"/>
      <c r="L196" s="6"/>
      <c r="M196" s="6"/>
      <c r="N196" s="6"/>
      <c r="O196" s="6"/>
      <c r="P196" s="6"/>
      <c r="Q196" s="6"/>
      <c r="R196" s="6"/>
      <c r="S196" s="6"/>
      <c r="T196" s="6"/>
      <c r="U196" s="6"/>
      <c r="V196" s="6"/>
      <c r="W196" s="6"/>
      <c r="X196" s="6"/>
      <c r="Y196" s="6"/>
      <c r="Z196" s="6"/>
    </row>
    <row r="197" ht="14.25" customHeight="1">
      <c r="A197" s="6"/>
      <c r="B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3">
    <mergeCell ref="C1:U1"/>
    <mergeCell ref="C2:U2"/>
    <mergeCell ref="F4:V4"/>
  </mergeCells>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21.0"/>
    <col customWidth="1" min="2" max="2" width="8.63"/>
    <col customWidth="1" min="3" max="3" width="14.13"/>
    <col customWidth="1" min="4" max="4" width="25.0"/>
    <col customWidth="1" min="5" max="11" width="17.38"/>
    <col customWidth="1" min="12" max="12" width="15.75"/>
    <col customWidth="1" min="13" max="13" width="13.88"/>
    <col customWidth="1" min="14" max="14" width="10.5"/>
    <col customWidth="1" min="15" max="15" width="19.88"/>
    <col customWidth="1" min="16" max="16" width="13.88"/>
    <col customWidth="1" min="17" max="17" width="15.75"/>
    <col customWidth="1" min="18" max="18" width="13.88"/>
    <col customWidth="1" min="19" max="19" width="8.63"/>
    <col customWidth="1" min="20" max="20" width="12.75"/>
    <col customWidth="1" min="21" max="21" width="8.63"/>
    <col customWidth="1" min="22" max="22" width="15.75"/>
    <col customWidth="1" min="23" max="23" width="12.0"/>
    <col customWidth="1" min="24" max="24" width="10.63"/>
    <col customWidth="1" min="25" max="29" width="8.63"/>
    <col customWidth="1" min="30" max="31" width="12.0"/>
    <col customWidth="1" min="32" max="32" width="15.75"/>
    <col customWidth="1" min="33" max="33" width="13.88"/>
    <col customWidth="1" min="34" max="34" width="12.75"/>
    <col customWidth="1" min="35" max="38" width="8.63"/>
    <col customWidth="1" min="39" max="39" width="12.75"/>
    <col customWidth="1" min="40" max="40" width="9.5"/>
    <col customWidth="1" min="41" max="41" width="15.0"/>
    <col customWidth="1" min="42" max="42" width="13.25"/>
    <col customWidth="1" min="43" max="47" width="17.1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4"/>
      <c r="V1" s="5"/>
      <c r="W1" s="2"/>
      <c r="X1" s="2"/>
      <c r="Y1" s="2"/>
      <c r="Z1" s="2"/>
      <c r="AA1" s="2"/>
      <c r="AB1" s="6"/>
      <c r="AC1" s="6"/>
      <c r="AD1" s="6"/>
      <c r="AE1" s="6"/>
      <c r="AF1" s="6"/>
      <c r="AG1" s="6"/>
      <c r="AH1" s="6"/>
      <c r="AI1" s="6"/>
      <c r="AJ1" s="6"/>
      <c r="AK1" s="6"/>
      <c r="AL1" s="6"/>
      <c r="AM1" s="6"/>
      <c r="AN1" s="6"/>
      <c r="AO1" s="6"/>
      <c r="AP1" s="6"/>
      <c r="AQ1" s="6"/>
      <c r="AR1" s="6"/>
      <c r="AS1" s="6"/>
      <c r="AT1" s="6"/>
      <c r="AU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0"/>
      <c r="V2" s="11"/>
      <c r="W2" s="8"/>
      <c r="X2" s="8"/>
      <c r="Y2" s="8"/>
      <c r="Z2" s="8"/>
      <c r="AA2" s="8"/>
      <c r="AB2" s="6"/>
      <c r="AC2" s="6"/>
      <c r="AD2" s="6"/>
      <c r="AE2" s="6"/>
      <c r="AF2" s="6"/>
      <c r="AG2" s="6"/>
      <c r="AH2" s="6"/>
      <c r="AI2" s="6"/>
      <c r="AJ2" s="6"/>
      <c r="AK2" s="6"/>
      <c r="AL2" s="6"/>
      <c r="AM2" s="6"/>
      <c r="AN2" s="6"/>
      <c r="AO2" s="6"/>
      <c r="AP2" s="6"/>
      <c r="AQ2" s="6"/>
      <c r="AR2" s="6"/>
      <c r="AS2" s="6"/>
      <c r="AT2" s="6"/>
      <c r="AU2" s="6"/>
    </row>
    <row r="3" ht="14.25" customHeight="1">
      <c r="A3" s="12"/>
      <c r="B3" s="26"/>
      <c r="C3" s="26"/>
      <c r="D3" s="26"/>
      <c r="E3" s="26"/>
      <c r="F3" s="26"/>
      <c r="G3" s="26"/>
      <c r="H3" s="26"/>
      <c r="I3" s="26"/>
      <c r="J3" s="26"/>
      <c r="K3" s="26"/>
      <c r="L3" s="26"/>
      <c r="M3" s="26"/>
      <c r="N3" s="26"/>
      <c r="O3" s="26"/>
      <c r="P3" s="26"/>
      <c r="Q3" s="26"/>
      <c r="R3" s="26"/>
      <c r="S3" s="26"/>
      <c r="T3" s="26"/>
      <c r="U3" s="26"/>
      <c r="V3" s="26"/>
      <c r="W3" s="26"/>
      <c r="X3" s="26"/>
      <c r="Y3" s="26"/>
      <c r="Z3" s="26"/>
      <c r="AA3" s="26"/>
      <c r="AB3" s="6"/>
      <c r="AC3" s="6"/>
      <c r="AD3" s="6"/>
      <c r="AE3" s="6"/>
      <c r="AF3" s="6"/>
      <c r="AG3" s="6"/>
      <c r="AH3" s="6"/>
      <c r="AI3" s="6"/>
      <c r="AJ3" s="6"/>
      <c r="AK3" s="6"/>
      <c r="AL3" s="6"/>
      <c r="AM3" s="6"/>
      <c r="AN3" s="6"/>
      <c r="AO3" s="6"/>
      <c r="AP3" s="6"/>
      <c r="AQ3" s="6"/>
      <c r="AR3" s="6"/>
      <c r="AS3" s="6"/>
      <c r="AT3" s="6"/>
      <c r="AU3" s="6"/>
    </row>
    <row r="4" ht="21.0" customHeight="1">
      <c r="A4" s="13" t="s">
        <v>2</v>
      </c>
      <c r="B4" s="14"/>
      <c r="C4" s="15" t="s">
        <v>400</v>
      </c>
      <c r="D4" s="15"/>
      <c r="E4" s="15"/>
      <c r="F4" s="15"/>
      <c r="G4" s="16" t="s">
        <v>401</v>
      </c>
      <c r="H4" s="17"/>
      <c r="I4" s="17"/>
      <c r="J4" s="17"/>
      <c r="K4" s="17"/>
      <c r="L4" s="17"/>
      <c r="M4" s="17"/>
      <c r="N4" s="17"/>
      <c r="O4" s="17"/>
      <c r="P4" s="17"/>
      <c r="Q4" s="17"/>
      <c r="R4" s="17"/>
      <c r="S4" s="17"/>
      <c r="T4" s="17"/>
      <c r="U4" s="17"/>
      <c r="V4" s="17"/>
      <c r="W4" s="18"/>
      <c r="X4" s="14"/>
      <c r="Y4" s="14"/>
      <c r="Z4" s="14"/>
      <c r="AA4" s="14"/>
      <c r="AB4" s="6"/>
      <c r="AC4" s="6"/>
      <c r="AD4" s="6"/>
      <c r="AE4" s="6"/>
      <c r="AF4" s="6"/>
      <c r="AG4" s="6"/>
      <c r="AH4" s="6"/>
      <c r="AI4" s="6"/>
      <c r="AJ4" s="6"/>
      <c r="AK4" s="6"/>
      <c r="AL4" s="6"/>
      <c r="AM4" s="6"/>
      <c r="AN4" s="6"/>
      <c r="AO4" s="6"/>
      <c r="AP4" s="6"/>
      <c r="AQ4" s="6"/>
      <c r="AR4" s="6"/>
      <c r="AS4" s="6"/>
      <c r="AT4" s="6"/>
      <c r="AU4" s="6"/>
    </row>
    <row r="5" ht="14.25" customHeight="1">
      <c r="A5" s="12"/>
      <c r="B5" s="26"/>
      <c r="C5" s="26"/>
      <c r="D5" s="26"/>
      <c r="E5" s="26"/>
      <c r="F5" s="26"/>
      <c r="G5" s="26"/>
      <c r="H5" s="26"/>
      <c r="I5" s="26"/>
      <c r="J5" s="26"/>
      <c r="K5" s="26"/>
      <c r="L5" s="26"/>
      <c r="M5" s="26"/>
      <c r="N5" s="26"/>
      <c r="O5" s="26"/>
      <c r="P5" s="26"/>
      <c r="Q5" s="26"/>
      <c r="R5" s="26"/>
      <c r="S5" s="26"/>
      <c r="T5" s="26"/>
      <c r="U5" s="26"/>
      <c r="V5" s="26"/>
      <c r="W5" s="26"/>
      <c r="X5" s="26"/>
      <c r="Y5" s="26"/>
      <c r="Z5" s="26"/>
      <c r="AA5" s="26"/>
      <c r="AB5" s="6"/>
      <c r="AC5" s="6"/>
      <c r="AD5" s="6"/>
      <c r="AE5" s="6"/>
      <c r="AF5" s="6"/>
      <c r="AG5" s="6"/>
      <c r="AH5" s="6"/>
      <c r="AI5" s="6"/>
      <c r="AJ5" s="6"/>
      <c r="AK5" s="6"/>
      <c r="AL5" s="6"/>
      <c r="AM5" s="6"/>
      <c r="AN5" s="6"/>
      <c r="AO5" s="6"/>
      <c r="AP5" s="6"/>
      <c r="AQ5" s="6"/>
      <c r="AR5" s="6"/>
      <c r="AS5" s="6"/>
      <c r="AT5" s="6"/>
      <c r="AU5" s="6"/>
    </row>
    <row r="6" ht="14.25" customHeight="1">
      <c r="A6" s="19" t="s">
        <v>7</v>
      </c>
      <c r="B6" s="6"/>
      <c r="C6" s="21" t="s">
        <v>402</v>
      </c>
      <c r="D6" s="30">
        <v>1.0</v>
      </c>
      <c r="I6" t="s">
        <v>403</v>
      </c>
      <c r="N6" s="6"/>
      <c r="O6" s="6"/>
      <c r="P6" s="6"/>
      <c r="Q6" s="6"/>
      <c r="R6" s="6"/>
      <c r="S6" s="6"/>
      <c r="T6" s="6"/>
      <c r="U6" s="21" t="s">
        <v>402</v>
      </c>
      <c r="V6" s="30">
        <v>90.0</v>
      </c>
      <c r="W6" s="26"/>
      <c r="X6" s="26" t="s">
        <v>404</v>
      </c>
      <c r="Y6" s="26"/>
      <c r="Z6" s="26"/>
      <c r="AA6" s="26"/>
      <c r="AB6" s="26"/>
      <c r="AC6" s="6"/>
      <c r="AD6" s="6"/>
      <c r="AE6" s="6"/>
      <c r="AF6" s="6"/>
      <c r="AG6" s="6"/>
      <c r="AH6" s="6"/>
      <c r="AI6" s="6"/>
      <c r="AJ6" s="6"/>
      <c r="AK6" s="6"/>
      <c r="AL6" s="6"/>
      <c r="AM6" s="6"/>
      <c r="AN6" s="6"/>
      <c r="AO6" s="6"/>
      <c r="AP6" s="6"/>
      <c r="AQ6" s="6"/>
      <c r="AR6" s="6"/>
      <c r="AS6" s="6"/>
      <c r="AT6" s="6"/>
      <c r="AU6" s="6"/>
    </row>
    <row r="7" ht="14.25" customHeight="1">
      <c r="A7" s="12"/>
      <c r="B7" s="6"/>
      <c r="C7" s="26"/>
      <c r="D7" s="26"/>
      <c r="H7" t="s">
        <v>405</v>
      </c>
      <c r="N7" s="26"/>
      <c r="O7" s="26"/>
      <c r="P7" s="6"/>
      <c r="Q7" s="6"/>
      <c r="R7" s="6"/>
      <c r="S7" s="6"/>
      <c r="T7" s="6"/>
      <c r="U7" s="26"/>
      <c r="V7" s="26"/>
      <c r="W7" s="26" t="s">
        <v>405</v>
      </c>
      <c r="X7" s="26"/>
      <c r="Y7" s="26"/>
      <c r="Z7" s="26"/>
      <c r="AA7" s="26"/>
      <c r="AB7" s="26"/>
      <c r="AC7" s="26"/>
      <c r="AD7" s="26"/>
      <c r="AE7" s="6"/>
      <c r="AF7" s="6"/>
      <c r="AG7" s="6"/>
      <c r="AH7" s="6"/>
      <c r="AI7" s="6"/>
      <c r="AJ7" s="6"/>
      <c r="AK7" s="6"/>
      <c r="AL7" s="6"/>
      <c r="AM7" s="6"/>
      <c r="AN7" s="6"/>
      <c r="AO7" s="6"/>
      <c r="AP7" s="6"/>
      <c r="AQ7" s="6"/>
      <c r="AR7" s="6"/>
      <c r="AS7" s="6"/>
      <c r="AT7" s="6"/>
      <c r="AU7" s="6"/>
    </row>
    <row r="8" ht="14.25" customHeight="1">
      <c r="A8" s="19" t="s">
        <v>4</v>
      </c>
      <c r="B8" s="6"/>
      <c r="C8" s="26"/>
      <c r="D8" s="26"/>
      <c r="E8" s="26"/>
      <c r="F8" s="26"/>
      <c r="G8" s="26"/>
      <c r="H8" s="26" t="s">
        <v>107</v>
      </c>
      <c r="I8" s="26" t="s">
        <v>406</v>
      </c>
      <c r="J8" s="26" t="s">
        <v>407</v>
      </c>
      <c r="K8" s="26" t="s">
        <v>408</v>
      </c>
      <c r="L8" s="6" t="s">
        <v>302</v>
      </c>
      <c r="M8" s="6" t="s">
        <v>309</v>
      </c>
      <c r="N8" s="26" t="s">
        <v>409</v>
      </c>
      <c r="O8" s="26" t="s">
        <v>7</v>
      </c>
      <c r="P8" s="26" t="s">
        <v>410</v>
      </c>
      <c r="Q8" s="26" t="s">
        <v>411</v>
      </c>
      <c r="R8" s="26" t="s">
        <v>412</v>
      </c>
      <c r="S8" s="26" t="s">
        <v>413</v>
      </c>
      <c r="T8" s="26"/>
      <c r="U8" s="26"/>
      <c r="V8" s="26"/>
      <c r="W8" s="26" t="s">
        <v>107</v>
      </c>
      <c r="X8" s="26" t="s">
        <v>406</v>
      </c>
      <c r="Y8" s="26" t="s">
        <v>407</v>
      </c>
      <c r="Z8" s="26" t="s">
        <v>408</v>
      </c>
      <c r="AA8" s="6" t="s">
        <v>302</v>
      </c>
      <c r="AB8" s="6" t="s">
        <v>309</v>
      </c>
      <c r="AC8" s="26" t="s">
        <v>409</v>
      </c>
      <c r="AD8" s="26" t="s">
        <v>7</v>
      </c>
      <c r="AE8" s="26" t="s">
        <v>410</v>
      </c>
      <c r="AF8" s="26" t="s">
        <v>411</v>
      </c>
      <c r="AG8" s="26" t="s">
        <v>412</v>
      </c>
      <c r="AH8" s="26" t="s">
        <v>413</v>
      </c>
      <c r="AI8" s="6"/>
      <c r="AJ8" s="6"/>
      <c r="AK8" s="6"/>
      <c r="AL8" s="6"/>
      <c r="AM8" s="6"/>
      <c r="AN8" s="6"/>
      <c r="AO8" s="6"/>
      <c r="AP8" s="6"/>
      <c r="AQ8" s="6"/>
      <c r="AR8" s="6"/>
      <c r="AS8" s="6"/>
      <c r="AT8" s="6"/>
      <c r="AU8" s="6"/>
    </row>
    <row r="9" ht="14.25" customHeight="1">
      <c r="A9" s="12"/>
      <c r="B9" s="6"/>
      <c r="C9" s="26" t="s">
        <v>182</v>
      </c>
      <c r="D9" s="30">
        <f>i_Pop_Obes/100</f>
        <v>0.35</v>
      </c>
      <c r="E9" s="26"/>
      <c r="F9" s="26" t="s">
        <v>414</v>
      </c>
      <c r="G9" s="26" t="s">
        <v>107</v>
      </c>
      <c r="H9" s="28">
        <v>0.0</v>
      </c>
      <c r="I9" s="28">
        <f>((1-EXP(-((-LN(1-i_Eve_Reop/100))/365.25)*1)))</f>
        <v>0.0001404235261</v>
      </c>
      <c r="J9" s="28">
        <f>((1-EXP(-((-LN(1-i_Eve_Reop/100))/365.25)*1)))</f>
        <v>0.0001404235261</v>
      </c>
      <c r="K9" s="28">
        <f>((1-EXP(-((-LN(1-i_Eve_Reop/100))/365.25)*1)))</f>
        <v>0.0001404235261</v>
      </c>
      <c r="L9" s="28">
        <f>((1-EXP(-((-LN(1-i_Eve_Reop/100))/365.25)*1)))</f>
        <v>0.0001404235261</v>
      </c>
      <c r="M9" s="28">
        <f>((1-EXP(-((-LN(1-i_Eve_Reop/100))/365.25)*1)))</f>
        <v>0.0001404235261</v>
      </c>
      <c r="N9" s="28">
        <f>((1-EXP(-((-LN(1-i_Eve_Reop/100))/365.25)*1)))</f>
        <v>0.0001404235261</v>
      </c>
      <c r="O9" s="28">
        <f>((1-EXP(-((-LN(1-i_Eve_Reop/100))/365.25)*1)))</f>
        <v>0.0001404235261</v>
      </c>
      <c r="P9" s="28">
        <f>((1-EXP(-((-LN(1-i_Eve_Reop/100))/365.25)*1)))</f>
        <v>0.0001404235261</v>
      </c>
      <c r="Q9" s="28">
        <v>0.0</v>
      </c>
      <c r="R9" s="28">
        <v>0.0</v>
      </c>
      <c r="S9" s="28">
        <v>0.0</v>
      </c>
      <c r="T9" s="6"/>
      <c r="U9" s="26" t="s">
        <v>414</v>
      </c>
      <c r="V9" s="26" t="s">
        <v>107</v>
      </c>
      <c r="W9" s="28">
        <v>0.0</v>
      </c>
      <c r="X9" s="28">
        <v>0.0</v>
      </c>
      <c r="Y9" s="28">
        <v>0.0</v>
      </c>
      <c r="Z9" s="28">
        <v>0.0</v>
      </c>
      <c r="AA9" s="28">
        <v>0.0</v>
      </c>
      <c r="AB9" s="28">
        <v>0.0</v>
      </c>
      <c r="AC9" s="28">
        <v>0.0</v>
      </c>
      <c r="AD9" s="28">
        <v>0.0</v>
      </c>
      <c r="AE9" s="28">
        <v>0.0</v>
      </c>
      <c r="AF9" s="28">
        <v>0.0</v>
      </c>
      <c r="AG9" s="28">
        <v>0.0</v>
      </c>
      <c r="AH9" s="28">
        <v>0.0</v>
      </c>
      <c r="AI9" s="6"/>
      <c r="AJ9" s="6"/>
      <c r="AK9" s="6"/>
      <c r="AL9" s="6"/>
      <c r="AM9" s="6"/>
      <c r="AN9" s="6"/>
      <c r="AO9" s="6"/>
      <c r="AP9" s="6"/>
      <c r="AQ9" s="6"/>
      <c r="AR9" s="6"/>
      <c r="AS9" s="6"/>
      <c r="AT9" s="6"/>
      <c r="AU9" s="6"/>
    </row>
    <row r="10" ht="14.25" customHeight="1">
      <c r="A10" s="19" t="s">
        <v>3</v>
      </c>
      <c r="B10" s="6"/>
      <c r="C10" s="26" t="s">
        <v>415</v>
      </c>
      <c r="D10" s="30">
        <f>i_Pop_Morb/100</f>
        <v>0.06</v>
      </c>
      <c r="E10" s="26" t="s">
        <v>34</v>
      </c>
      <c r="F10" s="26"/>
      <c r="G10" s="26" t="s">
        <v>406</v>
      </c>
      <c r="H10" s="28">
        <f>1-H11-H20</f>
        <v>0.8838155416</v>
      </c>
      <c r="I10" s="28">
        <f>MAX(0,1-I9-I12-I20-I13-I14)</f>
        <v>0.005410769989</v>
      </c>
      <c r="J10" s="28">
        <v>0.0</v>
      </c>
      <c r="K10" s="28">
        <v>0.0</v>
      </c>
      <c r="L10" s="28">
        <v>0.0</v>
      </c>
      <c r="M10" s="28">
        <v>0.0</v>
      </c>
      <c r="N10" s="28">
        <v>0.0</v>
      </c>
      <c r="O10" s="28">
        <v>0.0</v>
      </c>
      <c r="P10" s="28">
        <v>0.0</v>
      </c>
      <c r="Q10" s="28">
        <v>0.0</v>
      </c>
      <c r="R10" s="28">
        <v>0.0</v>
      </c>
      <c r="S10" s="28">
        <v>0.0</v>
      </c>
      <c r="T10" s="6"/>
      <c r="U10" s="26"/>
      <c r="V10" s="26" t="s">
        <v>406</v>
      </c>
      <c r="W10" s="28">
        <v>0.0</v>
      </c>
      <c r="X10" s="28">
        <v>0.0</v>
      </c>
      <c r="Y10" s="28">
        <v>0.0</v>
      </c>
      <c r="Z10" s="28">
        <v>0.0</v>
      </c>
      <c r="AA10" s="28">
        <v>0.0</v>
      </c>
      <c r="AB10" s="28">
        <v>0.0</v>
      </c>
      <c r="AC10" s="28">
        <v>0.0</v>
      </c>
      <c r="AD10" s="28">
        <v>0.0</v>
      </c>
      <c r="AE10" s="28">
        <v>0.0</v>
      </c>
      <c r="AF10" s="28">
        <v>0.0</v>
      </c>
      <c r="AG10" s="28">
        <v>0.0</v>
      </c>
      <c r="AH10" s="28">
        <v>0.0</v>
      </c>
      <c r="AI10" s="6"/>
      <c r="AJ10" s="6"/>
      <c r="AK10" s="6"/>
      <c r="AL10" s="6"/>
      <c r="AM10" s="6"/>
      <c r="AN10" s="6"/>
      <c r="AO10" s="6"/>
      <c r="AP10" s="6"/>
      <c r="AQ10" s="6"/>
      <c r="AR10" s="6"/>
      <c r="AS10" s="6"/>
      <c r="AT10" s="6"/>
      <c r="AU10" s="6"/>
    </row>
    <row r="11" ht="14.25" customHeight="1">
      <c r="A11" s="12"/>
      <c r="B11" s="6"/>
      <c r="C11" s="26" t="s">
        <v>416</v>
      </c>
      <c r="D11" s="30">
        <f>IF(i_Ris_Risk="Obese",D9+D10,D10)</f>
        <v>0.06</v>
      </c>
      <c r="E11" s="26" t="s">
        <v>34</v>
      </c>
      <c r="F11" s="26"/>
      <c r="G11" s="26" t="s">
        <v>407</v>
      </c>
      <c r="H11" s="28">
        <f>(i_Eve_Prol/100*(1-$D$11))+((i_Ris_Prol/((1/(i_Eve_Prol/100))-1+i_Ris_Prol))*$D$11)</f>
        <v>0.1098525527</v>
      </c>
      <c r="I11" s="28">
        <v>0.0</v>
      </c>
      <c r="J11" s="28">
        <f>1-J9-J12-J20-J13-J14</f>
        <v>0.6118317988</v>
      </c>
      <c r="K11" s="28">
        <v>0.0</v>
      </c>
      <c r="L11" s="28">
        <v>0.0</v>
      </c>
      <c r="M11" s="28">
        <v>0.0</v>
      </c>
      <c r="N11" s="28">
        <v>0.0</v>
      </c>
      <c r="O11" s="28">
        <v>0.0</v>
      </c>
      <c r="P11" s="28">
        <v>0.0</v>
      </c>
      <c r="Q11" s="28">
        <v>0.0</v>
      </c>
      <c r="R11" s="28">
        <v>0.0</v>
      </c>
      <c r="S11" s="28">
        <v>0.0</v>
      </c>
      <c r="T11" s="6"/>
      <c r="U11" s="26"/>
      <c r="V11" s="26" t="s">
        <v>407</v>
      </c>
      <c r="W11" s="28">
        <v>0.0</v>
      </c>
      <c r="X11" s="28">
        <v>0.0</v>
      </c>
      <c r="Y11" s="28">
        <v>0.0</v>
      </c>
      <c r="Z11" s="28">
        <v>0.0</v>
      </c>
      <c r="AA11" s="28">
        <v>0.0</v>
      </c>
      <c r="AB11" s="28">
        <v>0.0</v>
      </c>
      <c r="AC11" s="28">
        <v>0.0</v>
      </c>
      <c r="AD11" s="28">
        <v>0.0</v>
      </c>
      <c r="AE11" s="28">
        <v>0.0</v>
      </c>
      <c r="AF11" s="28">
        <v>0.0</v>
      </c>
      <c r="AG11" s="28">
        <v>0.0</v>
      </c>
      <c r="AH11" s="28">
        <v>0.0</v>
      </c>
      <c r="AI11" s="6"/>
      <c r="AJ11" s="6"/>
      <c r="AK11" s="6"/>
      <c r="AL11" s="6"/>
      <c r="AM11" s="6"/>
      <c r="AN11" s="6"/>
      <c r="AO11" s="6"/>
      <c r="AP11" s="6"/>
      <c r="AQ11" s="6"/>
      <c r="AR11" s="6"/>
      <c r="AS11" s="6"/>
      <c r="AT11" s="6"/>
      <c r="AU11" s="6"/>
    </row>
    <row r="12" ht="14.25" customHeight="1">
      <c r="A12" s="60" t="s">
        <v>22</v>
      </c>
      <c r="B12" s="6"/>
      <c r="C12" s="26" t="s">
        <v>45</v>
      </c>
      <c r="D12" s="30">
        <f>IF(D13&gt;i_Pop_Diab/100,0,(i_Pop_Diab/100)-D13)</f>
        <v>0.413</v>
      </c>
      <c r="E12" s="26" t="s">
        <v>34</v>
      </c>
      <c r="F12" s="26"/>
      <c r="G12" s="26" t="s">
        <v>408</v>
      </c>
      <c r="H12" s="28">
        <v>0.0</v>
      </c>
      <c r="I12" s="28">
        <f>((1-EXP(-(-LN(1-MIN(0.9,1/i_Eve_Time))/i_Eve_Time)*1)))</f>
        <v>0.99</v>
      </c>
      <c r="J12" s="28">
        <f>1-EXP(-(1/(MAX(0.01,LN(i_Bac_MV_days)))))</f>
        <v>0.3835789712</v>
      </c>
      <c r="K12" s="28">
        <f>1-K9-K15-K20-K13-K14</f>
        <v>0.04301743666</v>
      </c>
      <c r="L12" s="28">
        <f>(1-EXP(-(1/POWER(i_Cos_SSI,100/91.3))))/2</f>
        <v>0.02853184828</v>
      </c>
      <c r="M12" s="28">
        <f>(1-EXP(-(1/POWER(i_Cos_DSWI,100/91.3))))/2</f>
        <v>0.01515554106</v>
      </c>
      <c r="N12" s="28">
        <v>0.0</v>
      </c>
      <c r="O12" s="28">
        <v>0.0</v>
      </c>
      <c r="P12" s="28">
        <v>0.0</v>
      </c>
      <c r="Q12" s="28">
        <v>0.0</v>
      </c>
      <c r="R12" s="28">
        <v>0.0</v>
      </c>
      <c r="S12" s="28">
        <v>0.0</v>
      </c>
      <c r="T12" s="6"/>
      <c r="U12" s="26"/>
      <c r="V12" s="26" t="s">
        <v>408</v>
      </c>
      <c r="W12" s="28">
        <f>1-W20-W14-W13</f>
        <v>0.9933676548</v>
      </c>
      <c r="X12" s="82">
        <f t="shared" ref="X12:Y12" si="1">1-X20-X13-X14</f>
        <v>0.8245847076</v>
      </c>
      <c r="Y12" s="28">
        <f t="shared" si="1"/>
        <v>0.8245847076</v>
      </c>
      <c r="Z12" s="28">
        <v>0.0</v>
      </c>
      <c r="AA12" s="28">
        <v>0.0</v>
      </c>
      <c r="AB12" s="28">
        <v>0.0</v>
      </c>
      <c r="AC12" s="28">
        <v>0.0</v>
      </c>
      <c r="AD12" s="28">
        <v>0.0</v>
      </c>
      <c r="AE12" s="28">
        <v>0.0</v>
      </c>
      <c r="AF12" s="28">
        <v>0.0</v>
      </c>
      <c r="AG12" s="28">
        <v>0.0</v>
      </c>
      <c r="AH12" s="28">
        <v>0.0</v>
      </c>
      <c r="AI12" s="6"/>
      <c r="AJ12" s="6"/>
      <c r="AK12" s="6"/>
      <c r="AL12" s="6"/>
      <c r="AM12" s="6"/>
      <c r="AN12" s="6"/>
      <c r="AO12" s="6"/>
      <c r="AP12" s="6"/>
      <c r="AQ12" s="6"/>
      <c r="AR12" s="6"/>
      <c r="AS12" s="6"/>
      <c r="AT12" s="6"/>
      <c r="AU12" s="6"/>
    </row>
    <row r="13" ht="14.25" customHeight="1">
      <c r="A13" s="12"/>
      <c r="B13" s="6"/>
      <c r="C13" s="26" t="s">
        <v>417</v>
      </c>
      <c r="D13" s="30">
        <f>(D11*(i_Bac_Obes/100))</f>
        <v>0.039</v>
      </c>
      <c r="E13" s="26" t="s">
        <v>34</v>
      </c>
      <c r="F13" s="26"/>
      <c r="G13" s="6" t="s">
        <v>302</v>
      </c>
      <c r="H13" s="28">
        <v>0.0</v>
      </c>
      <c r="I13" s="28">
        <f>Calculations!$K$32</f>
        <v>0.001192674625</v>
      </c>
      <c r="J13" s="28">
        <f>Calculations!$K$32</f>
        <v>0.001192674625</v>
      </c>
      <c r="K13" s="28">
        <f>Calculations!$K$32</f>
        <v>0.001192674625</v>
      </c>
      <c r="L13" s="28">
        <f>1-L9-L15-L20-L12</f>
        <v>0.9406121312</v>
      </c>
      <c r="M13" s="28">
        <v>0.0</v>
      </c>
      <c r="N13" s="28">
        <f>Calculations!$K$32</f>
        <v>0.001192674625</v>
      </c>
      <c r="O13" s="28">
        <v>0.0</v>
      </c>
      <c r="P13" s="28">
        <v>0.0</v>
      </c>
      <c r="Q13" s="28">
        <v>0.0</v>
      </c>
      <c r="R13" s="28">
        <v>0.0</v>
      </c>
      <c r="S13" s="28">
        <v>0.0</v>
      </c>
      <c r="T13" s="6"/>
      <c r="U13" s="26"/>
      <c r="V13" s="6" t="s">
        <v>302</v>
      </c>
      <c r="W13" s="28">
        <f>Calculations!$K$35</f>
        <v>0.0002805330559</v>
      </c>
      <c r="X13" s="28">
        <f>Calculations!$K$35</f>
        <v>0.0002805330559</v>
      </c>
      <c r="Y13" s="28">
        <f>Calculations!$K$35</f>
        <v>0.0002805330559</v>
      </c>
      <c r="Z13" s="28">
        <f>Calculations!$K$35</f>
        <v>0.0002805330559</v>
      </c>
      <c r="AA13" s="28">
        <v>0.0</v>
      </c>
      <c r="AB13" s="28">
        <v>0.0</v>
      </c>
      <c r="AC13" s="28">
        <v>0.0</v>
      </c>
      <c r="AD13" s="28">
        <v>0.0</v>
      </c>
      <c r="AE13" s="28">
        <v>0.0</v>
      </c>
      <c r="AF13" s="28">
        <v>0.0</v>
      </c>
      <c r="AG13" s="28">
        <v>0.0</v>
      </c>
      <c r="AH13" s="28">
        <v>0.0</v>
      </c>
      <c r="AI13" s="6"/>
      <c r="AJ13" s="6"/>
      <c r="AK13" s="6"/>
      <c r="AL13" s="6"/>
      <c r="AM13" s="6"/>
      <c r="AN13" s="6"/>
      <c r="AO13" s="6"/>
      <c r="AP13" s="6"/>
      <c r="AQ13" s="6"/>
      <c r="AR13" s="6"/>
      <c r="AS13" s="6"/>
      <c r="AT13" s="6"/>
      <c r="AU13" s="6"/>
    </row>
    <row r="14" ht="14.25" customHeight="1">
      <c r="A14" s="60" t="s">
        <v>27</v>
      </c>
      <c r="B14" s="6"/>
      <c r="C14" s="26"/>
      <c r="D14" s="26"/>
      <c r="E14" s="26"/>
      <c r="F14" s="26"/>
      <c r="G14" s="6" t="s">
        <v>309</v>
      </c>
      <c r="H14" s="28">
        <v>0.0</v>
      </c>
      <c r="I14" s="28">
        <f>(((Calculations!$L$32*(1-$D$11))+((i_Ris_DSWI/((1/Calculations!$L$32)-1+i_Ris_DSWI))*$D$11))/2)+(((Calculations!$L$32*(1-$D$12))+((i_Ris_Diab/((1/Calculations!$L$32)-1+i_Ris_Diab))*$D$12))/2)</f>
        <v>0.001072383108</v>
      </c>
      <c r="J14" s="28">
        <f>(((Calculations!$L$32*(1-$D$11))+((i_Ris_DSWI/((1/Calculations!$L$32)-1+i_Ris_DSWI))*$D$11))/2)+(((Calculations!$L$32*(1-$D$12))+((i_Ris_Diab/((1/Calculations!$L$32)-1+i_Ris_Diab))*$D$12))/2)</f>
        <v>0.001072383108</v>
      </c>
      <c r="K14" s="28">
        <f>(((Calculations!$L$32*(1-$D$11))+((i_Ris_DSWI/((1/Calculations!$L$32)-1+i_Ris_DSWI))*$D$11))/2)+(((Calculations!$L$32*(1-$D$12))+((i_Ris_Diab/((1/Calculations!$L$32)-1+i_Ris_Diab))*$D$12))/2)</f>
        <v>0.001072383108</v>
      </c>
      <c r="L14" s="28">
        <v>0.0</v>
      </c>
      <c r="M14" s="28">
        <f>1-M9-M15-M20-M12</f>
        <v>0.9673647456</v>
      </c>
      <c r="N14" s="28">
        <f>(((Calculations!$L$32*(1-$D$11))+((i_Ris_DSWI/((1/Calculations!$L$32)-1+i_Ris_DSWI))*$D$11))/2)+(((Calculations!$L$32*(1-$D$12))+((i_Ris_Diab/((1/Calculations!$L$32)-1+i_Ris_Diab))*$D$12))/2)</f>
        <v>0.001072383108</v>
      </c>
      <c r="O14" s="28">
        <v>0.0</v>
      </c>
      <c r="P14" s="28">
        <v>0.0</v>
      </c>
      <c r="Q14" s="28">
        <v>0.0</v>
      </c>
      <c r="R14" s="28">
        <v>0.0</v>
      </c>
      <c r="S14" s="28">
        <v>0.0</v>
      </c>
      <c r="T14" s="6"/>
      <c r="U14" s="26"/>
      <c r="V14" s="6" t="s">
        <v>309</v>
      </c>
      <c r="W14" s="28">
        <f>(((Calculations!$L$35*(1-$D$11))+((i_Ris_DSWI/((1/Calculations!$L$35)-1+i_Ris_DSWI))*$D$11))/2)+(((Calculations!$L$35*(1-$D$12))+((i_Ris_Diab/((1/Calculations!$L$35)-1+i_Ris_Diab))*$D$12))/2)</f>
        <v>0.000251812114</v>
      </c>
      <c r="X14" s="28">
        <f>(((Calculations!$L$35*(1-$D$11))+((i_Ris_DSWI/((1/Calculations!$L$35)-1+i_Ris_DSWI))*$D$11))/2)+(((Calculations!$L$35*(1-$D$12))+((i_Ris_Diab/((1/Calculations!$L$35)-1+i_Ris_Diab))*$D$12))/2)</f>
        <v>0.000251812114</v>
      </c>
      <c r="Y14" s="28">
        <f>(((Calculations!$L$35*(1-$D$11))+((i_Ris_DSWI/((1/Calculations!$L$35)-1+i_Ris_DSWI))*$D$11))/2)+(((Calculations!$L$35*(1-$D$12))+((i_Ris_Diab/((1/Calculations!$L$35)-1+i_Ris_Diab))*$D$12))/2)</f>
        <v>0.000251812114</v>
      </c>
      <c r="Z14" s="28">
        <f>(((Calculations!$L$35*(1-$D$11))+((i_Ris_DSWI/((1/Calculations!$L$35)-1+i_Ris_DSWI))*$D$11))/2)+(((Calculations!$L$35*(1-$D$12))+((i_Ris_Diab/((1/Calculations!$L$35)-1+i_Ris_Diab))*$D$12))/2)</f>
        <v>0.000251812114</v>
      </c>
      <c r="AA14" s="28">
        <v>0.0</v>
      </c>
      <c r="AB14" s="28">
        <v>0.0</v>
      </c>
      <c r="AC14" s="28">
        <v>0.0</v>
      </c>
      <c r="AD14" s="28">
        <v>0.0</v>
      </c>
      <c r="AE14" s="28">
        <v>0.0</v>
      </c>
      <c r="AF14" s="28">
        <v>0.0</v>
      </c>
      <c r="AG14" s="28">
        <v>0.0</v>
      </c>
      <c r="AH14" s="28">
        <v>0.0</v>
      </c>
      <c r="AI14" s="6"/>
      <c r="AJ14" s="6"/>
      <c r="AK14" s="6"/>
      <c r="AL14" s="6"/>
      <c r="AM14" s="6"/>
      <c r="AN14" s="6"/>
      <c r="AO14" s="6"/>
      <c r="AP14" s="6"/>
      <c r="AQ14" s="6"/>
      <c r="AR14" s="6"/>
      <c r="AS14" s="6"/>
      <c r="AT14" s="6"/>
      <c r="AU14" s="6"/>
    </row>
    <row r="15" ht="14.25" customHeight="1">
      <c r="A15" s="12"/>
      <c r="B15" s="6"/>
      <c r="C15" s="26"/>
      <c r="D15" s="26"/>
      <c r="E15" s="26"/>
      <c r="F15" s="26"/>
      <c r="G15" s="26" t="s">
        <v>409</v>
      </c>
      <c r="H15" s="28">
        <v>0.0</v>
      </c>
      <c r="I15" s="28">
        <v>0.0</v>
      </c>
      <c r="J15" s="28">
        <v>0.0</v>
      </c>
      <c r="K15" s="28">
        <f>((1-EXP(-(-LN(1-MIN(0.999,1/(i_Eve_ICU-i_Eve_Time)))/i_Eve_ICU)*1)))*(1-$D$11)+(((1-EXP(-(-LN(1-MIN(0.999,1/(i_Eve_ICU-i_Eve_Time+i_Ris_Leng)))/i_Eve_ICU)*1)))*D11)</f>
        <v>0.9523933333</v>
      </c>
      <c r="L15" s="28">
        <f>(1-EXP(-(1/POWER(i_Cos_SSI,100/91.3))))/2</f>
        <v>0.02853184828</v>
      </c>
      <c r="M15" s="28">
        <f>(1-EXP(-(1/POWER(i_Cos_DSWI,100/91.3))))/2</f>
        <v>0.01515554106</v>
      </c>
      <c r="N15" s="28">
        <f>1-N9-N16-N17-N20-N13-N14</f>
        <v>0.8298003812</v>
      </c>
      <c r="O15" s="28">
        <v>0.0</v>
      </c>
      <c r="P15" s="28">
        <v>0.0</v>
      </c>
      <c r="Q15" s="28">
        <v>0.0</v>
      </c>
      <c r="R15" s="28">
        <v>0.0</v>
      </c>
      <c r="S15" s="28">
        <v>0.0</v>
      </c>
      <c r="T15" s="6"/>
      <c r="U15" s="26"/>
      <c r="V15" s="26" t="s">
        <v>409</v>
      </c>
      <c r="W15" s="28">
        <v>0.0</v>
      </c>
      <c r="X15" s="28">
        <v>0.0</v>
      </c>
      <c r="Y15" s="28">
        <v>0.0</v>
      </c>
      <c r="Z15" s="28">
        <f>1-Z20-Z13-Z14</f>
        <v>0.8245847076</v>
      </c>
      <c r="AA15" s="28">
        <f t="shared" ref="AA15:AB15" si="2">1-AA20</f>
        <v>0.8251170528</v>
      </c>
      <c r="AB15" s="28">
        <f t="shared" si="2"/>
        <v>0.8201337334</v>
      </c>
      <c r="AC15" s="28">
        <v>0.0</v>
      </c>
      <c r="AD15" s="28">
        <v>0.0</v>
      </c>
      <c r="AE15" s="28">
        <v>0.0</v>
      </c>
      <c r="AF15" s="28">
        <v>0.0</v>
      </c>
      <c r="AG15" s="28">
        <v>0.0</v>
      </c>
      <c r="AH15" s="28">
        <v>0.0</v>
      </c>
      <c r="AI15" s="6"/>
      <c r="AJ15" s="6"/>
      <c r="AK15" s="6"/>
      <c r="AL15" s="6"/>
      <c r="AM15" s="6"/>
      <c r="AN15" s="6"/>
      <c r="AO15" s="6"/>
      <c r="AP15" s="6"/>
      <c r="AQ15" s="6"/>
      <c r="AR15" s="6"/>
      <c r="AS15" s="6"/>
      <c r="AT15" s="6"/>
      <c r="AU15" s="6"/>
    </row>
    <row r="16" ht="14.25" customHeight="1">
      <c r="A16" s="60" t="s">
        <v>35</v>
      </c>
      <c r="B16" s="6"/>
      <c r="C16" s="6"/>
      <c r="D16" s="26"/>
      <c r="E16" s="26"/>
      <c r="F16" s="26"/>
      <c r="G16" s="26" t="s">
        <v>7</v>
      </c>
      <c r="H16" s="28">
        <v>0.0</v>
      </c>
      <c r="I16" s="28">
        <v>0.0</v>
      </c>
      <c r="J16" s="28">
        <v>0.0</v>
      </c>
      <c r="K16" s="28">
        <v>0.0</v>
      </c>
      <c r="L16" s="28">
        <v>0.0</v>
      </c>
      <c r="M16" s="28">
        <v>0.0</v>
      </c>
      <c r="N16" s="28">
        <f>(1-EXP(-(1/POWER(i_Eve_Hosp-i_Eve_ICU-i_Eve_Time,91.3/100))))*(i_Eve_Home/100)</f>
        <v>0.1233797397</v>
      </c>
      <c r="O16" s="28">
        <f>1-O20-O19-O18-O9</f>
        <v>0.9992530614</v>
      </c>
      <c r="P16" s="28">
        <f>((1-EXP(-((-LN(1-MIN(0.95,1/(i_Eve_Faci))))/1)*1)))</f>
        <v>0.03703703704</v>
      </c>
      <c r="Q16" s="28">
        <f>((1-EXP(-((-LN(1-MIN(0.95,1/(i_Cos_DSWI))))/1)*1)))*(i_Eve_Home/100)</f>
        <v>0.03104166667</v>
      </c>
      <c r="R16" s="28">
        <f>((1-EXP(-((-LN(1-MIN(0.95,1/(i_Cos_SSI))))/1)*1)))*(i_Eve_Home/100)</f>
        <v>0.05601503759</v>
      </c>
      <c r="S16" s="28">
        <v>0.0</v>
      </c>
      <c r="T16" s="6"/>
      <c r="U16" s="26"/>
      <c r="V16" s="26" t="s">
        <v>7</v>
      </c>
      <c r="W16" s="28">
        <v>0.0</v>
      </c>
      <c r="X16" s="28">
        <v>0.0</v>
      </c>
      <c r="Y16" s="28">
        <v>0.0</v>
      </c>
      <c r="Z16" s="28">
        <v>0.0</v>
      </c>
      <c r="AA16" s="28">
        <v>0.0</v>
      </c>
      <c r="AB16" s="28">
        <v>0.0</v>
      </c>
      <c r="AC16" s="28">
        <f>(i_Eve_Home/100)-(AC20/2)</f>
        <v>0.6575585264</v>
      </c>
      <c r="AD16" s="28">
        <f>1-AD20-AD19-AD18-AD9</f>
        <v>0.9893653264</v>
      </c>
      <c r="AE16" s="28">
        <f>((1-EXP(-((-LN(1-MIN(0.95,1/(i_Eve_Faci))))/1)*91.3)))</f>
        <v>0.9681173067</v>
      </c>
      <c r="AF16" s="28">
        <f>(i_Eve_Home/100)-(AF20/2)</f>
        <v>0.7414700003</v>
      </c>
      <c r="AG16" s="28">
        <f>(i_Eve_Home/100)-(AG20/2)</f>
        <v>0.7414700003</v>
      </c>
      <c r="AH16" s="28">
        <v>0.0</v>
      </c>
      <c r="AI16" s="6"/>
      <c r="AJ16" s="6"/>
      <c r="AK16" s="6"/>
      <c r="AL16" s="6"/>
      <c r="AM16" s="6"/>
      <c r="AN16" s="6"/>
      <c r="AO16" s="6"/>
      <c r="AP16" s="6"/>
      <c r="AQ16" s="6"/>
      <c r="AR16" s="6"/>
      <c r="AS16" s="6"/>
      <c r="AT16" s="6"/>
      <c r="AU16" s="6"/>
    </row>
    <row r="17" ht="14.25" customHeight="1">
      <c r="A17" s="12"/>
      <c r="B17" s="6"/>
      <c r="C17" s="26"/>
      <c r="D17" s="26"/>
      <c r="E17" s="26"/>
      <c r="F17" s="26"/>
      <c r="G17" s="26" t="s">
        <v>410</v>
      </c>
      <c r="H17" s="28">
        <v>0.0</v>
      </c>
      <c r="I17" s="28">
        <v>0.0</v>
      </c>
      <c r="J17" s="28">
        <v>0.0</v>
      </c>
      <c r="K17" s="28">
        <v>0.0</v>
      </c>
      <c r="L17" s="28">
        <v>0.0</v>
      </c>
      <c r="M17" s="28">
        <v>0.0</v>
      </c>
      <c r="N17" s="28">
        <f>(1-EXP(-(1/POWER(i_Eve_Hosp-i_Eve_ICU-i_Eve_Time,91.3/100))))*(i_Eve_Care/100)</f>
        <v>0.04223064914</v>
      </c>
      <c r="O17" s="28">
        <v>0.0</v>
      </c>
      <c r="P17" s="28">
        <f>1-P9-P16-P18-P19-P20</f>
        <v>0.9622160243</v>
      </c>
      <c r="Q17" s="28">
        <f>((1-EXP(-((-LN(1-MIN(0.95,1/(i_Cos_DSWI))))/1)*1)))*(1-(i_Eve_Home/100))</f>
        <v>0.010625</v>
      </c>
      <c r="R17" s="28">
        <f>((1-EXP(-((-LN(1-MIN(0.95,1/(i_Cos_DSWI))))/1)*1)))*(1-(i_Eve_Home/100))</f>
        <v>0.010625</v>
      </c>
      <c r="S17" s="28">
        <v>0.0</v>
      </c>
      <c r="T17" s="6"/>
      <c r="U17" s="26"/>
      <c r="V17" s="26" t="s">
        <v>410</v>
      </c>
      <c r="W17" s="28">
        <v>0.0</v>
      </c>
      <c r="X17" s="28">
        <v>0.0</v>
      </c>
      <c r="Y17" s="28">
        <v>0.0</v>
      </c>
      <c r="Z17" s="28">
        <v>0.0</v>
      </c>
      <c r="AA17" s="28">
        <v>0.0</v>
      </c>
      <c r="AB17" s="28">
        <v>0.0</v>
      </c>
      <c r="AC17" s="28">
        <f>(i_Eve_Care/100)-(AC20/2)</f>
        <v>0.1675585264</v>
      </c>
      <c r="AD17" s="28">
        <v>0.0</v>
      </c>
      <c r="AE17" s="28">
        <f>1-AE9-AE16-AE19-AE18-AE20</f>
        <v>0.02124801979</v>
      </c>
      <c r="AF17" s="28">
        <f>(i_Eve_Care/100)-(AF20/2)</f>
        <v>0.2514700003</v>
      </c>
      <c r="AG17" s="28">
        <f>(i_Eve_Care/100)-(AG20/2)</f>
        <v>0.2514700003</v>
      </c>
      <c r="AH17" s="28">
        <v>0.0</v>
      </c>
      <c r="AI17" s="6"/>
      <c r="AJ17" s="6"/>
      <c r="AK17" s="6"/>
      <c r="AL17" s="6"/>
      <c r="AM17" s="6"/>
      <c r="AN17" s="6"/>
      <c r="AO17" s="6"/>
      <c r="AP17" s="6"/>
      <c r="AQ17" s="6"/>
      <c r="AR17" s="6"/>
      <c r="AS17" s="6"/>
      <c r="AT17" s="6"/>
      <c r="AU17" s="6"/>
    </row>
    <row r="18" ht="14.25" customHeight="1">
      <c r="A18" s="60" t="s">
        <v>38</v>
      </c>
      <c r="B18" s="6"/>
      <c r="C18" s="26"/>
      <c r="D18" s="26">
        <f>((1-EXP(-(-LN(1-MIN(0.999,1/(i_Eve_ICU-i_Eve_Time)))/i_Eve_ICU)*1)))*(1-$D$11)+(((1-EXP(-(-LN(1-MIN(0.999,1/(i_Eve_ICU-i_Eve_Time+i_Ris_Leng)))/i_Eve_ICU)*1)))*D11)</f>
        <v>0.9523933333</v>
      </c>
      <c r="E18" s="26"/>
      <c r="F18" s="26"/>
      <c r="G18" s="26" t="s">
        <v>411</v>
      </c>
      <c r="H18" s="28">
        <v>0.0</v>
      </c>
      <c r="I18" s="28">
        <v>0.0</v>
      </c>
      <c r="J18" s="28">
        <v>0.0</v>
      </c>
      <c r="K18" s="28">
        <v>0.0</v>
      </c>
      <c r="L18" s="28">
        <v>0.0</v>
      </c>
      <c r="M18" s="28">
        <v>0.0</v>
      </c>
      <c r="N18" s="28">
        <v>0.0</v>
      </c>
      <c r="O18" s="28">
        <f>(((Calculations!$L$35*(1-$D$11))+((i_Ris_DSWI/((1/Calculations!$L$35)-1+i_Ris_DSWI))*$D$11))/2)+(((Calculations!$L$35*(1-$D$12))+((i_Ris_Diab/((1/Calculations!$L$35)-1+i_Ris_Diab))*$D$12))/2)</f>
        <v>0.000251812114</v>
      </c>
      <c r="P18" s="28">
        <f>(((Calculations!$L$35*(1-$D$11))+((i_Ris_DSWI/((1/Calculations!$L$35)-1+i_Ris_DSWI))*$D$11))/2)+(((Calculations!$L$35*(1-$D$12))+((i_Ris_Diab/((1/Calculations!$L$35)-1+i_Ris_Diab))*$D$12))/2)</f>
        <v>0.000251812114</v>
      </c>
      <c r="Q18" s="28">
        <f>1-Q20-Q16-Q17</f>
        <v>0.9582591634</v>
      </c>
      <c r="R18" s="28">
        <v>0.0</v>
      </c>
      <c r="S18" s="28">
        <v>0.0</v>
      </c>
      <c r="T18" s="6"/>
      <c r="U18" s="26"/>
      <c r="V18" s="26" t="s">
        <v>411</v>
      </c>
      <c r="W18" s="28">
        <v>0.0</v>
      </c>
      <c r="X18" s="28">
        <v>0.0</v>
      </c>
      <c r="Y18" s="28">
        <v>0.0</v>
      </c>
      <c r="Z18" s="28">
        <v>0.0</v>
      </c>
      <c r="AA18" s="28">
        <v>0.0</v>
      </c>
      <c r="AB18" s="28">
        <v>0.0</v>
      </c>
      <c r="AC18" s="28">
        <v>0.0</v>
      </c>
      <c r="AD18" s="28">
        <f>(((Calculations!$L$38*(1-$D$11))+((i_Ris_DSWI/((1/Calculations!$L$38)-1+i_Ris_DSWI))*$D$11))/2)+(((Calculations!$L$38*(1-$D$12))+((i_Ris_Diab/((1/Calculations!$L$38)-1+i_Ris_Diab))*$D$12))/2)</f>
        <v>0.001692637972</v>
      </c>
      <c r="AE18" s="28">
        <f>(((Calculations!$L$38*(1-$D$11))+((i_Ris_DSWI/((1/Calculations!$L$38)-1+i_Ris_DSWI))*$D$11))/2)+(((Calculations!$L$38*(1-$D$12))+((i_Ris_Diab/((1/Calculations!$L$38)-1+i_Ris_Diab))*$D$12))/2)</f>
        <v>0.001692637972</v>
      </c>
      <c r="AF18" s="28">
        <v>0.0</v>
      </c>
      <c r="AG18" s="28">
        <v>0.0</v>
      </c>
      <c r="AH18" s="28">
        <v>0.0</v>
      </c>
      <c r="AI18" s="6"/>
      <c r="AJ18" s="6"/>
      <c r="AK18" s="6"/>
      <c r="AL18" s="6"/>
      <c r="AM18" s="6"/>
      <c r="AN18" s="6"/>
      <c r="AO18" s="6"/>
      <c r="AP18" s="6"/>
      <c r="AQ18" s="6"/>
      <c r="AR18" s="6"/>
      <c r="AS18" s="6"/>
      <c r="AT18" s="6"/>
      <c r="AU18" s="6"/>
    </row>
    <row r="19" ht="14.25" customHeight="1">
      <c r="A19" s="12"/>
      <c r="B19" s="6"/>
      <c r="C19" s="26"/>
      <c r="D19" s="26"/>
      <c r="E19" s="26"/>
      <c r="F19" s="26"/>
      <c r="G19" s="26" t="s">
        <v>412</v>
      </c>
      <c r="H19" s="28">
        <v>0.0</v>
      </c>
      <c r="I19" s="28">
        <v>0.0</v>
      </c>
      <c r="J19" s="28">
        <v>0.0</v>
      </c>
      <c r="K19" s="28">
        <v>0.0</v>
      </c>
      <c r="L19" s="28">
        <v>0.0</v>
      </c>
      <c r="M19" s="28">
        <v>0.0</v>
      </c>
      <c r="N19" s="28">
        <v>0.0</v>
      </c>
      <c r="O19" s="28">
        <f>Calculations!$K$35</f>
        <v>0.0002805330559</v>
      </c>
      <c r="P19" s="28">
        <f>Calculations!$K$35</f>
        <v>0.0002805330559</v>
      </c>
      <c r="Q19" s="28">
        <v>0.0</v>
      </c>
      <c r="R19" s="28">
        <f>1-R20-R16-R17</f>
        <v>0.9332857925</v>
      </c>
      <c r="S19" s="28">
        <v>0.0</v>
      </c>
      <c r="T19" s="6"/>
      <c r="U19" s="26"/>
      <c r="V19" s="26" t="s">
        <v>412</v>
      </c>
      <c r="W19" s="28">
        <v>0.0</v>
      </c>
      <c r="X19" s="28">
        <v>0.0</v>
      </c>
      <c r="Y19" s="28">
        <v>0.0</v>
      </c>
      <c r="Z19" s="28">
        <v>0.0</v>
      </c>
      <c r="AA19" s="28">
        <v>0.0</v>
      </c>
      <c r="AB19" s="28">
        <v>0.0</v>
      </c>
      <c r="AC19" s="28">
        <v>0.0</v>
      </c>
      <c r="AD19" s="28">
        <f>Calculations!$K$38</f>
        <v>0.001882036261</v>
      </c>
      <c r="AE19" s="28">
        <f>Calculations!$K$38</f>
        <v>0.001882036261</v>
      </c>
      <c r="AF19" s="28">
        <v>0.0</v>
      </c>
      <c r="AG19" s="28">
        <v>0.0</v>
      </c>
      <c r="AH19" s="28">
        <v>0.0</v>
      </c>
      <c r="AI19" s="6"/>
      <c r="AJ19" s="6"/>
      <c r="AK19" s="6"/>
      <c r="AL19" s="6"/>
      <c r="AM19" s="6"/>
      <c r="AN19" s="6"/>
      <c r="AO19" s="6"/>
      <c r="AP19" s="6"/>
      <c r="AQ19" s="6"/>
      <c r="AR19" s="6"/>
      <c r="AS19" s="6"/>
      <c r="AT19" s="6"/>
      <c r="AU19" s="6"/>
    </row>
    <row r="20" ht="14.25" customHeight="1">
      <c r="A20" s="60" t="s">
        <v>183</v>
      </c>
      <c r="B20" s="6"/>
      <c r="C20" s="26"/>
      <c r="D20" s="26"/>
      <c r="E20" s="26"/>
      <c r="F20" s="26"/>
      <c r="G20" s="26" t="s">
        <v>413</v>
      </c>
      <c r="H20" s="28">
        <f>(i_Bac_CABG_death/100*(1-$D$11))+((i_Ris_Hosp/((1/(i_Bac_CABG_death/100))-1+i_Ris_Hosp))*$D$11)</f>
        <v>0.006331905776</v>
      </c>
      <c r="I20" s="28">
        <f>((1-EXP(-((-LN(1-i_Adv_In_h/100))/i_Adv_Mort)*1))*(1-$D$11))+((i_Ris_Hosp/((1/((1-EXP(-((-LN(1-i_Adv_In_h/100))/i_Adv_Mort)*1))))-1+i_Ris_Hosp))*$D$11)</f>
        <v>0.002183748752</v>
      </c>
      <c r="J20" s="28">
        <f>((1-EXP(-((-LN(1-i_Adv_In_h/100))/i_Adv_Mort)*1))*(1-$D$11))+((i_Ris_Hosp/((1/((1-EXP(-((-LN(1-i_Adv_In_h/100))/i_Adv_Mort)*1))))-1+i_Ris_Hosp))*$D$11)</f>
        <v>0.002183748752</v>
      </c>
      <c r="K20" s="28">
        <f>((1-EXP(-((-LN(1-i_Adv_In_h/100))/i_Adv_Mort)*1))*(1-$D$11))+((i_Ris_Hosp/((1/((1-EXP(-((-LN(1-i_Adv_In_h/100))/i_Adv_Mort)*1))))-1+i_Ris_Hosp))*$D$11)</f>
        <v>0.002183748752</v>
      </c>
      <c r="L20" s="28">
        <f>((1-EXP(-((-LN(1-i_Adv_In_h/100))/i_Adv_Mort)*1))*(1-$D$11))+((i_Ris_Hosp/((1/((1-EXP(-((-LN(1-i_Adv_In_h/100))/i_Adv_Mort)*1))))-1+i_Ris_Hosp))*$D$11)</f>
        <v>0.002183748752</v>
      </c>
      <c r="M20" s="28">
        <f>((1-EXP(-((-LN(1-i_Adv_In_h/100))/i_Adv_Mort)*1))*(1-$D$11))+((i_Ris_Hosp/((1/((1-EXP(-((-LN(1-i_Adv_In_h/100))/i_Adv_Mort)*1))))-1+i_Ris_Hosp))*$D$11)</f>
        <v>0.002183748752</v>
      </c>
      <c r="N20" s="28">
        <f>((1-EXP(-((-LN(1-i_Adv_In_h/100))/i_Adv_Mort)*1))*(1-$D$11))+((i_Ris_Hosp/((1/((1-EXP(-((-LN(1-i_Adv_In_h/100))/i_Adv_Mort)*1))))-1+i_Ris_Hosp))*$D$11)</f>
        <v>0.002183748752</v>
      </c>
      <c r="O20" s="28">
        <f>((1-EXP(-((-LN(1-Death_per_year))/365.25)*1)))</f>
        <v>0.00007416994568</v>
      </c>
      <c r="P20" s="28">
        <f>((1-EXP(-((-LN(1-Death_per_year))/365.25)*1)))</f>
        <v>0.00007416994568</v>
      </c>
      <c r="Q20" s="28">
        <f>((1-EXP(-((-LN(1-Death_per_year))/365.25)*1)))</f>
        <v>0.00007416994568</v>
      </c>
      <c r="R20" s="28">
        <f>((1-EXP(-((-LN(1-Death_per_year))/365.25)*1)))</f>
        <v>0.00007416994568</v>
      </c>
      <c r="S20" s="28">
        <v>1.0</v>
      </c>
      <c r="T20" s="6"/>
      <c r="U20" s="26"/>
      <c r="V20" s="26" t="s">
        <v>413</v>
      </c>
      <c r="W20" s="28">
        <f>i_Bac_CABG_death/100</f>
        <v>0.0061</v>
      </c>
      <c r="X20" s="28">
        <f>((1-EXP(-((-LN(1-i_Adv_In_h/100))/i_Adv_Mort)*91.3)))</f>
        <v>0.1748829472</v>
      </c>
      <c r="Y20" s="28">
        <f>((1-EXP(-((-LN(1-i_Adv_In_h/100))/i_Adv_Mort)*91.3)))</f>
        <v>0.1748829472</v>
      </c>
      <c r="Z20" s="28">
        <f>((1-EXP(-((-LN(1-i_Adv_In_h/100))/i_Adv_Mort)*91.3)))</f>
        <v>0.1748829472</v>
      </c>
      <c r="AA20" s="28">
        <f>((1-EXP(-((-LN(1-i_Adv_In_h/100))/i_Adv_Mort)*91.3)))</f>
        <v>0.1748829472</v>
      </c>
      <c r="AB20" s="28">
        <f>((1-EXP(-((-LN(1-i_Adv_In_h/100))/i_Adv_Mort)*91.3))*(1-$D$11))+((i_Ris_Hosp/((1/((1-EXP(-((-LN(1-i_Adv_In_h/100))/i_Adv_Mort)*91.3))))-1+i_Ris_Hosp))*$D$11)</f>
        <v>0.1798662666</v>
      </c>
      <c r="AC20" s="28">
        <f>((1-EXP(-((-LN(1-i_Adv_In_h/100))/i_Adv_Mort)*91.3)))</f>
        <v>0.1748829472</v>
      </c>
      <c r="AD20" s="28">
        <f>((1-EXP(-((-LN(1-Mean_mortality))/365.25)*91.3)))</f>
        <v>0.007059999323</v>
      </c>
      <c r="AE20" s="28">
        <f>((1-EXP(-((-LN(1-Mean_mortality))/365.25)*91.3)))</f>
        <v>0.007059999323</v>
      </c>
      <c r="AF20" s="28">
        <f>((1-EXP(-((-LN(1-Mean_mortality))/365.25)*91.3)))</f>
        <v>0.007059999323</v>
      </c>
      <c r="AG20" s="28">
        <f>((1-EXP(-((-LN(1-Mean_mortality))/365.25)*91.3)))</f>
        <v>0.007059999323</v>
      </c>
      <c r="AH20" s="28">
        <v>1.0</v>
      </c>
      <c r="AI20" s="6"/>
      <c r="AJ20" s="6"/>
      <c r="AK20" s="6"/>
      <c r="AL20" s="6"/>
      <c r="AM20" s="6"/>
      <c r="AN20" s="6"/>
      <c r="AO20" s="6"/>
      <c r="AP20" s="6"/>
      <c r="AQ20" s="6"/>
      <c r="AR20" s="6"/>
      <c r="AS20" s="6"/>
      <c r="AT20" s="6"/>
      <c r="AU20" s="6"/>
    </row>
    <row r="21" ht="14.25" customHeight="1">
      <c r="A21" s="12"/>
      <c r="B21" s="6"/>
      <c r="C21" s="26"/>
      <c r="D21" s="26" t="s">
        <v>312</v>
      </c>
      <c r="E21" s="26">
        <f t="shared" ref="E21:F21" si="3">1-EXP(-E22*1)</f>
        <v>0.999</v>
      </c>
      <c r="F21" s="26">
        <f t="shared" si="3"/>
        <v>0.2222222222</v>
      </c>
      <c r="G21" s="26"/>
      <c r="H21" s="26"/>
      <c r="I21" s="26"/>
      <c r="J21" s="26"/>
      <c r="K21" s="26"/>
      <c r="L21" s="26"/>
      <c r="M21" s="26"/>
      <c r="N21" s="26"/>
      <c r="O21" s="2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row>
    <row r="22" ht="14.25" customHeight="1">
      <c r="A22" s="12"/>
      <c r="B22" s="6"/>
      <c r="C22" s="26"/>
      <c r="D22" s="26" t="s">
        <v>418</v>
      </c>
      <c r="E22" s="26">
        <f>(-LN(1-MIN(0.999,1/(i_Eve_ICU-i_Eve_Time)))/i_Eve_ICU)</f>
        <v>6.907755279</v>
      </c>
      <c r="F22" s="26">
        <f>(-LN(1-MIN(0.999,1/(i_Eve_ICU-i_Eve_Time+i_Ris_Leng)))/i_Eve_ICU)</f>
        <v>0.2513144283</v>
      </c>
      <c r="G22" s="26"/>
      <c r="H22" s="83" t="s">
        <v>419</v>
      </c>
      <c r="I22" s="26" t="s">
        <v>420</v>
      </c>
      <c r="M22" s="26"/>
      <c r="N22" s="26"/>
      <c r="O22" s="2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row>
    <row r="23" ht="14.25" customHeight="1">
      <c r="A23" s="12"/>
      <c r="B23" s="6"/>
      <c r="C23" s="26"/>
      <c r="D23" s="26"/>
      <c r="E23" s="26"/>
      <c r="F23" s="26"/>
      <c r="G23" s="26"/>
      <c r="H23" s="26"/>
      <c r="I23" s="26" t="s">
        <v>421</v>
      </c>
      <c r="M23" s="26"/>
      <c r="N23" s="26"/>
      <c r="O23" s="26"/>
      <c r="P23" s="6"/>
      <c r="Q23" s="6"/>
      <c r="R23" s="6"/>
      <c r="S23">
        <f t="shared" ref="S23:AD23" si="4">SUM(S26:S136)</f>
        <v>10369.24703</v>
      </c>
      <c r="T23" s="26">
        <f t="shared" si="4"/>
        <v>2977.83835</v>
      </c>
      <c r="U23" s="26">
        <f t="shared" si="4"/>
        <v>948.164129</v>
      </c>
      <c r="V23" s="26">
        <f t="shared" si="4"/>
        <v>2750.529839</v>
      </c>
      <c r="W23" s="26">
        <f t="shared" si="4"/>
        <v>372.6872914</v>
      </c>
      <c r="X23" s="26">
        <f t="shared" si="4"/>
        <v>620.690558</v>
      </c>
      <c r="Y23" s="26">
        <f t="shared" si="4"/>
        <v>14302.18803</v>
      </c>
      <c r="Z23" s="26">
        <f t="shared" si="4"/>
        <v>0</v>
      </c>
      <c r="AA23" s="26">
        <f t="shared" si="4"/>
        <v>3663.527345</v>
      </c>
      <c r="AB23" s="26">
        <f t="shared" si="4"/>
        <v>1152.771625</v>
      </c>
      <c r="AC23" s="26">
        <f t="shared" si="4"/>
        <v>140.4605746</v>
      </c>
      <c r="AD23" s="26">
        <f t="shared" si="4"/>
        <v>0</v>
      </c>
      <c r="AE23" s="6"/>
      <c r="AF23" s="6"/>
      <c r="AG23" s="6"/>
      <c r="AH23" s="6"/>
      <c r="AI23" s="6"/>
      <c r="AJ23" s="6"/>
      <c r="AK23" s="6"/>
      <c r="AL23" s="6"/>
      <c r="AM23" s="6"/>
      <c r="AN23" s="6"/>
      <c r="AO23" s="6"/>
      <c r="AP23" s="6"/>
      <c r="AQ23" s="6" t="s">
        <v>422</v>
      </c>
      <c r="AR23" s="6"/>
      <c r="AS23" s="6"/>
      <c r="AT23" s="6"/>
      <c r="AU23" s="6"/>
    </row>
    <row r="24" ht="14.25" customHeight="1">
      <c r="A24" s="12"/>
      <c r="B24" s="6"/>
      <c r="C24" s="6" t="s">
        <v>423</v>
      </c>
      <c r="D24" s="6"/>
      <c r="E24" s="6"/>
      <c r="F24" s="6"/>
      <c r="G24" s="6"/>
      <c r="H24" s="6"/>
      <c r="I24" s="6"/>
      <c r="J24" s="6"/>
      <c r="K24" s="6"/>
      <c r="L24" s="6"/>
      <c r="M24" s="6"/>
      <c r="N24" s="6"/>
      <c r="O24" s="6"/>
      <c r="P24" s="6"/>
      <c r="Q24" s="6"/>
      <c r="R24" s="6" t="s">
        <v>35</v>
      </c>
      <c r="S24" s="26" t="s">
        <v>107</v>
      </c>
      <c r="T24" s="26" t="s">
        <v>406</v>
      </c>
      <c r="U24" s="26" t="s">
        <v>407</v>
      </c>
      <c r="V24" s="26" t="s">
        <v>408</v>
      </c>
      <c r="W24" s="6" t="s">
        <v>302</v>
      </c>
      <c r="X24" s="6" t="s">
        <v>309</v>
      </c>
      <c r="Y24" s="26" t="s">
        <v>409</v>
      </c>
      <c r="Z24" s="26" t="s">
        <v>7</v>
      </c>
      <c r="AA24" s="26" t="s">
        <v>410</v>
      </c>
      <c r="AB24" s="26" t="s">
        <v>411</v>
      </c>
      <c r="AC24" s="26" t="s">
        <v>412</v>
      </c>
      <c r="AD24" s="26" t="s">
        <v>413</v>
      </c>
      <c r="AE24" s="6"/>
      <c r="AF24" s="6" t="s">
        <v>424</v>
      </c>
      <c r="AG24" s="6" t="s">
        <v>425</v>
      </c>
      <c r="AH24" s="6" t="s">
        <v>426</v>
      </c>
      <c r="AI24" s="6" t="s">
        <v>427</v>
      </c>
      <c r="AJ24" s="6" t="s">
        <v>131</v>
      </c>
      <c r="AK24" s="6" t="s">
        <v>428</v>
      </c>
      <c r="AL24" s="6" t="s">
        <v>143</v>
      </c>
      <c r="AM24" s="6" t="s">
        <v>144</v>
      </c>
      <c r="AN24" s="6" t="s">
        <v>179</v>
      </c>
      <c r="AO24" s="6" t="s">
        <v>141</v>
      </c>
      <c r="AP24" s="6" t="s">
        <v>179</v>
      </c>
      <c r="AQ24" s="6">
        <v>1.0</v>
      </c>
      <c r="AR24" s="6">
        <v>2.0</v>
      </c>
      <c r="AS24" s="6">
        <v>3.0</v>
      </c>
      <c r="AT24" s="6">
        <v>4.0</v>
      </c>
      <c r="AU24" s="6">
        <v>5.0</v>
      </c>
    </row>
    <row r="25" ht="14.25" customHeight="1">
      <c r="A25" s="12"/>
      <c r="B25" s="26" t="s">
        <v>429</v>
      </c>
      <c r="C25" s="26">
        <v>0.0</v>
      </c>
      <c r="D25" s="26" t="s">
        <v>179</v>
      </c>
      <c r="E25" s="26" t="s">
        <v>107</v>
      </c>
      <c r="F25" s="26" t="s">
        <v>406</v>
      </c>
      <c r="G25" s="26" t="s">
        <v>407</v>
      </c>
      <c r="H25" s="26" t="s">
        <v>408</v>
      </c>
      <c r="I25" s="6" t="s">
        <v>302</v>
      </c>
      <c r="J25" s="6" t="s">
        <v>309</v>
      </c>
      <c r="K25" s="26" t="s">
        <v>409</v>
      </c>
      <c r="L25" s="26" t="s">
        <v>7</v>
      </c>
      <c r="M25" s="26" t="s">
        <v>410</v>
      </c>
      <c r="N25" s="26" t="s">
        <v>411</v>
      </c>
      <c r="O25" s="26" t="s">
        <v>412</v>
      </c>
      <c r="P25" s="26" t="s">
        <v>413</v>
      </c>
      <c r="R25" t="s">
        <v>430</v>
      </c>
      <c r="S25" s="49">
        <f>i_Cos_CABG</f>
        <v>10244.05</v>
      </c>
      <c r="T25" s="49">
        <f>i_Cos_Mech+i_Cos_ICU</f>
        <v>3291.27</v>
      </c>
      <c r="U25" s="49">
        <f>i_Cos_Mech+i_Cos_ICU</f>
        <v>3291.27</v>
      </c>
      <c r="V25" s="49">
        <f>i_Cos_ICU</f>
        <v>2535.52</v>
      </c>
      <c r="W25" s="84">
        <f>i_Cos_Inpa_SSI+(Y25*(1-i_Bac_ICU))+(V25*i_Bac_ICU)</f>
        <v>2232.190509</v>
      </c>
      <c r="X25" s="84">
        <f>i_Cos_Inpa_DSWI+(Y25*(1-i_Bac_ICU))+(V25*i_Bac_ICU)</f>
        <v>2232.190509</v>
      </c>
      <c r="Y25" s="49">
        <f>i_Cos_Gene</f>
        <v>2357.3</v>
      </c>
      <c r="Z25" s="49">
        <f>i_Cos_Pati</f>
        <v>0</v>
      </c>
      <c r="AA25" s="49">
        <f>i_Cos_Care</f>
        <v>420.43</v>
      </c>
      <c r="AB25" s="49">
        <f>i_Cos_Read</f>
        <v>23585.82</v>
      </c>
      <c r="AC25" s="49">
        <f>i_Cos_Outp</f>
        <v>2582.6</v>
      </c>
      <c r="AD25" s="49">
        <f>i_Cos_Mort</f>
        <v>0</v>
      </c>
      <c r="AE25" s="6"/>
      <c r="AF25" s="6"/>
      <c r="AG25" s="6"/>
      <c r="AH25" s="6"/>
      <c r="AI25" s="6">
        <f>i_Int_Cost/i_Eve_ECG</f>
        <v>1.135416667</v>
      </c>
      <c r="AJ25" s="6">
        <f>i_Cos_Nurs/60*i_Cos_Fals</f>
        <v>1.931</v>
      </c>
      <c r="AK25" s="6">
        <f>i_Cos_Nurs/60*i_Cos_Lead</f>
        <v>0.9655</v>
      </c>
      <c r="AL25" s="6"/>
      <c r="AM25" s="6"/>
      <c r="AN25" s="6">
        <v>0.5</v>
      </c>
      <c r="AO25" s="30" t="str">
        <f>SUM(OFFSET($S$26,0,0,93,12))+SUM(OFFSET($AI$26,0,0,93,3))</f>
        <v>#VALUE!</v>
      </c>
      <c r="AP25" s="6">
        <v>0.5</v>
      </c>
      <c r="AQ25" s="85" t="str">
        <f>$AO25*i_Set_CABG*POWER((1-(i_Set_Cost/100)),ROUNDDOWN($AN25-1,0))</f>
        <v>#VALUE!</v>
      </c>
      <c r="AR25" s="85" t="str">
        <f>$AO25*i_Set_CABG*POWER((1-(i_Set_Cost/100)),ROUNDDOWN($AN25+0.5,0))</f>
        <v>#VALUE!</v>
      </c>
      <c r="AS25" s="85" t="str">
        <f>$AO25*i_Set_CABG*POWER((1-(i_Set_Cost/100)),ROUNDDOWN($AN25+1.5,0))</f>
        <v>#VALUE!</v>
      </c>
      <c r="AT25" s="85" t="str">
        <f>$AO25*i_Set_CABG*POWER((1-(i_Set_Cost/100)),ROUNDDOWN($AN25+2.5,0))</f>
        <v>#VALUE!</v>
      </c>
      <c r="AU25" s="85" t="str">
        <f>$AO25*i_Set_CABG*POWER((1-(i_Set_Cost/100)),ROUNDDOWN($AN25+3.5,0))</f>
        <v>#VALUE!</v>
      </c>
    </row>
    <row r="26" ht="14.25" customHeight="1">
      <c r="B26" s="26">
        <v>0.0</v>
      </c>
      <c r="C26" s="26">
        <v>0.0</v>
      </c>
      <c r="D26" s="26">
        <f t="shared" ref="D26:D136" si="7">ROUND(C26/365.25,1)</f>
        <v>0</v>
      </c>
      <c r="E26" s="28">
        <v>1.0</v>
      </c>
      <c r="F26" s="28">
        <v>0.0</v>
      </c>
      <c r="G26" s="28">
        <v>0.0</v>
      </c>
      <c r="H26" s="28">
        <v>0.0</v>
      </c>
      <c r="I26" s="28">
        <v>0.0</v>
      </c>
      <c r="J26" s="28">
        <v>0.0</v>
      </c>
      <c r="K26" s="28">
        <v>0.0</v>
      </c>
      <c r="L26" s="28">
        <v>0.0</v>
      </c>
      <c r="M26" s="28">
        <v>0.0</v>
      </c>
      <c r="N26" s="28">
        <v>0.0</v>
      </c>
      <c r="O26" s="28">
        <v>0.0</v>
      </c>
      <c r="P26" s="28">
        <v>0.0</v>
      </c>
      <c r="R26">
        <f>SUM(E26:Q26)</f>
        <v>1</v>
      </c>
      <c r="S26" s="30">
        <f t="shared" ref="S26:S136" si="8">E26*S$25</f>
        <v>10244.05</v>
      </c>
      <c r="T26" s="30">
        <f t="shared" ref="T26:AD26" si="5">F26*T$25*($C26-$C25)</f>
        <v>0</v>
      </c>
      <c r="U26" s="30">
        <f t="shared" si="5"/>
        <v>0</v>
      </c>
      <c r="V26" s="30">
        <f t="shared" si="5"/>
        <v>0</v>
      </c>
      <c r="W26" s="30">
        <f t="shared" si="5"/>
        <v>0</v>
      </c>
      <c r="X26" s="30">
        <f t="shared" si="5"/>
        <v>0</v>
      </c>
      <c r="Y26" s="30">
        <f t="shared" si="5"/>
        <v>0</v>
      </c>
      <c r="Z26" s="30">
        <f t="shared" si="5"/>
        <v>0</v>
      </c>
      <c r="AA26" s="30">
        <f t="shared" si="5"/>
        <v>0</v>
      </c>
      <c r="AB26" s="30">
        <f t="shared" si="5"/>
        <v>0</v>
      </c>
      <c r="AC26" s="30">
        <f t="shared" si="5"/>
        <v>0</v>
      </c>
      <c r="AD26" s="30">
        <f t="shared" si="5"/>
        <v>0</v>
      </c>
      <c r="AE26" s="6"/>
      <c r="AF26" s="30">
        <f t="shared" ref="AF26:AF136" si="11">SUM(L26:P26)-M26</f>
        <v>0</v>
      </c>
      <c r="AG26" s="30">
        <f>E26</f>
        <v>1</v>
      </c>
      <c r="AH26" s="30">
        <f t="shared" ref="AH26:AH136" si="12">IF(AG26+AF26&gt;1,
IF(AG26-AF26&lt;0,AG26,AG26-AF26),AG26)</f>
        <v>1</v>
      </c>
      <c r="AI26" s="30">
        <f t="shared" ref="AI26:AI136" si="13">AH26*AI$25</f>
        <v>1.135416667</v>
      </c>
      <c r="AJ26" s="30">
        <f>(AH26*(i_Adv_Fals/i_Adv_Alar))*AJ$25</f>
        <v>1.890449</v>
      </c>
      <c r="AK26" s="30">
        <f>(AH26*(i_Adv_Lead/i_Adv_Alar))*AK$25</f>
        <v>0.3948895</v>
      </c>
      <c r="AL26" s="30">
        <v>0.0</v>
      </c>
      <c r="AM26" s="30">
        <v>1.0</v>
      </c>
      <c r="AN26" s="6">
        <v>1.0</v>
      </c>
      <c r="AO26" s="30">
        <f>SUM(OFFSET($S$26,93,0,2,12))+SUM(OFFSET($AI$26,93,0,2,3))</f>
        <v>350.1718116</v>
      </c>
      <c r="AP26" s="6">
        <v>1.0</v>
      </c>
      <c r="AQ26" s="85">
        <f>AO26*i_Set_CABG*POWER((1-(i_Set_Cost/100)),ROUNDDOWN($AN26-1,0))</f>
        <v>70034.36233</v>
      </c>
      <c r="AR26" s="85">
        <f>$AO26*i_Set_CABG*POWER((1-(i_Set_Cost/100)),ROUNDDOWN($AN26+0.5,0))</f>
        <v>67583.15965</v>
      </c>
      <c r="AS26" s="85">
        <f>$AO26*i_Set_CABG*POWER((1-(i_Set_Cost/100)),ROUNDDOWN($AN26+1.5,0))</f>
        <v>65217.74906</v>
      </c>
      <c r="AT26" s="85">
        <f>$AO26*i_Set_CABG*POWER((1-(i_Set_Cost/100)),ROUNDDOWN($AN26+2.5,0))</f>
        <v>62935.12784</v>
      </c>
      <c r="AU26" s="85">
        <f>$AO26*i_Set_CABG*POWER((1-(i_Set_Cost/100)),ROUNDDOWN($AN26+3.5,0))</f>
        <v>60732.39837</v>
      </c>
    </row>
    <row r="27" ht="14.25" customHeight="1">
      <c r="B27" s="26">
        <f t="shared" ref="B27:C27" si="6">B26+1</f>
        <v>1</v>
      </c>
      <c r="C27" s="26">
        <f t="shared" si="6"/>
        <v>1</v>
      </c>
      <c r="D27" s="26">
        <f t="shared" si="7"/>
        <v>0</v>
      </c>
      <c r="E27" s="28">
        <f t="shared" ref="E27:E117" si="15">SUMPRODUCT($E26:$P26,$H$9:$S$9)</f>
        <v>0</v>
      </c>
      <c r="F27" s="28">
        <f t="shared" ref="F27:F117" si="16">SUMPRODUCT($E26:$P26,$H$10:$S$10)</f>
        <v>0.8838155416</v>
      </c>
      <c r="G27" s="28">
        <f t="shared" ref="G27:G117" si="17">SUMPRODUCT($E26:$P26,$H$11:$S$11)</f>
        <v>0.1098525527</v>
      </c>
      <c r="H27" s="28">
        <f t="shared" ref="H27:H117" si="18">SUMPRODUCT($E26:$P26,$H$12:$S$12)</f>
        <v>0</v>
      </c>
      <c r="I27" s="28">
        <f t="shared" ref="I27:I117" si="19">SUMPRODUCT($E26:$P26,$H$13:$S$13)</f>
        <v>0</v>
      </c>
      <c r="J27" s="28">
        <f t="shared" ref="J27:J117" si="20">SUMPRODUCT($E26:$P26,$H$14:$S$14)</f>
        <v>0</v>
      </c>
      <c r="K27" s="28">
        <f t="shared" ref="K27:K117" si="21">SUMPRODUCT($E26:$P26,$H$15:$S$15)</f>
        <v>0</v>
      </c>
      <c r="L27" s="28">
        <f t="shared" ref="L27:L117" si="22">SUMPRODUCT($E26:$P26,$H$16:$S$16)</f>
        <v>0</v>
      </c>
      <c r="M27" s="28">
        <f t="shared" ref="M27:M117" si="23">SUMPRODUCT($E26:$P26,$H$17:$S$17)</f>
        <v>0</v>
      </c>
      <c r="N27" s="28">
        <f t="shared" ref="N27:N117" si="24">SUMPRODUCT($E26:$P26,$H$18:$S$18)</f>
        <v>0</v>
      </c>
      <c r="O27" s="28">
        <f t="shared" ref="O27:O117" si="25">SUMPRODUCT($E26:$P26,$H$19:$S$19)</f>
        <v>0</v>
      </c>
      <c r="P27" s="28">
        <f t="shared" ref="P27:P117" si="26">SUMPRODUCT($E26:$P26,$H$20:$S$20)</f>
        <v>0.006331905776</v>
      </c>
      <c r="R27" s="26">
        <f t="shared" ref="R27:R136" si="27">SUM(E27:P27)</f>
        <v>1</v>
      </c>
      <c r="S27" s="30">
        <f t="shared" si="8"/>
        <v>0</v>
      </c>
      <c r="T27" s="30">
        <f t="shared" ref="T27:U27" si="9">((F26+F27)/2)*T$25*($C27-$C26)</f>
        <v>1454.437789</v>
      </c>
      <c r="U27" s="30">
        <f t="shared" si="9"/>
        <v>180.7772055</v>
      </c>
      <c r="V27" s="30">
        <f t="shared" ref="V27:V136" si="29">((H27+H26)/2)*V$25*($C27-$C26)</f>
        <v>0</v>
      </c>
      <c r="W27" s="30">
        <f t="shared" ref="W27:X27" si="10">((I26+I27)/2)*W$25*($C27-$C26)</f>
        <v>0</v>
      </c>
      <c r="X27" s="30">
        <f t="shared" si="10"/>
        <v>0</v>
      </c>
      <c r="Y27" s="30">
        <f t="shared" ref="Y27:Y136" si="31">((K27+K26)/2)*Y$25*($C27-$C26)</f>
        <v>0</v>
      </c>
      <c r="Z27" s="30">
        <f>(L27-OFFSET(L27,-IF(C27-C26&gt;i_Cos_Days,1,MIN(B27,i_Cos_Days)),0))*MIN(i_Cos_Days,($C27-$C26))</f>
        <v>0</v>
      </c>
      <c r="AA27" s="30">
        <f t="shared" ref="AA27:AA136" si="32">((M26+M27)/2)*AA$25*($C27-$C26)</f>
        <v>0</v>
      </c>
      <c r="AB27" s="30">
        <f t="shared" ref="AB27:AB117" si="33">(N27-(N26*$Q$18))*AB$25</f>
        <v>0</v>
      </c>
      <c r="AC27" s="30">
        <f t="shared" ref="AC27:AC117" si="34">(O27-(O26*$R$19))*AC$25</f>
        <v>0</v>
      </c>
      <c r="AD27" s="30">
        <f t="shared" ref="AD27:AD136" si="35">((P27-P26)*AD$25)</f>
        <v>0</v>
      </c>
      <c r="AE27" s="6"/>
      <c r="AF27" s="30">
        <f t="shared" si="11"/>
        <v>0.006331905776</v>
      </c>
      <c r="AG27" s="30" t="str">
        <f>MIN(1,SUM(OFFSET(E27,0,0,-i_Eve_ECG,1)))</f>
        <v>#VALUE!</v>
      </c>
      <c r="AH27" s="30" t="str">
        <f t="shared" si="12"/>
        <v>#VALUE!</v>
      </c>
      <c r="AI27" s="30" t="str">
        <f t="shared" si="13"/>
        <v>#VALUE!</v>
      </c>
      <c r="AJ27" s="30" t="str">
        <f>(AH27*(i_Adv_Fals/i_Adv_Alar))*AJ$25</f>
        <v>#VALUE!</v>
      </c>
      <c r="AK27" s="30" t="str">
        <f>(AH27*(i_Adv_Lead/i_Adv_Alar))*AK$25</f>
        <v>#VALUE!</v>
      </c>
      <c r="AL27" s="30">
        <f>((SUM(F26:J26)-((I26+J26)*(1-i_Bac_ICU)))+(SUM(F27:J27)-((I27+J27)*(1-i_Bac_ICU))))/2*(C27-C26)</f>
        <v>0.4968340471</v>
      </c>
      <c r="AM27" s="30">
        <f>(((I26+J26)*(1-i_Bac_ICU))+((I27+J27)*(1-i_Bac_ICU))+K26+E26+E27+K27)/2*(C27-C26)</f>
        <v>0.5</v>
      </c>
      <c r="AN27" s="6">
        <v>2.0</v>
      </c>
      <c r="AO27" s="30">
        <f>SUM(OFFSET($S$26,95,0,4,12))+SUM(OFFSET($AI$26,95,0,4,3))</f>
        <v>301.4644789</v>
      </c>
      <c r="AP27" s="6">
        <v>2.0</v>
      </c>
      <c r="AQ27" s="85">
        <f>AO27*i_Set_CABG*POWER((1-(i_Set_Cost/100)),ROUNDDOWN($AN27-1,0))</f>
        <v>58182.64443</v>
      </c>
      <c r="AR27" s="85">
        <f>$AO27*i_Set_CABG*POWER((1-(i_Set_Cost/100)),ROUNDDOWN($AN27+0.5,0))</f>
        <v>56146.25188</v>
      </c>
      <c r="AS27" s="85">
        <f>$AO27*i_Set_CABG*POWER((1-(i_Set_Cost/100)),ROUNDDOWN($AN27+1.5,0))</f>
        <v>54181.13306</v>
      </c>
      <c r="AT27" s="85">
        <f>$AO27*i_Set_CABG*POWER((1-(i_Set_Cost/100)),ROUNDDOWN($AN27+2.5,0))</f>
        <v>52284.7934</v>
      </c>
      <c r="AU27" s="84">
        <v>0.0</v>
      </c>
    </row>
    <row r="28" ht="14.25" customHeight="1">
      <c r="B28" s="26">
        <f t="shared" ref="B28:C28" si="14">B27+1</f>
        <v>2</v>
      </c>
      <c r="C28" s="26">
        <f t="shared" si="14"/>
        <v>2</v>
      </c>
      <c r="D28" s="26">
        <f t="shared" si="7"/>
        <v>0</v>
      </c>
      <c r="E28" s="28">
        <f t="shared" si="15"/>
        <v>0.0001395343776</v>
      </c>
      <c r="F28" s="28">
        <f t="shared" si="16"/>
        <v>0.004782122608</v>
      </c>
      <c r="G28" s="28">
        <f t="shared" si="17"/>
        <v>0.0672112849</v>
      </c>
      <c r="H28" s="28">
        <f t="shared" si="18"/>
        <v>0.9171145153</v>
      </c>
      <c r="I28" s="28">
        <f t="shared" si="19"/>
        <v>0.001185122722</v>
      </c>
      <c r="J28" s="28">
        <f t="shared" si="20"/>
        <v>0.001065592879</v>
      </c>
      <c r="K28" s="28">
        <f t="shared" si="21"/>
        <v>0</v>
      </c>
      <c r="L28" s="28">
        <f t="shared" si="22"/>
        <v>0</v>
      </c>
      <c r="M28" s="28">
        <f t="shared" si="23"/>
        <v>0</v>
      </c>
      <c r="N28" s="28">
        <f t="shared" si="24"/>
        <v>0</v>
      </c>
      <c r="O28" s="28">
        <f t="shared" si="25"/>
        <v>0</v>
      </c>
      <c r="P28" s="28">
        <f t="shared" si="26"/>
        <v>0.008501827237</v>
      </c>
      <c r="R28" s="26">
        <f t="shared" si="27"/>
        <v>1</v>
      </c>
      <c r="S28" s="30">
        <f t="shared" si="8"/>
        <v>1.429397141</v>
      </c>
      <c r="T28" s="30">
        <f t="shared" ref="T28:U28" si="28">((F27+F28)/2)*T$25*($C28-$C27)</f>
        <v>1462.307417</v>
      </c>
      <c r="U28" s="30">
        <f t="shared" si="28"/>
        <v>291.3824483</v>
      </c>
      <c r="V28" s="30">
        <f t="shared" si="29"/>
        <v>1162.681098</v>
      </c>
      <c r="W28" s="30">
        <f t="shared" ref="W28:X28" si="30">((I27+I28)/2)*W$25*($C28-$C27)</f>
        <v>1.322709846</v>
      </c>
      <c r="X28" s="30">
        <f t="shared" si="30"/>
        <v>1.189303156</v>
      </c>
      <c r="Y28" s="30">
        <f t="shared" si="31"/>
        <v>0</v>
      </c>
      <c r="Z28" s="30">
        <f>(L28-OFFSET(L28,-IF(C28-C27&gt;i_Cos_Days,1,MIN(B28,i_Cos_Days)),0))*MIN(i_Cos_Days,($C28-$C27))</f>
        <v>0</v>
      </c>
      <c r="AA28" s="30">
        <f t="shared" si="32"/>
        <v>0</v>
      </c>
      <c r="AB28" s="30">
        <f t="shared" si="33"/>
        <v>0</v>
      </c>
      <c r="AC28" s="30">
        <f t="shared" si="34"/>
        <v>0</v>
      </c>
      <c r="AD28" s="30">
        <f t="shared" si="35"/>
        <v>0</v>
      </c>
      <c r="AE28" s="6"/>
      <c r="AF28" s="30">
        <f t="shared" si="11"/>
        <v>0.008501827237</v>
      </c>
      <c r="AG28" s="30" t="str">
        <f>MIN(1,SUM(OFFSET(E28,0,0,-i_Eve_ECG,1)))</f>
        <v>#VALUE!</v>
      </c>
      <c r="AH28" s="30" t="str">
        <f t="shared" si="12"/>
        <v>#VALUE!</v>
      </c>
      <c r="AI28" s="30" t="str">
        <f t="shared" si="13"/>
        <v>#VALUE!</v>
      </c>
      <c r="AJ28" s="30" t="str">
        <f>(AH28*(i_Adv_Fals/i_Adv_Alar))*AJ$25</f>
        <v>#VALUE!</v>
      </c>
      <c r="AK28" s="30" t="str">
        <f>(AH28*(i_Adv_Lead/i_Adv_Alar))*AK$25</f>
        <v>#VALUE!</v>
      </c>
      <c r="AL28" s="30">
        <f>((SUM(F27:J27)-((I27+J27)*(1-i_Bac_ICU)))+(SUM(F28:J28)-((I28+J28)*(1-i_Bac_ICU))))/2*(C28-C27)</f>
        <v>0.9915931676</v>
      </c>
      <c r="AM28" s="30">
        <f>(((I27+J27)*(1-i_Bac_ICU))+((I28+J28)*(1-i_Bac_ICU))+K27+E27+E28+K28)/2*(C28-C27)</f>
        <v>0.0009899659264</v>
      </c>
      <c r="AN28" s="6">
        <v>3.0</v>
      </c>
      <c r="AO28" s="30">
        <f>SUM(OFFSET($S$26,99,0,4,12))+SUM(OFFSET($AI$26,99,0,4,3))</f>
        <v>292.2737019</v>
      </c>
      <c r="AP28" s="6">
        <v>3.0</v>
      </c>
      <c r="AQ28" s="85">
        <f>AO28*i_Set_CABG*POWER((1-(i_Set_Cost/100)),ROUNDDOWN($AN28-1,0))</f>
        <v>54434.51562</v>
      </c>
      <c r="AR28" s="85">
        <f>$AO28*i_Set_CABG*POWER((1-(i_Set_Cost/100)),ROUNDDOWN($AN28+0.5,0))</f>
        <v>52529.30757</v>
      </c>
      <c r="AS28" s="85">
        <f>$AO28*i_Set_CABG*POWER((1-(i_Set_Cost/100)),ROUNDDOWN($AN28+1.5,0))</f>
        <v>50690.78181</v>
      </c>
      <c r="AT28" s="84">
        <v>0.0</v>
      </c>
      <c r="AU28" s="84">
        <v>0.0</v>
      </c>
    </row>
    <row r="29" ht="14.25" customHeight="1">
      <c r="B29" s="26">
        <f t="shared" ref="B29:C29" si="36">B28+1</f>
        <v>3</v>
      </c>
      <c r="C29" s="26">
        <f t="shared" si="36"/>
        <v>3</v>
      </c>
      <c r="D29" s="26">
        <f t="shared" si="7"/>
        <v>0</v>
      </c>
      <c r="E29" s="28">
        <f t="shared" si="15"/>
        <v>0.0001392100756</v>
      </c>
      <c r="F29" s="28">
        <f t="shared" si="16"/>
        <v>0.000149197617</v>
      </c>
      <c r="G29" s="28">
        <f t="shared" si="17"/>
        <v>0.04113732954</v>
      </c>
      <c r="H29" s="28">
        <f t="shared" si="18"/>
        <v>0.07001701584</v>
      </c>
      <c r="I29" s="28">
        <f t="shared" si="19"/>
        <v>0.00229442473</v>
      </c>
      <c r="J29" s="28">
        <f t="shared" si="20"/>
        <v>0.002091519612</v>
      </c>
      <c r="K29" s="28">
        <f t="shared" si="21"/>
        <v>0.8735037136</v>
      </c>
      <c r="L29" s="28">
        <f t="shared" si="22"/>
        <v>0</v>
      </c>
      <c r="M29" s="28">
        <f t="shared" si="23"/>
        <v>0</v>
      </c>
      <c r="N29" s="28">
        <f t="shared" si="24"/>
        <v>0</v>
      </c>
      <c r="O29" s="28">
        <f t="shared" si="25"/>
        <v>0</v>
      </c>
      <c r="P29" s="28">
        <f t="shared" si="26"/>
        <v>0.01066758894</v>
      </c>
      <c r="R29" s="26">
        <f t="shared" si="27"/>
        <v>1</v>
      </c>
      <c r="S29" s="30">
        <f t="shared" si="8"/>
        <v>1.426074975</v>
      </c>
      <c r="T29" s="30">
        <f t="shared" ref="T29:U29" si="37">((F28+F29)/2)*T$25*($C29-$C28)</f>
        <v>8.115153158</v>
      </c>
      <c r="U29" s="30">
        <f t="shared" si="37"/>
        <v>178.3022721</v>
      </c>
      <c r="V29" s="30">
        <f t="shared" si="29"/>
        <v>1251.44587</v>
      </c>
      <c r="W29" s="30">
        <f t="shared" ref="W29:X29" si="38">((I28+I29)/2)*W$25*($C29-$C28)</f>
        <v>3.8835064</v>
      </c>
      <c r="X29" s="30">
        <f t="shared" si="38"/>
        <v>3.52363827</v>
      </c>
      <c r="Y29" s="30">
        <f t="shared" si="31"/>
        <v>1029.555152</v>
      </c>
      <c r="Z29" s="30">
        <f>(L29-OFFSET(L29,-IF(C29-C28&gt;i_Cos_Days,1,MIN(B29,i_Cos_Days)),0))*MIN(i_Cos_Days,($C29-$C28))</f>
        <v>0</v>
      </c>
      <c r="AA29" s="30">
        <f t="shared" si="32"/>
        <v>0</v>
      </c>
      <c r="AB29" s="30">
        <f t="shared" si="33"/>
        <v>0</v>
      </c>
      <c r="AC29" s="30">
        <f t="shared" si="34"/>
        <v>0</v>
      </c>
      <c r="AD29" s="30">
        <f t="shared" si="35"/>
        <v>0</v>
      </c>
      <c r="AE29" s="6"/>
      <c r="AF29" s="30">
        <f t="shared" si="11"/>
        <v>0.01066758894</v>
      </c>
      <c r="AG29" s="30" t="str">
        <f>MIN(1,SUM(OFFSET(E29,0,0,-i_Eve_ECG,1)))</f>
        <v>#VALUE!</v>
      </c>
      <c r="AH29" s="30" t="str">
        <f t="shared" si="12"/>
        <v>#VALUE!</v>
      </c>
      <c r="AI29" s="30" t="str">
        <f t="shared" si="13"/>
        <v>#VALUE!</v>
      </c>
      <c r="AJ29" s="30" t="str">
        <f>(AH29*(i_Adv_Fals/i_Adv_Alar))*AJ$25</f>
        <v>#VALUE!</v>
      </c>
      <c r="AK29" s="30" t="str">
        <f>(AH29*(i_Adv_Lead/i_Adv_Alar))*AK$25</f>
        <v>#VALUE!</v>
      </c>
      <c r="AL29" s="30">
        <f>((SUM(F28:J28)-((I28+J28)*(1-i_Bac_ICU)))+(SUM(F29:J29)-((I29+J29)*(1-i_Bac_ICU))))/2*(C29-C28)</f>
        <v>0.5508106831</v>
      </c>
      <c r="AM29" s="30">
        <f>(((I28+J28)*(1-i_Bac_ICU))+((I29+J29)*(1-i_Bac_ICU))+K28+E28+E29+K29)/2*(C29-C28)</f>
        <v>0.4396046088</v>
      </c>
      <c r="AN29" s="6">
        <v>4.0</v>
      </c>
      <c r="AO29" s="30">
        <f>SUM(OFFSET($S$26,103,0,4,12))+SUM(OFFSET($AI$26,103,0,4,3))</f>
        <v>284.1068904</v>
      </c>
      <c r="AP29" s="6">
        <v>4.0</v>
      </c>
      <c r="AQ29" s="85">
        <f>AO29*i_Set_CABG*POWER((1-(i_Set_Cost/100)),ROUNDDOWN($AN29-1,0))</f>
        <v>51061.51573</v>
      </c>
      <c r="AR29" s="85">
        <f>$AO29*i_Set_CABG*POWER((1-(i_Set_Cost/100)),ROUNDDOWN($AN29+0.5,0))</f>
        <v>49274.36268</v>
      </c>
      <c r="AS29" s="84">
        <v>0.0</v>
      </c>
      <c r="AT29" s="84">
        <v>0.0</v>
      </c>
      <c r="AU29" s="84">
        <v>0.0</v>
      </c>
    </row>
    <row r="30" ht="14.25" customHeight="1">
      <c r="B30" s="26">
        <f t="shared" ref="B30:C30" si="39">B29+1</f>
        <v>4</v>
      </c>
      <c r="C30" s="26">
        <f t="shared" si="39"/>
        <v>4</v>
      </c>
      <c r="D30" s="26">
        <f t="shared" si="7"/>
        <v>0</v>
      </c>
      <c r="E30" s="28">
        <f t="shared" si="15"/>
        <v>0.0001389059973</v>
      </c>
      <c r="F30" s="28">
        <f t="shared" si="16"/>
        <v>0.0001238433024</v>
      </c>
      <c r="G30" s="28">
        <f t="shared" si="17"/>
        <v>0.02518441891</v>
      </c>
      <c r="H30" s="28">
        <f t="shared" si="18"/>
        <v>0.01903623502</v>
      </c>
      <c r="I30" s="28">
        <f t="shared" si="19"/>
        <v>0.003332718361</v>
      </c>
      <c r="J30" s="28">
        <f t="shared" si="20"/>
        <v>0.003079353004</v>
      </c>
      <c r="K30" s="28">
        <f t="shared" si="21"/>
        <v>0.7916146159</v>
      </c>
      <c r="L30" s="28">
        <f t="shared" si="22"/>
        <v>0.1077726608</v>
      </c>
      <c r="M30" s="28">
        <f t="shared" si="23"/>
        <v>0.03688862886</v>
      </c>
      <c r="N30" s="28">
        <f t="shared" si="24"/>
        <v>0</v>
      </c>
      <c r="O30" s="28">
        <f t="shared" si="25"/>
        <v>0</v>
      </c>
      <c r="P30" s="28">
        <f t="shared" si="26"/>
        <v>0.01282861983</v>
      </c>
      <c r="R30" s="26">
        <f t="shared" si="27"/>
        <v>1</v>
      </c>
      <c r="S30" s="30">
        <f t="shared" si="8"/>
        <v>1.422959981</v>
      </c>
      <c r="T30" s="30">
        <f t="shared" ref="T30:U30" si="40">((F29+F30)/2)*T$25*($C30-$C29)</f>
        <v>0.4493256933</v>
      </c>
      <c r="U30" s="30">
        <f t="shared" si="40"/>
        <v>109.1413905</v>
      </c>
      <c r="V30" s="30">
        <f t="shared" si="29"/>
        <v>112.8981493</v>
      </c>
      <c r="W30" s="30">
        <f t="shared" ref="W30:X30" si="41">((I29+I30)/2)*W$25*($C30-$C29)</f>
        <v>6.280427702</v>
      </c>
      <c r="X30" s="30">
        <f t="shared" si="41"/>
        <v>5.77118639</v>
      </c>
      <c r="Y30" s="30">
        <f t="shared" si="31"/>
        <v>1962.591719</v>
      </c>
      <c r="Z30" s="30">
        <f>(L30-OFFSET(L30,-IF(C30-C29&gt;i_Cos_Days,1,MIN(B30,i_Cos_Days)),0))*MIN(i_Cos_Days,($C30-$C29))</f>
        <v>0</v>
      </c>
      <c r="AA30" s="30">
        <f t="shared" si="32"/>
        <v>7.754543115</v>
      </c>
      <c r="AB30" s="30">
        <f t="shared" si="33"/>
        <v>0</v>
      </c>
      <c r="AC30" s="30">
        <f t="shared" si="34"/>
        <v>0</v>
      </c>
      <c r="AD30" s="30">
        <f t="shared" si="35"/>
        <v>0</v>
      </c>
      <c r="AE30" s="6"/>
      <c r="AF30" s="30">
        <f t="shared" si="11"/>
        <v>0.1206012806</v>
      </c>
      <c r="AG30" s="30" t="str">
        <f>MIN(1,SUM(OFFSET(E30,0,0,-i_Eve_ECG,1)))</f>
        <v>#VALUE!</v>
      </c>
      <c r="AH30" s="30" t="str">
        <f t="shared" si="12"/>
        <v>#VALUE!</v>
      </c>
      <c r="AI30" s="30" t="str">
        <f t="shared" si="13"/>
        <v>#VALUE!</v>
      </c>
      <c r="AJ30" s="30" t="str">
        <f>(AH30*(i_Adv_Fals/i_Adv_Alar))*AJ$25</f>
        <v>#VALUE!</v>
      </c>
      <c r="AK30" s="30" t="str">
        <f>(AH30*(i_Adv_Lead/i_Adv_Alar))*AK$25</f>
        <v>#VALUE!</v>
      </c>
      <c r="AL30" s="30">
        <f>((SUM(F29:J29)-((I29+J29)*(1-i_Bac_ICU)))+(SUM(F30:J30)-((I30+J30)*(1-i_Bac_ICU))))/2*(C30-C29)</f>
        <v>0.07880828965</v>
      </c>
      <c r="AM30" s="30">
        <f>(((I29+J29)*(1-i_Bac_ICU))+((I30+J30)*(1-i_Bac_ICU))+K29+E29+E30+K30)/2*(C30-C29)</f>
        <v>0.8371129611</v>
      </c>
      <c r="AN30" s="6">
        <v>5.0</v>
      </c>
      <c r="AO30" s="30">
        <f>SUM(OFFSET($S$26,107,0,4,12))+SUM(OFFSET($AI$26,107,0,4,3))</f>
        <v>276.1682788</v>
      </c>
      <c r="AP30" s="6">
        <v>5.0</v>
      </c>
      <c r="AQ30" s="85">
        <f>AO30*i_Set_CABG*POWER((1-(i_Set_Cost/100)),ROUNDDOWN($AN30-1,0))</f>
        <v>47897.52164</v>
      </c>
      <c r="AR30" s="84">
        <v>0.0</v>
      </c>
      <c r="AS30" s="84">
        <v>0.0</v>
      </c>
      <c r="AT30" s="84">
        <v>0.0</v>
      </c>
      <c r="AU30" s="84">
        <v>0.0</v>
      </c>
    </row>
    <row r="31" ht="14.25" customHeight="1">
      <c r="B31" s="26">
        <f t="shared" ref="B31:C31" si="42">B30+1</f>
        <v>5</v>
      </c>
      <c r="C31" s="26">
        <f t="shared" si="42"/>
        <v>5</v>
      </c>
      <c r="D31" s="26">
        <f t="shared" si="7"/>
        <v>0</v>
      </c>
      <c r="E31" s="28">
        <f t="shared" si="15"/>
        <v>0.0001386025804</v>
      </c>
      <c r="F31" s="28">
        <f t="shared" si="16"/>
        <v>0.0001234373668</v>
      </c>
      <c r="G31" s="28">
        <f t="shared" si="17"/>
        <v>0.0154238875</v>
      </c>
      <c r="H31" s="28">
        <f t="shared" si="18"/>
        <v>0.01074346628</v>
      </c>
      <c r="I31" s="28">
        <f t="shared" si="19"/>
        <v>0.004131822542</v>
      </c>
      <c r="J31" s="28">
        <f t="shared" si="20"/>
        <v>0.003875325967</v>
      </c>
      <c r="K31" s="28">
        <f t="shared" si="21"/>
        <v>0.6751538513</v>
      </c>
      <c r="L31" s="28">
        <f t="shared" si="22"/>
        <v>0.2067276119</v>
      </c>
      <c r="M31" s="28">
        <f t="shared" si="23"/>
        <v>0.0689252289</v>
      </c>
      <c r="N31" s="28">
        <f t="shared" si="24"/>
        <v>0.00003642746516</v>
      </c>
      <c r="O31" s="86">
        <f t="shared" si="25"/>
        <v>0.00004058227366</v>
      </c>
      <c r="P31" s="28">
        <f t="shared" si="26"/>
        <v>0.01467975591</v>
      </c>
      <c r="R31" s="26">
        <f t="shared" si="27"/>
        <v>1</v>
      </c>
      <c r="S31" s="30">
        <f t="shared" si="8"/>
        <v>1.419851764</v>
      </c>
      <c r="T31" s="30">
        <f t="shared" ref="T31:U31" si="43">((F30+F31)/2)*T$25*($C31-$C30)</f>
        <v>0.4069337241</v>
      </c>
      <c r="U31" s="30">
        <f t="shared" si="43"/>
        <v>66.82645033</v>
      </c>
      <c r="V31" s="30">
        <f t="shared" si="29"/>
        <v>37.75351412</v>
      </c>
      <c r="W31" s="30">
        <f t="shared" ref="W31:X31" si="44">((I30+I31)/2)*W$25*($C31-$C30)</f>
        <v>8.331138681</v>
      </c>
      <c r="X31" s="30">
        <f t="shared" si="44"/>
        <v>7.762084198</v>
      </c>
      <c r="Y31" s="30">
        <f t="shared" si="31"/>
        <v>1728.806654</v>
      </c>
      <c r="Z31" s="30">
        <f>(L31-OFFSET(L31,-IF(C31-C30&gt;i_Cos_Days,1,MIN(B31,i_Cos_Days)),0))*MIN(i_Cos_Days,($C31-$C30))</f>
        <v>0</v>
      </c>
      <c r="AA31" s="30">
        <f t="shared" si="32"/>
        <v>22.24366011</v>
      </c>
      <c r="AB31" s="30">
        <f t="shared" si="33"/>
        <v>0.8591716363</v>
      </c>
      <c r="AC31" s="87">
        <f t="shared" si="34"/>
        <v>0.1048077799</v>
      </c>
      <c r="AD31" s="30">
        <f t="shared" si="35"/>
        <v>0</v>
      </c>
      <c r="AE31" s="6"/>
      <c r="AF31" s="30">
        <f t="shared" si="11"/>
        <v>0.2214843776</v>
      </c>
      <c r="AG31" s="30" t="str">
        <f>MIN(1,SUM(OFFSET(E31,0,0,-i_Eve_ECG,1)))</f>
        <v>#VALUE!</v>
      </c>
      <c r="AH31" s="30" t="str">
        <f t="shared" si="12"/>
        <v>#VALUE!</v>
      </c>
      <c r="AI31" s="30" t="str">
        <f t="shared" si="13"/>
        <v>#VALUE!</v>
      </c>
      <c r="AJ31" s="30" t="str">
        <f>(AH31*(i_Adv_Fals/i_Adv_Alar))*AJ$25</f>
        <v>#VALUE!</v>
      </c>
      <c r="AK31" s="30" t="str">
        <f>(AH31*(i_Adv_Lead/i_Adv_Alar))*AK$25</f>
        <v>#VALUE!</v>
      </c>
      <c r="AL31" s="30">
        <f>((SUM(F30:J30)-((I30+J30)*(1-i_Bac_ICU)))+(SUM(F31:J31)-((I31+J31)*(1-i_Bac_ICU))))/2*(C31-C30)</f>
        <v>0.03663199667</v>
      </c>
      <c r="AM31" s="30">
        <f>(((I30+J30)*(1-i_Bac_ICU))+((I31+J31)*(1-i_Bac_ICU))+K30+E30+E31+K31)/2*(C31-C30)</f>
        <v>0.7394182453</v>
      </c>
      <c r="AN31" s="6"/>
      <c r="AO31" s="6"/>
      <c r="AP31" s="6"/>
      <c r="AQ31" s="6"/>
      <c r="AR31" s="6"/>
      <c r="AS31" s="6"/>
      <c r="AT31" s="6"/>
      <c r="AU31" s="6"/>
    </row>
    <row r="32" ht="14.25" customHeight="1">
      <c r="B32" s="26">
        <f t="shared" ref="B32:C32" si="45">B31+1</f>
        <v>6</v>
      </c>
      <c r="C32" s="26">
        <f t="shared" si="45"/>
        <v>6</v>
      </c>
      <c r="D32" s="26">
        <f t="shared" si="7"/>
        <v>0</v>
      </c>
      <c r="E32" s="28">
        <f t="shared" si="15"/>
        <v>0.000138331866</v>
      </c>
      <c r="F32" s="28">
        <f t="shared" si="16"/>
        <v>0.0001231670059</v>
      </c>
      <c r="G32" s="28">
        <f t="shared" si="17"/>
        <v>0.009452050682</v>
      </c>
      <c r="H32" s="28">
        <f t="shared" si="18"/>
        <v>0.00667725947</v>
      </c>
      <c r="I32" s="28">
        <f t="shared" si="19"/>
        <v>0.004723037633</v>
      </c>
      <c r="J32" s="28">
        <f t="shared" si="20"/>
        <v>0.004501071104</v>
      </c>
      <c r="K32" s="28">
        <f t="shared" si="21"/>
        <v>0.57065155</v>
      </c>
      <c r="L32" s="28">
        <f t="shared" si="22"/>
        <v>0.2924296957</v>
      </c>
      <c r="M32" s="28">
        <f t="shared" si="23"/>
        <v>0.09483396337</v>
      </c>
      <c r="N32" s="28">
        <f t="shared" si="24"/>
        <v>0.0001043196769</v>
      </c>
      <c r="O32" s="28">
        <f t="shared" si="25"/>
        <v>0.0001152045933</v>
      </c>
      <c r="P32" s="28">
        <f t="shared" si="26"/>
        <v>0.01625034886</v>
      </c>
      <c r="R32" s="26">
        <f t="shared" si="27"/>
        <v>1</v>
      </c>
      <c r="S32" s="30">
        <f t="shared" si="8"/>
        <v>1.417078552</v>
      </c>
      <c r="T32" s="30">
        <f t="shared" ref="T32:U32" si="46">((F31+F32)/2)*T$25*($C32-$C31)</f>
        <v>0.4058207869</v>
      </c>
      <c r="U32" s="30">
        <f t="shared" si="46"/>
        <v>40.93671453</v>
      </c>
      <c r="V32" s="30">
        <f t="shared" si="29"/>
        <v>22.08529927</v>
      </c>
      <c r="W32" s="30">
        <f t="shared" ref="W32:X32" si="47">((I31+I32)/2)*W$25*($C32-$C31)</f>
        <v>9.882867423</v>
      </c>
      <c r="X32" s="30">
        <f t="shared" si="47"/>
        <v>9.348857023</v>
      </c>
      <c r="Y32" s="30">
        <f t="shared" si="31"/>
        <v>1468.368536</v>
      </c>
      <c r="Z32" s="30">
        <f>(L32-OFFSET(L32,-IF(C32-C31&gt;i_Cos_Days,1,MIN(B32,i_Cos_Days)),0))*MIN(i_Cos_Days,($C32-$C31))</f>
        <v>0</v>
      </c>
      <c r="AA32" s="30">
        <f t="shared" si="32"/>
        <v>34.4246386</v>
      </c>
      <c r="AB32" s="30">
        <f t="shared" si="33"/>
        <v>1.637156028</v>
      </c>
      <c r="AC32" s="87">
        <f t="shared" si="34"/>
        <v>0.1997117706</v>
      </c>
      <c r="AD32" s="30">
        <f t="shared" si="35"/>
        <v>0</v>
      </c>
      <c r="AE32" s="6"/>
      <c r="AF32" s="30">
        <f t="shared" si="11"/>
        <v>0.3088995689</v>
      </c>
      <c r="AG32" s="30" t="str">
        <f>MIN(1,SUM(OFFSET(E32,0,0,-i_Eve_ECG,1)))</f>
        <v>#VALUE!</v>
      </c>
      <c r="AH32" s="30" t="str">
        <f t="shared" si="12"/>
        <v>#VALUE!</v>
      </c>
      <c r="AI32" s="30" t="str">
        <f t="shared" si="13"/>
        <v>#VALUE!</v>
      </c>
      <c r="AJ32" s="30" t="str">
        <f>(AH32*(i_Adv_Fals/i_Adv_Alar))*AJ$25</f>
        <v>#VALUE!</v>
      </c>
      <c r="AK32" s="30" t="str">
        <f>(AH32*(i_Adv_Lead/i_Adv_Alar))*AK$25</f>
        <v>#VALUE!</v>
      </c>
      <c r="AL32" s="30">
        <f>((SUM(F31:J31)-((I31+J31)*(1-i_Bac_ICU)))+(SUM(F32:J32)-((I32+J32)*(1-i_Bac_ICU))))/2*(C32-C31)</f>
        <v>0.02284231176</v>
      </c>
      <c r="AM32" s="30">
        <f>(((I31+J31)*(1-i_Bac_ICU))+((I32+J32)*(1-i_Bac_ICU))+K31+E31+E32+K32)/2*(C32-C31)</f>
        <v>0.6300861189</v>
      </c>
      <c r="AN32" s="6"/>
      <c r="AO32" s="6"/>
      <c r="AP32" s="6"/>
      <c r="AQ32" s="6"/>
      <c r="AR32" s="6"/>
      <c r="AS32" s="6"/>
      <c r="AT32" s="6"/>
      <c r="AU32" s="6"/>
    </row>
    <row r="33" ht="14.25" customHeight="1">
      <c r="B33" s="26">
        <f t="shared" ref="B33:C33" si="48">B32+1</f>
        <v>7</v>
      </c>
      <c r="C33" s="26">
        <f t="shared" si="48"/>
        <v>7</v>
      </c>
      <c r="D33" s="26">
        <f t="shared" si="7"/>
        <v>0</v>
      </c>
      <c r="E33" s="28">
        <f t="shared" si="15"/>
        <v>0.0001380913434</v>
      </c>
      <c r="F33" s="28">
        <f t="shared" si="16"/>
        <v>0.0001229262814</v>
      </c>
      <c r="G33" s="28">
        <f t="shared" si="17"/>
        <v>0.005798261279</v>
      </c>
      <c r="H33" s="28">
        <f t="shared" si="18"/>
        <v>0.00423775496</v>
      </c>
      <c r="I33" s="28">
        <f t="shared" si="19"/>
        <v>0.005142532034</v>
      </c>
      <c r="J33" s="28">
        <f t="shared" si="20"/>
        <v>0.004983563468</v>
      </c>
      <c r="K33" s="28">
        <f t="shared" si="21"/>
        <v>0.4800892243</v>
      </c>
      <c r="L33" s="28">
        <f t="shared" si="22"/>
        <v>0.3661401688</v>
      </c>
      <c r="M33" s="28">
        <f t="shared" si="23"/>
        <v>0.115352077</v>
      </c>
      <c r="N33" s="28">
        <f t="shared" si="24"/>
        <v>0.000197482967</v>
      </c>
      <c r="O33" s="28">
        <f t="shared" si="25"/>
        <v>0.0002161590679</v>
      </c>
      <c r="P33" s="28">
        <f t="shared" si="26"/>
        <v>0.01758175844</v>
      </c>
      <c r="R33" s="26">
        <f t="shared" si="27"/>
        <v>1</v>
      </c>
      <c r="S33" s="30">
        <f t="shared" si="8"/>
        <v>1.414614626</v>
      </c>
      <c r="T33" s="30">
        <f t="shared" ref="T33:U33" si="49">((F32+F33)/2)*T$25*($C33-$C32)</f>
        <v>0.4049797268</v>
      </c>
      <c r="U33" s="30">
        <f t="shared" si="49"/>
        <v>25.09644712</v>
      </c>
      <c r="V33" s="30">
        <f t="shared" si="29"/>
        <v>13.83761869</v>
      </c>
      <c r="W33" s="30">
        <f t="shared" ref="W33:X33" si="50">((I32+I33)/2)*W$25*($C33-$C32)</f>
        <v>11.01091549</v>
      </c>
      <c r="X33" s="30">
        <f t="shared" si="50"/>
        <v>10.58575564</v>
      </c>
      <c r="Y33" s="30">
        <f t="shared" si="31"/>
        <v>1238.455614</v>
      </c>
      <c r="Z33" s="30">
        <f>(L33-OFFSET(L33,-IF(C33-C32&gt;i_Cos_Days,1,MIN(B33,i_Cos_Days)),0))*MIN(i_Cos_Days,($C33-$C32))</f>
        <v>0</v>
      </c>
      <c r="AA33" s="30">
        <f t="shared" si="32"/>
        <v>44.18425849</v>
      </c>
      <c r="AB33" s="30">
        <f t="shared" si="33"/>
        <v>2.300034463</v>
      </c>
      <c r="AC33" s="30">
        <f t="shared" si="34"/>
        <v>0.2805743297</v>
      </c>
      <c r="AD33" s="30">
        <f t="shared" si="35"/>
        <v>0</v>
      </c>
      <c r="AE33" s="6"/>
      <c r="AF33" s="30">
        <f t="shared" si="11"/>
        <v>0.3841355693</v>
      </c>
      <c r="AG33" s="30" t="str">
        <f>MIN(1,SUM(OFFSET(E33,0,0,-i_Eve_ECG,1)))</f>
        <v>#VALUE!</v>
      </c>
      <c r="AH33" s="30" t="str">
        <f t="shared" si="12"/>
        <v>#VALUE!</v>
      </c>
      <c r="AI33" s="30" t="str">
        <f t="shared" si="13"/>
        <v>#VALUE!</v>
      </c>
      <c r="AJ33" s="30" t="str">
        <f>(AH33*(i_Adv_Fals/i_Adv_Alar))*AJ$25</f>
        <v>#VALUE!</v>
      </c>
      <c r="AK33" s="30" t="str">
        <f>(AH33*(i_Adv_Lead/i_Adv_Alar))*AK$25</f>
        <v>#VALUE!</v>
      </c>
      <c r="AL33" s="30">
        <f>((SUM(F32:J32)-((I32+J32)*(1-i_Bac_ICU)))+(SUM(F33:J33)-((I33+J33)*(1-i_Bac_ICU))))/2*(C33-C32)</f>
        <v>0.01496953543</v>
      </c>
      <c r="AM33" s="30">
        <f>(((I32+J32)*(1-i_Bac_ICU))+((I33+J33)*(1-i_Bac_ICU))+K32+E32+E33+K33)/2*(C33-C32)</f>
        <v>0.5334198753</v>
      </c>
      <c r="AN33" s="6"/>
      <c r="AO33" s="6"/>
      <c r="AP33" s="6"/>
      <c r="AQ33" s="6"/>
      <c r="AR33" s="6"/>
      <c r="AS33" s="6"/>
      <c r="AT33" s="6"/>
      <c r="AU33" s="6"/>
    </row>
    <row r="34" ht="14.25" customHeight="1">
      <c r="B34" s="26">
        <f t="shared" ref="B34:C34" si="51">B33+1</f>
        <v>8</v>
      </c>
      <c r="C34" s="26">
        <f t="shared" si="51"/>
        <v>8</v>
      </c>
      <c r="D34" s="26">
        <f t="shared" si="7"/>
        <v>0</v>
      </c>
      <c r="E34" s="28">
        <f t="shared" si="15"/>
        <v>0.0001378771572</v>
      </c>
      <c r="F34" s="28">
        <f t="shared" si="16"/>
        <v>0.0001227124013</v>
      </c>
      <c r="G34" s="28">
        <f t="shared" si="17"/>
        <v>0.003562730315</v>
      </c>
      <c r="H34" s="28">
        <f t="shared" si="18"/>
        <v>0.002750340015</v>
      </c>
      <c r="I34" s="28">
        <f t="shared" si="19"/>
        <v>0.005421834565</v>
      </c>
      <c r="J34" s="28">
        <f t="shared" si="20"/>
        <v>0.005346657459</v>
      </c>
      <c r="K34" s="28">
        <f t="shared" si="21"/>
        <v>0.4026364854</v>
      </c>
      <c r="L34" s="28">
        <f t="shared" si="22"/>
        <v>0.4293905056</v>
      </c>
      <c r="M34" s="28">
        <f t="shared" si="23"/>
        <v>0.1312724915</v>
      </c>
      <c r="N34" s="28">
        <f t="shared" si="24"/>
        <v>0.000310485443</v>
      </c>
      <c r="O34" s="28">
        <f t="shared" si="25"/>
        <v>0.0003368126781</v>
      </c>
      <c r="P34" s="28">
        <f t="shared" si="26"/>
        <v>0.01871106743</v>
      </c>
      <c r="R34" s="26">
        <f t="shared" si="27"/>
        <v>1</v>
      </c>
      <c r="S34" s="30">
        <f t="shared" si="8"/>
        <v>1.412420493</v>
      </c>
      <c r="T34" s="30">
        <f t="shared" ref="T34:U34" si="52">((F33+F34)/2)*T$25*($C34-$C33)</f>
        <v>0.4042316135</v>
      </c>
      <c r="U34" s="30">
        <f t="shared" si="52"/>
        <v>15.4047754</v>
      </c>
      <c r="V34" s="30">
        <f t="shared" si="29"/>
        <v>8.859227285</v>
      </c>
      <c r="W34" s="30">
        <f t="shared" ref="W34:X34" si="53">((I33+I34)/2)*W$25*($C34-$C33)</f>
        <v>11.79083943</v>
      </c>
      <c r="X34" s="30">
        <f t="shared" si="53"/>
        <v>11.52951056</v>
      </c>
      <c r="Y34" s="30">
        <f t="shared" si="31"/>
        <v>1040.424658</v>
      </c>
      <c r="Z34" s="30">
        <f>(L34-OFFSET(L34,-IF(C34-C33&gt;i_Cos_Days,1,MIN(B34,i_Cos_Days)),0))*MIN(i_Cos_Days,($C34-$C33))</f>
        <v>0</v>
      </c>
      <c r="AA34" s="30">
        <f t="shared" si="32"/>
        <v>51.84418368</v>
      </c>
      <c r="AB34" s="30">
        <f t="shared" si="33"/>
        <v>2.859676433</v>
      </c>
      <c r="AC34" s="30">
        <f t="shared" si="34"/>
        <v>0.3488433808</v>
      </c>
      <c r="AD34" s="30">
        <f t="shared" si="35"/>
        <v>0</v>
      </c>
      <c r="AE34" s="6"/>
      <c r="AF34" s="30">
        <f t="shared" si="11"/>
        <v>0.4487488712</v>
      </c>
      <c r="AG34" s="30" t="str">
        <f>MIN(1,SUM(OFFSET(E34,0,0,-i_Eve_ECG,1)))</f>
        <v>#VALUE!</v>
      </c>
      <c r="AH34" s="30" t="str">
        <f t="shared" si="12"/>
        <v>#VALUE!</v>
      </c>
      <c r="AI34" s="30" t="str">
        <f t="shared" si="13"/>
        <v>#VALUE!</v>
      </c>
      <c r="AJ34" s="30" t="str">
        <f>(AH34*(i_Adv_Fals/i_Adv_Alar))*AJ$25</f>
        <v>#VALUE!</v>
      </c>
      <c r="AK34" s="30" t="str">
        <f>(AH34*(i_Adv_Lead/i_Adv_Alar))*AK$25</f>
        <v>#VALUE!</v>
      </c>
      <c r="AL34" s="30">
        <f>((SUM(F33:J33)-((I33+J33)*(1-i_Bac_ICU)))+(SUM(F34:J34)-((I34+J34)*(1-i_Bac_ICU))))/2*(C34-C33)</f>
        <v>0.0102019631</v>
      </c>
      <c r="AM34" s="30">
        <f>(((I33+J33)*(1-i_Bac_ICU))+((I34+J34)*(1-i_Bac_ICU))+K33+E33+E34+K34)/2*(C34-C33)</f>
        <v>0.4500435324</v>
      </c>
      <c r="AN34" s="6"/>
      <c r="AO34" s="6" t="s">
        <v>143</v>
      </c>
      <c r="AP34" t="s">
        <v>144</v>
      </c>
      <c r="AR34" s="6"/>
      <c r="AS34" s="6"/>
      <c r="AT34" s="6"/>
      <c r="AU34" s="6"/>
    </row>
    <row r="35" ht="14.25" customHeight="1">
      <c r="B35" s="26">
        <f t="shared" ref="B35:C35" si="54">B34+1</f>
        <v>9</v>
      </c>
      <c r="C35" s="26">
        <f t="shared" si="54"/>
        <v>9</v>
      </c>
      <c r="D35" s="26">
        <f t="shared" si="7"/>
        <v>0</v>
      </c>
      <c r="E35" s="28">
        <f t="shared" si="15"/>
        <v>0.000137685795</v>
      </c>
      <c r="F35" s="28">
        <f t="shared" si="16"/>
        <v>0.000122521943</v>
      </c>
      <c r="G35" s="28">
        <f t="shared" si="17"/>
        <v>0.002194937854</v>
      </c>
      <c r="H35" s="28">
        <f t="shared" si="18"/>
        <v>0.001842112731</v>
      </c>
      <c r="I35" s="28">
        <f t="shared" si="19"/>
        <v>0.005587733479</v>
      </c>
      <c r="J35" s="28">
        <f t="shared" si="20"/>
        <v>0.005610850123</v>
      </c>
      <c r="K35" s="28">
        <f t="shared" si="21"/>
        <v>0.336963041</v>
      </c>
      <c r="L35" s="28">
        <f t="shared" si="22"/>
        <v>0.4836374107</v>
      </c>
      <c r="M35" s="28">
        <f t="shared" si="23"/>
        <v>0.1433229726</v>
      </c>
      <c r="N35" s="28">
        <f t="shared" si="24"/>
        <v>0.0004387072554</v>
      </c>
      <c r="O35" s="28">
        <f t="shared" si="25"/>
        <v>0.0004716269911</v>
      </c>
      <c r="P35" s="28">
        <f t="shared" si="26"/>
        <v>0.01967039955</v>
      </c>
      <c r="R35" s="26">
        <f t="shared" si="27"/>
        <v>1</v>
      </c>
      <c r="S35" s="30">
        <f t="shared" si="8"/>
        <v>1.410460168</v>
      </c>
      <c r="T35" s="30">
        <f t="shared" ref="T35:U35" si="55">((F34+F35)/2)*T$25*($C35-$C34)</f>
        <v>0.4035662201</v>
      </c>
      <c r="U35" s="30">
        <f t="shared" si="55"/>
        <v>9.475020257</v>
      </c>
      <c r="V35" s="30">
        <f t="shared" si="29"/>
        <v>5.822127894</v>
      </c>
      <c r="W35" s="30">
        <f t="shared" ref="W35:X35" si="56">((I34+I35)/2)*W$25*($C35-$C34)</f>
        <v>12.28772665</v>
      </c>
      <c r="X35" s="30">
        <f t="shared" si="56"/>
        <v>12.22962222</v>
      </c>
      <c r="Y35" s="30">
        <f t="shared" si="31"/>
        <v>871.7289818</v>
      </c>
      <c r="Z35" s="30">
        <f>(L35-OFFSET(L35,-IF(C35-C34&gt;i_Cos_Days,1,MIN(B35,i_Cos_Days)),0))*MIN(i_Cos_Days,($C35-$C34))</f>
        <v>0</v>
      </c>
      <c r="AA35" s="30">
        <f t="shared" si="32"/>
        <v>57.72408548</v>
      </c>
      <c r="AB35" s="30">
        <f t="shared" si="33"/>
        <v>3.329886978</v>
      </c>
      <c r="AC35" s="30">
        <f t="shared" si="34"/>
        <v>0.4062029599</v>
      </c>
      <c r="AD35" s="30">
        <f t="shared" si="35"/>
        <v>0</v>
      </c>
      <c r="AE35" s="6"/>
      <c r="AF35" s="30">
        <f t="shared" si="11"/>
        <v>0.5042181445</v>
      </c>
      <c r="AG35" s="30" t="str">
        <f>MIN(1,SUM(OFFSET(E35,0,0,-i_Eve_ECG,1)))</f>
        <v>#VALUE!</v>
      </c>
      <c r="AH35" s="30" t="str">
        <f t="shared" si="12"/>
        <v>#VALUE!</v>
      </c>
      <c r="AI35" s="30" t="str">
        <f t="shared" si="13"/>
        <v>#VALUE!</v>
      </c>
      <c r="AJ35" s="30" t="str">
        <f>(AH35*(i_Adv_Fals/i_Adv_Alar))*AJ$25</f>
        <v>#VALUE!</v>
      </c>
      <c r="AK35" s="30" t="str">
        <f>(AH35*(i_Adv_Lead/i_Adv_Alar))*AK$25</f>
        <v>#VALUE!</v>
      </c>
      <c r="AL35" s="30">
        <f>((SUM(F34:J34)-((I34+J34)*(1-i_Bac_ICU)))+(SUM(F35:J35)-((I35+J35)*(1-i_Bac_ICU))))/2*(C35-C34)</f>
        <v>0.007300038411</v>
      </c>
      <c r="AM35" s="30">
        <f>(((I34+J34)*(1-i_Bac_ICU))+((I35+J35)*(1-i_Bac_ICU))+K34+E34+E35+K35)/2*(C35-C34)</f>
        <v>0.3789187217</v>
      </c>
      <c r="AN35" s="6"/>
      <c r="AO35" s="88">
        <f>SUM(OFFSET(AL26,0,0,93+IF(i_Set_Time&gt;0.5,2,0),1))*i_Set_CABG</f>
        <v>471.756562</v>
      </c>
      <c r="AP35" s="88">
        <f>(SUM(OFFSET(AM26,0,0,93+IF(i_Set_Time&gt;0.5,2,0),1))*i_Set_CABG)+AO35</f>
        <v>2061.632993</v>
      </c>
      <c r="AR35" s="6"/>
      <c r="AS35" s="6"/>
      <c r="AT35" s="6"/>
      <c r="AU35" s="6"/>
    </row>
    <row r="36" ht="14.25" customHeight="1">
      <c r="B36" s="26">
        <f t="shared" ref="B36:C36" si="57">B35+1</f>
        <v>10</v>
      </c>
      <c r="C36" s="26">
        <f t="shared" si="57"/>
        <v>10</v>
      </c>
      <c r="D36" s="26">
        <f t="shared" si="7"/>
        <v>0</v>
      </c>
      <c r="E36" s="28">
        <f t="shared" si="15"/>
        <v>0.0001375141726</v>
      </c>
      <c r="F36" s="28">
        <f t="shared" si="16"/>
        <v>0.0001223517835</v>
      </c>
      <c r="G36" s="28">
        <f t="shared" si="17"/>
        <v>0.001358057912</v>
      </c>
      <c r="H36" s="28">
        <f t="shared" si="18"/>
        <v>0.001286935529</v>
      </c>
      <c r="I36" s="28">
        <f t="shared" si="19"/>
        <v>0.005662738182</v>
      </c>
      <c r="J36" s="28">
        <f t="shared" si="20"/>
        <v>0.00579355273</v>
      </c>
      <c r="K36" s="28">
        <f t="shared" si="21"/>
        <v>0.2816109396</v>
      </c>
      <c r="L36" s="28">
        <f t="shared" si="22"/>
        <v>0.5301988701</v>
      </c>
      <c r="M36" s="28">
        <f t="shared" si="23"/>
        <v>0.1521475011</v>
      </c>
      <c r="N36" s="28">
        <f t="shared" si="24"/>
        <v>0.0005782714671</v>
      </c>
      <c r="O36" s="28">
        <f t="shared" si="25"/>
        <v>0.0006160458824</v>
      </c>
      <c r="P36" s="28">
        <f t="shared" si="26"/>
        <v>0.02048722147</v>
      </c>
      <c r="R36" s="26">
        <f t="shared" si="27"/>
        <v>1</v>
      </c>
      <c r="S36" s="30">
        <f t="shared" si="8"/>
        <v>1.40870206</v>
      </c>
      <c r="T36" s="30">
        <f t="shared" ref="T36:U36" si="58">((F35+F36)/2)*T$25*($C36-$C35)</f>
        <v>0.4029727748</v>
      </c>
      <c r="U36" s="30">
        <f t="shared" si="58"/>
        <v>5.846934188</v>
      </c>
      <c r="V36" s="30">
        <f t="shared" si="29"/>
        <v>3.966882222</v>
      </c>
      <c r="W36" s="30">
        <f t="shared" ref="W36:X36" si="59">((I35+I36)/2)*W$25*($C36-$C35)</f>
        <v>12.55659803</v>
      </c>
      <c r="X36" s="30">
        <f t="shared" si="59"/>
        <v>12.72839991</v>
      </c>
      <c r="Y36" s="30">
        <f t="shared" si="31"/>
        <v>729.0822223</v>
      </c>
      <c r="Z36" s="30">
        <f>(L36-OFFSET(L36,-IF(C36-C35&gt;i_Cos_Days,1,MIN(B36,i_Cos_Days)),0))*MIN(i_Cos_Days,($C36-$C35))</f>
        <v>0</v>
      </c>
      <c r="AA36" s="30">
        <f t="shared" si="32"/>
        <v>62.11232563</v>
      </c>
      <c r="AB36" s="30">
        <f t="shared" si="33"/>
        <v>3.723640096</v>
      </c>
      <c r="AC36" s="30">
        <f t="shared" si="34"/>
        <v>0.4542357257</v>
      </c>
      <c r="AD36" s="30">
        <f t="shared" si="35"/>
        <v>0</v>
      </c>
      <c r="AE36" s="6"/>
      <c r="AF36" s="30">
        <f t="shared" si="11"/>
        <v>0.551880409</v>
      </c>
      <c r="AG36" s="30" t="str">
        <f>MIN(1,SUM(OFFSET(E36,0,0,-i_Eve_ECG,1)))</f>
        <v>#VALUE!</v>
      </c>
      <c r="AH36" s="30" t="str">
        <f t="shared" si="12"/>
        <v>#VALUE!</v>
      </c>
      <c r="AI36" s="30" t="str">
        <f t="shared" si="13"/>
        <v>#VALUE!</v>
      </c>
      <c r="AJ36" s="30" t="str">
        <f>(AH36*(i_Adv_Fals/i_Adv_Alar))*AJ$25</f>
        <v>#VALUE!</v>
      </c>
      <c r="AK36" s="30" t="str">
        <f>(AH36*(i_Adv_Lead/i_Adv_Alar))*AK$25</f>
        <v>#VALUE!</v>
      </c>
      <c r="AL36" s="30">
        <f>((SUM(F35:J35)-((I35+J35)*(1-i_Bac_ICU)))+(SUM(F36:J36)-((I36+J36)*(1-i_Bac_ICU))))/2*(C36-C35)</f>
        <v>0.005528514462</v>
      </c>
      <c r="AM36" s="30">
        <f>(((I35+J35)*(1-i_Bac_ICU))+((I36+J36)*(1-i_Bac_ICU))+K35+E35+E36+K36)/2*(C36-C35)</f>
        <v>0.318686972</v>
      </c>
      <c r="AN36" s="6"/>
      <c r="AO36" s="6" t="s">
        <v>146</v>
      </c>
      <c r="AP36" s="6"/>
      <c r="AQ36" s="6"/>
      <c r="AR36" s="6"/>
      <c r="AS36" s="6"/>
      <c r="AT36" s="6"/>
      <c r="AU36" s="6"/>
    </row>
    <row r="37" ht="14.25" customHeight="1">
      <c r="B37" s="26">
        <f t="shared" ref="B37:C37" si="60">B36+1</f>
        <v>11</v>
      </c>
      <c r="C37" s="26">
        <f t="shared" si="60"/>
        <v>11</v>
      </c>
      <c r="D37" s="26">
        <f t="shared" si="7"/>
        <v>0</v>
      </c>
      <c r="E37" s="28">
        <f t="shared" si="15"/>
        <v>0.0001373596177</v>
      </c>
      <c r="F37" s="28">
        <f t="shared" si="16"/>
        <v>0.0001221991803</v>
      </c>
      <c r="G37" s="28">
        <f t="shared" si="17"/>
        <v>0.0008460092978</v>
      </c>
      <c r="H37" s="28">
        <f t="shared" si="18"/>
        <v>0.0009467842028</v>
      </c>
      <c r="I37" s="28">
        <f t="shared" si="19"/>
        <v>0.005665610994</v>
      </c>
      <c r="J37" s="28">
        <f t="shared" si="20"/>
        <v>0.005909441132</v>
      </c>
      <c r="K37" s="28">
        <f t="shared" si="21"/>
        <v>0.2351559067</v>
      </c>
      <c r="L37" s="28">
        <f t="shared" si="22"/>
        <v>0.5702354795</v>
      </c>
      <c r="M37" s="28">
        <f t="shared" si="23"/>
        <v>0.158304066</v>
      </c>
      <c r="N37" s="28">
        <f t="shared" si="24"/>
        <v>0.0007259570145</v>
      </c>
      <c r="O37" s="28">
        <f t="shared" si="25"/>
        <v>0.0007663675823</v>
      </c>
      <c r="P37" s="28">
        <f t="shared" si="26"/>
        <v>0.02118481876</v>
      </c>
      <c r="R37" s="26">
        <f t="shared" si="27"/>
        <v>1</v>
      </c>
      <c r="S37" s="30">
        <f t="shared" si="8"/>
        <v>1.407118792</v>
      </c>
      <c r="T37" s="30">
        <f t="shared" ref="T37:U37" si="61">((F36+F37)/2)*T$25*($C37-$C36)</f>
        <v>0.4024416252</v>
      </c>
      <c r="U37" s="30">
        <f t="shared" si="61"/>
        <v>3.627090142</v>
      </c>
      <c r="V37" s="30">
        <f t="shared" si="29"/>
        <v>2.831820527</v>
      </c>
      <c r="W37" s="30">
        <f t="shared" ref="W37:X37" si="62">((I36+I37)/2)*W$25*($C37-$C36)</f>
        <v>12.64351676</v>
      </c>
      <c r="X37" s="30">
        <f t="shared" si="62"/>
        <v>13.06165591</v>
      </c>
      <c r="Y37" s="30">
        <f t="shared" si="31"/>
        <v>609.0872434</v>
      </c>
      <c r="Z37" s="30">
        <f>(L37-OFFSET(L37,-IF(C37-C36&gt;i_Cos_Days,1,MIN(B37,i_Cos_Days)),0))*MIN(i_Cos_Days,($C37-$C36))</f>
        <v>0</v>
      </c>
      <c r="AA37" s="30">
        <f t="shared" si="32"/>
        <v>65.26157619</v>
      </c>
      <c r="AB37" s="30">
        <f t="shared" si="33"/>
        <v>4.052588289</v>
      </c>
      <c r="AC37" s="30">
        <f t="shared" si="34"/>
        <v>0.4943631327</v>
      </c>
      <c r="AD37" s="30">
        <f t="shared" si="35"/>
        <v>0</v>
      </c>
      <c r="AE37" s="6"/>
      <c r="AF37" s="30">
        <f t="shared" si="11"/>
        <v>0.5929126229</v>
      </c>
      <c r="AG37" s="30" t="str">
        <f>MIN(1,SUM(OFFSET(E37,0,0,-i_Eve_ECG,1)))</f>
        <v>#VALUE!</v>
      </c>
      <c r="AH37" s="30" t="str">
        <f t="shared" si="12"/>
        <v>#VALUE!</v>
      </c>
      <c r="AI37" s="30" t="str">
        <f t="shared" si="13"/>
        <v>#VALUE!</v>
      </c>
      <c r="AJ37" s="30" t="str">
        <f>(AH37*(i_Adv_Fals/i_Adv_Alar))*AJ$25</f>
        <v>#VALUE!</v>
      </c>
      <c r="AK37" s="30" t="str">
        <f>(AH37*(i_Adv_Lead/i_Adv_Alar))*AK$25</f>
        <v>#VALUE!</v>
      </c>
      <c r="AL37" s="30">
        <f>((SUM(F36:J36)-((I36+J36)*(1-i_Bac_ICU)))+(SUM(F37:J37)-((I37+J37)*(1-i_Bac_ICU))))/2*(C37-C36)</f>
        <v>0.004440540704</v>
      </c>
      <c r="AM37" s="30">
        <f>(((I36+J36)*(1-i_Bac_ICU))+((I37+J37)*(1-i_Bac_ICU))+K36+E36+E37+K37)/2*(C37-C36)</f>
        <v>0.2679371598</v>
      </c>
      <c r="AN37" s="6" t="s">
        <v>433</v>
      </c>
      <c r="AO37" s="30">
        <f>(SUM(AB26:AB118)/$AB$25)</f>
        <v>0.02137247076</v>
      </c>
      <c r="AP37" s="30">
        <f>AO37*i_Set_CABG</f>
        <v>4.274494153</v>
      </c>
      <c r="AQ37" s="92">
        <f>SUM(OFFSET(AP37,0,0,1+i_Set_Time,1))</f>
        <v>4.920613921</v>
      </c>
      <c r="AR37" s="6"/>
      <c r="AS37" s="6"/>
      <c r="AT37" s="6"/>
      <c r="AU37" s="6"/>
    </row>
    <row r="38" ht="14.25" customHeight="1">
      <c r="B38" s="26">
        <f t="shared" ref="B38:C38" si="63">B37+1</f>
        <v>12</v>
      </c>
      <c r="C38" s="26">
        <f t="shared" si="63"/>
        <v>12</v>
      </c>
      <c r="D38" s="26">
        <f t="shared" si="7"/>
        <v>0</v>
      </c>
      <c r="E38" s="28">
        <f t="shared" si="15"/>
        <v>0.0001372198332</v>
      </c>
      <c r="F38" s="28">
        <f t="shared" si="16"/>
        <v>0.0001220617566</v>
      </c>
      <c r="G38" s="28">
        <f t="shared" si="17"/>
        <v>0.0005327046951</v>
      </c>
      <c r="H38" s="28">
        <f t="shared" si="18"/>
        <v>0.000737427925</v>
      </c>
      <c r="I38" s="28">
        <f t="shared" si="19"/>
        <v>0.005611890877</v>
      </c>
      <c r="J38" s="28">
        <f t="shared" si="20"/>
        <v>0.005970815845</v>
      </c>
      <c r="K38" s="28">
        <f t="shared" si="21"/>
        <v>0.1962853831</v>
      </c>
      <c r="L38" s="28">
        <f t="shared" si="22"/>
        <v>0.6047515997</v>
      </c>
      <c r="M38" s="28">
        <f t="shared" si="23"/>
        <v>0.1622693516</v>
      </c>
      <c r="N38" s="28">
        <f t="shared" si="24"/>
        <v>0.0008791100444</v>
      </c>
      <c r="O38" s="28">
        <f t="shared" si="25"/>
        <v>0.0009196194015</v>
      </c>
      <c r="P38" s="28">
        <f t="shared" si="26"/>
        <v>0.02178281522</v>
      </c>
      <c r="R38" s="26">
        <f t="shared" si="27"/>
        <v>1</v>
      </c>
      <c r="S38" s="30">
        <f t="shared" si="8"/>
        <v>1.405686832</v>
      </c>
      <c r="T38" s="30">
        <f t="shared" ref="T38:U38" si="64">((F37+F38)/2)*T$25*($C38-$C37)</f>
        <v>0.4019643468</v>
      </c>
      <c r="U38" s="30">
        <f t="shared" si="64"/>
        <v>2.268860002</v>
      </c>
      <c r="V38" s="30">
        <f t="shared" si="29"/>
        <v>2.135176767</v>
      </c>
      <c r="W38" s="30">
        <f t="shared" ref="W38:X38" si="65">((I37+I38)/2)*W$25*($C38-$C37)</f>
        <v>12.58676632</v>
      </c>
      <c r="X38" s="30">
        <f t="shared" si="65"/>
        <v>13.25949844</v>
      </c>
      <c r="Y38" s="30">
        <f t="shared" si="31"/>
        <v>508.5182762</v>
      </c>
      <c r="Z38" s="30">
        <f>(L38-OFFSET(L38,-IF(C38-C37&gt;i_Cos_Days,1,MIN(B38,i_Cos_Days)),0))*MIN(i_Cos_Days,($C38-$C37))</f>
        <v>0</v>
      </c>
      <c r="AA38" s="30">
        <f t="shared" si="32"/>
        <v>67.38934099</v>
      </c>
      <c r="AB38" s="30">
        <f t="shared" si="33"/>
        <v>4.326938568</v>
      </c>
      <c r="AC38" s="30">
        <f t="shared" si="34"/>
        <v>0.5278303032</v>
      </c>
      <c r="AD38" s="30">
        <f t="shared" si="35"/>
        <v>0</v>
      </c>
      <c r="AE38" s="6"/>
      <c r="AF38" s="30">
        <f t="shared" si="11"/>
        <v>0.6283331444</v>
      </c>
      <c r="AG38" s="30" t="str">
        <f>MIN(1,SUM(OFFSET(E38,0,0,-i_Eve_ECG,1)))</f>
        <v>#VALUE!</v>
      </c>
      <c r="AH38" s="30" t="str">
        <f t="shared" si="12"/>
        <v>#VALUE!</v>
      </c>
      <c r="AI38" s="30" t="str">
        <f t="shared" si="13"/>
        <v>#VALUE!</v>
      </c>
      <c r="AJ38" s="30" t="str">
        <f>(AH38*(i_Adv_Fals/i_Adv_Alar))*AJ$25</f>
        <v>#VALUE!</v>
      </c>
      <c r="AK38" s="30" t="str">
        <f>(AH38*(i_Adv_Lead/i_Adv_Alar))*AK$25</f>
        <v>#VALUE!</v>
      </c>
      <c r="AL38" s="30">
        <f>((SUM(F37:J37)-((I37+J37)*(1-i_Bac_ICU)))+(SUM(F38:J38)-((I38+J38)*(1-i_Bac_ICU))))/2*(C38-C37)</f>
        <v>0.003764488437</v>
      </c>
      <c r="AM38" s="30">
        <f>(((I37+J37)*(1-i_Bac_ICU))+((I38+J38)*(1-i_Bac_ICU))+K37+E37+E38+K38)/2*(C38-C37)</f>
        <v>0.2253259191</v>
      </c>
      <c r="AN38" s="6" t="s">
        <v>434</v>
      </c>
      <c r="AO38" s="30">
        <f>SUM(AB119:AB120)/$AB$25</f>
        <v>0.00323059884</v>
      </c>
      <c r="AP38" s="30">
        <f>AO38*i_Set_CABG</f>
        <v>0.6461197679</v>
      </c>
      <c r="AQ38" s="6"/>
      <c r="AR38" s="6"/>
      <c r="AS38" s="6"/>
      <c r="AT38" s="6"/>
      <c r="AU38" s="6"/>
    </row>
    <row r="39" ht="14.25" customHeight="1">
      <c r="B39" s="26">
        <f t="shared" ref="B39:C39" si="66">B38+1</f>
        <v>13</v>
      </c>
      <c r="C39" s="26">
        <f t="shared" si="66"/>
        <v>13</v>
      </c>
      <c r="D39" s="26">
        <f t="shared" si="7"/>
        <v>0</v>
      </c>
      <c r="E39" s="28">
        <f t="shared" si="15"/>
        <v>0.0001370928536</v>
      </c>
      <c r="F39" s="28">
        <f t="shared" si="16"/>
        <v>0.0001219374692</v>
      </c>
      <c r="G39" s="28">
        <f t="shared" si="17"/>
        <v>0.0003409996207</v>
      </c>
      <c r="H39" s="28">
        <f t="shared" si="18"/>
        <v>0.0006075062808</v>
      </c>
      <c r="I39" s="28">
        <f t="shared" si="19"/>
        <v>0.005514377668</v>
      </c>
      <c r="J39" s="28">
        <f t="shared" si="20"/>
        <v>0.005987942845</v>
      </c>
      <c r="K39" s="28">
        <f t="shared" si="21"/>
        <v>0.1638306157</v>
      </c>
      <c r="L39" s="28">
        <f t="shared" si="22"/>
        <v>0.6346063044</v>
      </c>
      <c r="M39" s="28">
        <f t="shared" si="23"/>
        <v>0.164446541</v>
      </c>
      <c r="N39" s="28">
        <f t="shared" si="24"/>
        <v>0.001035560423</v>
      </c>
      <c r="O39" s="28">
        <f t="shared" si="25"/>
        <v>0.001073442453</v>
      </c>
      <c r="P39" s="28">
        <f t="shared" si="26"/>
        <v>0.02229767928</v>
      </c>
      <c r="R39" s="26">
        <f t="shared" si="27"/>
        <v>1</v>
      </c>
      <c r="S39" s="30">
        <f t="shared" si="8"/>
        <v>1.404386047</v>
      </c>
      <c r="T39" s="30">
        <f t="shared" ref="T39:U39" si="67">((F38+F39)/2)*T$25*($C39-$C38)</f>
        <v>0.401533666</v>
      </c>
      <c r="U39" s="30">
        <f t="shared" si="67"/>
        <v>1.437798402</v>
      </c>
      <c r="V39" s="30">
        <f t="shared" si="29"/>
        <v>1.705053789</v>
      </c>
      <c r="W39" s="30">
        <f t="shared" ref="W39:X39" si="68">((I38+I39)/2)*W$25*($C39-$C38)</f>
        <v>12.41797553</v>
      </c>
      <c r="X39" s="30">
        <f t="shared" si="68"/>
        <v>13.34711383</v>
      </c>
      <c r="Y39" s="30">
        <f t="shared" si="31"/>
        <v>424.450722</v>
      </c>
      <c r="Z39" s="30">
        <f>(L39-OFFSET(L39,-IF(C39-C38&gt;i_Cos_Days,1,MIN(B39,i_Cos_Days)),0))*MIN(i_Cos_Days,($C39-$C38))</f>
        <v>0</v>
      </c>
      <c r="AA39" s="30">
        <f t="shared" si="32"/>
        <v>68.68058137</v>
      </c>
      <c r="AB39" s="30">
        <f t="shared" si="33"/>
        <v>4.555487148</v>
      </c>
      <c r="AC39" s="30">
        <f t="shared" si="34"/>
        <v>0.5557102614</v>
      </c>
      <c r="AD39" s="30">
        <f t="shared" si="35"/>
        <v>0</v>
      </c>
      <c r="AE39" s="6"/>
      <c r="AF39" s="30">
        <f t="shared" si="11"/>
        <v>0.6590129865</v>
      </c>
      <c r="AG39" s="30" t="str">
        <f>MIN(1,SUM(OFFSET(E39,0,0,-i_Eve_ECG,1)))</f>
        <v>#VALUE!</v>
      </c>
      <c r="AH39" s="30" t="str">
        <f t="shared" si="12"/>
        <v>#VALUE!</v>
      </c>
      <c r="AI39" s="30" t="str">
        <f t="shared" si="13"/>
        <v>#VALUE!</v>
      </c>
      <c r="AJ39" s="30" t="str">
        <f>(AH39*(i_Adv_Fals/i_Adv_Alar))*AJ$25</f>
        <v>#VALUE!</v>
      </c>
      <c r="AK39" s="30" t="str">
        <f>(AH39*(i_Adv_Lead/i_Adv_Alar))*AK$25</f>
        <v>#VALUE!</v>
      </c>
      <c r="AL39" s="30">
        <f>((SUM(F38:J38)-((I38+J38)*(1-i_Bac_ICU)))+(SUM(F39:J39)-((I39+J39)*(1-i_Bac_ICU))))/2*(C39-C38)</f>
        <v>0.003335584091</v>
      </c>
      <c r="AM39" s="30">
        <f>(((I38+J38)*(1-i_Bac_ICU))+((I39+J39)*(1-i_Bac_ICU))+K38+E38+E39+K39)/2*(C39-C38)</f>
        <v>0.1896334041</v>
      </c>
      <c r="AN39" s="6" t="s">
        <v>435</v>
      </c>
      <c r="AO39" s="30">
        <f>SUM(AB121:AB124)/$AB$25</f>
        <v>0.006328481034</v>
      </c>
      <c r="AP39" s="30">
        <f>AO39*i_Set_CABG</f>
        <v>1.265696207</v>
      </c>
      <c r="AQ39" s="6"/>
      <c r="AR39" s="6"/>
      <c r="AS39" s="6"/>
      <c r="AT39" s="6"/>
      <c r="AU39" s="6"/>
    </row>
    <row r="40" ht="14.25" customHeight="1">
      <c r="B40" s="26">
        <f t="shared" ref="B40:C40" si="69">B39+1</f>
        <v>14</v>
      </c>
      <c r="C40" s="26">
        <f t="shared" si="69"/>
        <v>14</v>
      </c>
      <c r="D40" s="26">
        <f t="shared" si="7"/>
        <v>0</v>
      </c>
      <c r="E40" s="28">
        <f t="shared" si="15"/>
        <v>0.0001369770027</v>
      </c>
      <c r="F40" s="28">
        <f t="shared" si="16"/>
        <v>0.0001218245702</v>
      </c>
      <c r="G40" s="28">
        <f t="shared" si="17"/>
        <v>0.0002236944112</v>
      </c>
      <c r="H40" s="28">
        <f t="shared" si="18"/>
        <v>0.0005257376419</v>
      </c>
      <c r="I40" s="28">
        <f t="shared" si="19"/>
        <v>0.00538356384</v>
      </c>
      <c r="J40" s="28">
        <f t="shared" si="20"/>
        <v>0.005969361918</v>
      </c>
      <c r="K40" s="28">
        <f t="shared" si="21"/>
        <v>0.1367733782</v>
      </c>
      <c r="L40" s="28">
        <f t="shared" si="22"/>
        <v>0.6605285582</v>
      </c>
      <c r="M40" s="28">
        <f t="shared" si="23"/>
        <v>0.1651741783</v>
      </c>
      <c r="N40" s="28">
        <f t="shared" si="24"/>
        <v>0.001193546451</v>
      </c>
      <c r="O40" s="28">
        <f t="shared" si="25"/>
        <v>0.001225989327</v>
      </c>
      <c r="P40" s="28">
        <f t="shared" si="26"/>
        <v>0.02274319013</v>
      </c>
      <c r="R40" s="26">
        <f t="shared" si="27"/>
        <v>1</v>
      </c>
      <c r="S40" s="30">
        <f t="shared" si="8"/>
        <v>1.403199264</v>
      </c>
      <c r="T40" s="30">
        <f t="shared" ref="T40:U40" si="70">((F39+F40)/2)*T$25*($C40-$C39)</f>
        <v>0.4011433438</v>
      </c>
      <c r="U40" s="30">
        <f t="shared" si="70"/>
        <v>0.9292802633</v>
      </c>
      <c r="V40" s="30">
        <f t="shared" si="29"/>
        <v>1.436681315</v>
      </c>
      <c r="W40" s="30">
        <f t="shared" ref="W40:X40" si="71">((I39+I40)/2)*W$25*($C40-$C39)</f>
        <v>12.1631408</v>
      </c>
      <c r="X40" s="30">
        <f t="shared" si="71"/>
        <v>13.3454911</v>
      </c>
      <c r="Y40" s="30">
        <f t="shared" si="31"/>
        <v>354.3068974</v>
      </c>
      <c r="Z40" s="30">
        <f>(L40-OFFSET(L40,-IF(C40-C39&gt;i_Cos_Days,1,MIN(B40,i_Cos_Days)),0))*MIN(i_Cos_Days,($C40-$C39))</f>
        <v>0</v>
      </c>
      <c r="AA40" s="30">
        <f t="shared" si="32"/>
        <v>69.29121951</v>
      </c>
      <c r="AB40" s="30">
        <f t="shared" si="33"/>
        <v>4.74573082</v>
      </c>
      <c r="AC40" s="30">
        <f t="shared" si="34"/>
        <v>0.5789175183</v>
      </c>
      <c r="AD40" s="30">
        <f t="shared" si="35"/>
        <v>0</v>
      </c>
      <c r="AE40" s="6"/>
      <c r="AF40" s="30">
        <f t="shared" si="11"/>
        <v>0.6856912841</v>
      </c>
      <c r="AG40" s="30" t="str">
        <f>MIN(1,SUM(OFFSET(E40,0,0,-i_Eve_ECG,1)))</f>
        <v>#VALUE!</v>
      </c>
      <c r="AH40" s="30" t="str">
        <f t="shared" si="12"/>
        <v>#VALUE!</v>
      </c>
      <c r="AI40" s="30" t="str">
        <f t="shared" si="13"/>
        <v>#VALUE!</v>
      </c>
      <c r="AJ40" s="30" t="str">
        <f>(AH40*(i_Adv_Fals/i_Adv_Alar))*AJ$25</f>
        <v>#VALUE!</v>
      </c>
      <c r="AK40" s="30" t="str">
        <f>(AH40*(i_Adv_Lead/i_Adv_Alar))*AK$25</f>
        <v>#VALUE!</v>
      </c>
      <c r="AL40" s="30">
        <f>((SUM(F39:J39)-((I39+J39)*(1-i_Bac_ICU)))+(SUM(F40:J40)-((I40+J40)*(1-i_Bac_ICU))))/2*(C40-C39)</f>
        <v>0.003054170032</v>
      </c>
      <c r="AM40" s="30">
        <f>(((I39+J39)*(1-i_Bac_ICU))+((I40+J40)*(1-i_Bac_ICU))+K39+E39+E40+K40)/2*(C40-C39)</f>
        <v>0.159783335</v>
      </c>
      <c r="AN40" s="6" t="s">
        <v>436</v>
      </c>
      <c r="AO40" s="30">
        <f>SUM(AB125:AB128)/$AB$25</f>
        <v>0.006151647571</v>
      </c>
      <c r="AP40" s="30">
        <f>AO40*i_Set_CABG</f>
        <v>1.230329514</v>
      </c>
      <c r="AQ40" s="6"/>
      <c r="AR40" s="6"/>
      <c r="AS40" s="6"/>
      <c r="AT40" s="6"/>
      <c r="AU40" s="6"/>
    </row>
    <row r="41" ht="14.25" customHeight="1">
      <c r="B41" s="26">
        <f t="shared" ref="B41:C41" si="72">B40+1</f>
        <v>15</v>
      </c>
      <c r="C41" s="26">
        <f t="shared" si="72"/>
        <v>15</v>
      </c>
      <c r="D41" s="26">
        <f t="shared" si="7"/>
        <v>0</v>
      </c>
      <c r="E41" s="28">
        <f t="shared" si="15"/>
        <v>0.0001368708526</v>
      </c>
      <c r="F41" s="28">
        <f t="shared" si="16"/>
        <v>0.0001217215685</v>
      </c>
      <c r="G41" s="28">
        <f t="shared" si="17"/>
        <v>0.0001519106274</v>
      </c>
      <c r="H41" s="28">
        <f t="shared" si="18"/>
        <v>0.0004730986187</v>
      </c>
      <c r="I41" s="28">
        <f t="shared" si="19"/>
        <v>0.00522801072</v>
      </c>
      <c r="J41" s="28">
        <f t="shared" si="20"/>
        <v>0.005922158054</v>
      </c>
      <c r="K41" s="28">
        <f t="shared" si="21"/>
        <v>0.1142393823</v>
      </c>
      <c r="L41" s="28">
        <f t="shared" si="22"/>
        <v>0.6831335334</v>
      </c>
      <c r="M41" s="28">
        <f t="shared" si="23"/>
        <v>0.1647349773</v>
      </c>
      <c r="N41" s="28">
        <f t="shared" si="24"/>
        <v>0.001351648775</v>
      </c>
      <c r="O41" s="28">
        <f t="shared" si="25"/>
        <v>0.001375835333</v>
      </c>
      <c r="P41" s="28">
        <f t="shared" si="26"/>
        <v>0.02313085248</v>
      </c>
      <c r="R41" s="26">
        <f t="shared" si="27"/>
        <v>1</v>
      </c>
      <c r="S41" s="30">
        <f t="shared" si="8"/>
        <v>1.402111858</v>
      </c>
      <c r="T41" s="30">
        <f t="shared" ref="T41:U41" si="73">((F40+F41)/2)*T$25*($C41-$C40)</f>
        <v>0.40078805</v>
      </c>
      <c r="U41" s="30">
        <f t="shared" si="73"/>
        <v>0.6181087978</v>
      </c>
      <c r="V41" s="30">
        <f t="shared" si="29"/>
        <v>1.266284658</v>
      </c>
      <c r="W41" s="30">
        <f t="shared" ref="W41:X41" si="74">((I40+I41)/2)*W$25*($C41-$C40)</f>
        <v>11.84352801</v>
      </c>
      <c r="X41" s="30">
        <f t="shared" si="74"/>
        <v>13.27206901</v>
      </c>
      <c r="Y41" s="30">
        <f t="shared" si="31"/>
        <v>295.8561902</v>
      </c>
      <c r="Z41" s="30">
        <f>(L41-OFFSET(L41,-IF(C41-C40&gt;i_Cos_Days,1,MIN(B41,i_Cos_Days)),0))*MIN(i_Cos_Days,($C41-$C40))</f>
        <v>0</v>
      </c>
      <c r="AA41" s="30">
        <f t="shared" si="32"/>
        <v>69.35185315</v>
      </c>
      <c r="AB41" s="30">
        <f t="shared" si="33"/>
        <v>4.904009725</v>
      </c>
      <c r="AC41" s="30">
        <f t="shared" si="34"/>
        <v>0.5982254889</v>
      </c>
      <c r="AD41" s="30">
        <f t="shared" si="35"/>
        <v>0</v>
      </c>
      <c r="AE41" s="6"/>
      <c r="AF41" s="30">
        <f t="shared" si="11"/>
        <v>0.7089918699</v>
      </c>
      <c r="AG41" s="30" t="str">
        <f>MIN(1,SUM(OFFSET(E41,0,0,-i_Eve_ECG,1)))</f>
        <v>#VALUE!</v>
      </c>
      <c r="AH41" s="30" t="str">
        <f t="shared" si="12"/>
        <v>#VALUE!</v>
      </c>
      <c r="AI41" s="30" t="str">
        <f t="shared" si="13"/>
        <v>#VALUE!</v>
      </c>
      <c r="AJ41" s="30" t="str">
        <f>(AH41*(i_Adv_Fals/i_Adv_Alar))*AJ$25</f>
        <v>#VALUE!</v>
      </c>
      <c r="AK41" s="30" t="str">
        <f>(AH41*(i_Adv_Lead/i_Adv_Alar))*AK$25</f>
        <v>#VALUE!</v>
      </c>
      <c r="AL41" s="30">
        <f>((SUM(F40:J40)-((I40+J40)*(1-i_Bac_ICU)))+(SUM(F41:J41)-((I41+J41)*(1-i_Bac_ICU))))/2*(C41-C40)</f>
        <v>0.002860214132</v>
      </c>
      <c r="AM41" s="30">
        <f>(((I40+J40)*(1-i_Bac_ICU))+((I41+J41)*(1-i_Bac_ICU))+K40+E40+E41+K41)/2*(C41-C40)</f>
        <v>0.134843631</v>
      </c>
      <c r="AN41" s="6" t="s">
        <v>437</v>
      </c>
      <c r="AO41" s="30">
        <f>SUM(AB129:AB132)/$AB$25</f>
        <v>0.005979756138</v>
      </c>
      <c r="AP41" s="30">
        <f>AO41*i_Set_CABG</f>
        <v>1.195951228</v>
      </c>
      <c r="AQ41" s="6"/>
      <c r="AR41" s="6"/>
      <c r="AS41" s="6"/>
      <c r="AT41" s="6"/>
      <c r="AU41" s="6"/>
    </row>
    <row r="42" ht="14.25" customHeight="1">
      <c r="B42" s="26">
        <f t="shared" ref="B42:C42" si="75">B41+1</f>
        <v>16</v>
      </c>
      <c r="C42" s="26">
        <f t="shared" si="75"/>
        <v>16</v>
      </c>
      <c r="D42" s="26">
        <f t="shared" si="7"/>
        <v>0</v>
      </c>
      <c r="E42" s="28">
        <f t="shared" si="15"/>
        <v>0.0001367731874</v>
      </c>
      <c r="F42" s="28">
        <f t="shared" si="16"/>
        <v>0.0001216271941</v>
      </c>
      <c r="G42" s="28">
        <f t="shared" si="17"/>
        <v>0.000107979365</v>
      </c>
      <c r="H42" s="28">
        <f t="shared" si="18"/>
        <v>0.0004380438831</v>
      </c>
      <c r="I42" s="28">
        <f t="shared" si="19"/>
        <v>0.005054671324</v>
      </c>
      <c r="J42" s="28">
        <f t="shared" si="20"/>
        <v>0.005852196085</v>
      </c>
      <c r="K42" s="28">
        <f t="shared" si="21"/>
        <v>0.09548537729</v>
      </c>
      <c r="L42" s="28">
        <f t="shared" si="22"/>
        <v>0.7029384201</v>
      </c>
      <c r="M42" s="28">
        <f t="shared" si="23"/>
        <v>0.1633640177</v>
      </c>
      <c r="N42" s="28">
        <f t="shared" si="24"/>
        <v>0.001508733386</v>
      </c>
      <c r="O42" s="28">
        <f t="shared" si="25"/>
        <v>0.001521902713</v>
      </c>
      <c r="P42" s="28">
        <f t="shared" si="26"/>
        <v>0.02347025774</v>
      </c>
      <c r="R42" s="26">
        <f t="shared" si="27"/>
        <v>1</v>
      </c>
      <c r="S42" s="30">
        <f t="shared" si="8"/>
        <v>1.401111371</v>
      </c>
      <c r="T42" s="30">
        <f t="shared" ref="T42:U42" si="76">((F41+F42)/2)*T$25*($C42-$C41)</f>
        <v>0.400463241</v>
      </c>
      <c r="U42" s="30">
        <f t="shared" si="76"/>
        <v>0.4276840676</v>
      </c>
      <c r="V42" s="30">
        <f t="shared" si="29"/>
        <v>1.155110018</v>
      </c>
      <c r="W42" s="30">
        <f t="shared" ref="W42:X42" si="77">((I41+I42)/2)*W$25*($C42-$C41)</f>
        <v>11.47645263</v>
      </c>
      <c r="X42" s="30">
        <f t="shared" si="77"/>
        <v>13.14130078</v>
      </c>
      <c r="Y42" s="30">
        <f t="shared" si="31"/>
        <v>247.1920879</v>
      </c>
      <c r="Z42" s="30">
        <f>(L42-OFFSET(L42,-IF(C42-C41&gt;i_Cos_Days,1,MIN(B42,i_Cos_Days)),0))*MIN(i_Cos_Days,($C42-$C41))</f>
        <v>0</v>
      </c>
      <c r="AA42" s="30">
        <f t="shared" si="32"/>
        <v>68.97133023</v>
      </c>
      <c r="AB42" s="30">
        <f t="shared" si="33"/>
        <v>5.035656584</v>
      </c>
      <c r="AC42" s="30">
        <f t="shared" si="34"/>
        <v>0.6142846957</v>
      </c>
      <c r="AD42" s="30">
        <f t="shared" si="35"/>
        <v>0</v>
      </c>
      <c r="AE42" s="6"/>
      <c r="AF42" s="30">
        <f t="shared" si="11"/>
        <v>0.729439314</v>
      </c>
      <c r="AG42" s="30" t="str">
        <f>MIN(1,SUM(OFFSET(E42,0,0,-i_Eve_ECG,1)))</f>
        <v>#VALUE!</v>
      </c>
      <c r="AH42" s="30" t="str">
        <f t="shared" si="12"/>
        <v>#VALUE!</v>
      </c>
      <c r="AI42" s="30" t="str">
        <f t="shared" si="13"/>
        <v>#VALUE!</v>
      </c>
      <c r="AJ42" s="30" t="str">
        <f>(AH42*(i_Adv_Fals/i_Adv_Alar))*AJ$25</f>
        <v>#VALUE!</v>
      </c>
      <c r="AK42" s="30" t="str">
        <f>(AH42*(i_Adv_Lead/i_Adv_Alar))*AK$25</f>
        <v>#VALUE!</v>
      </c>
      <c r="AL42" s="30">
        <f>((SUM(F41:J41)-((I41+J41)*(1-i_Bac_ICU)))+(SUM(F42:J42)-((I42+J42)*(1-i_Bac_ICU))))/2*(C42-C41)</f>
        <v>0.002717751567</v>
      </c>
      <c r="AM42" s="30">
        <f>(((I41+J41)*(1-i_Bac_ICU))+((I42+J42)*(1-i_Bac_ICU))+K41+E41+E42+K42)/2*(C42-C41)</f>
        <v>0.114017159</v>
      </c>
      <c r="AN42" s="6" t="s">
        <v>438</v>
      </c>
      <c r="AO42" s="30">
        <f>SUM(AB133:AB136)/$AB$25</f>
        <v>0.005812667754</v>
      </c>
      <c r="AP42" s="30">
        <f>AO42*i_Set_CABG</f>
        <v>1.162533551</v>
      </c>
      <c r="AQ42" s="6"/>
      <c r="AR42" s="6"/>
      <c r="AS42" s="6"/>
      <c r="AT42" s="6"/>
      <c r="AU42" s="6"/>
    </row>
    <row r="43" ht="14.25" customHeight="1">
      <c r="B43" s="26">
        <f t="shared" ref="B43:C43" si="78">B42+1</f>
        <v>17</v>
      </c>
      <c r="C43" s="26">
        <f t="shared" si="78"/>
        <v>17</v>
      </c>
      <c r="D43" s="26">
        <f t="shared" si="7"/>
        <v>0</v>
      </c>
      <c r="E43" s="28">
        <f t="shared" si="15"/>
        <v>0.000136682971</v>
      </c>
      <c r="F43" s="28">
        <f t="shared" si="16"/>
        <v>0.0001215403655</v>
      </c>
      <c r="G43" s="28">
        <f t="shared" si="17"/>
        <v>0.00008109009287</v>
      </c>
      <c r="H43" s="28">
        <f t="shared" si="18"/>
        <v>0.0004135853743</v>
      </c>
      <c r="I43" s="28">
        <f t="shared" si="19"/>
        <v>0.004869164443</v>
      </c>
      <c r="J43" s="28">
        <f t="shared" si="20"/>
        <v>0.005764321059</v>
      </c>
      <c r="K43" s="28">
        <f t="shared" si="21"/>
        <v>0.07988390486</v>
      </c>
      <c r="L43" s="28">
        <f t="shared" si="22"/>
        <v>0.7203769315</v>
      </c>
      <c r="M43" s="28">
        <f t="shared" si="23"/>
        <v>0.1612560856</v>
      </c>
      <c r="N43" s="28">
        <f t="shared" si="24"/>
        <v>0.001663903041</v>
      </c>
      <c r="O43" s="28">
        <f t="shared" si="25"/>
        <v>0.00166339665</v>
      </c>
      <c r="P43" s="28">
        <f t="shared" si="26"/>
        <v>0.02376939407</v>
      </c>
      <c r="R43" s="26">
        <f t="shared" si="27"/>
        <v>1</v>
      </c>
      <c r="S43" s="30">
        <f t="shared" si="8"/>
        <v>1.400187189</v>
      </c>
      <c r="T43" s="30">
        <f t="shared" ref="T43:U43" si="79">((F42+F43)/2)*T$25*($C43-$C42)</f>
        <v>0.400165047</v>
      </c>
      <c r="U43" s="30">
        <f t="shared" si="79"/>
        <v>0.3111393172</v>
      </c>
      <c r="V43" s="30">
        <f t="shared" si="29"/>
        <v>1.079661507</v>
      </c>
      <c r="W43" s="30">
        <f t="shared" ref="W43:X43" si="80">((I42+I43)/2)*W$25*($C43-$C42)</f>
        <v>11.07594601</v>
      </c>
      <c r="X43" s="30">
        <f t="shared" si="80"/>
        <v>12.96513966</v>
      </c>
      <c r="Y43" s="30">
        <f t="shared" si="31"/>
        <v>206.6990044</v>
      </c>
      <c r="Z43" s="30">
        <f>(L43-OFFSET(L43,-IF(C43-C42&gt;i_Cos_Days,1,MIN(B43,i_Cos_Days)),0))*MIN(i_Cos_Days,($C43-$C42))</f>
        <v>0</v>
      </c>
      <c r="AA43" s="30">
        <f t="shared" si="32"/>
        <v>68.24001502</v>
      </c>
      <c r="AB43" s="30">
        <f t="shared" si="33"/>
        <v>5.145139276</v>
      </c>
      <c r="AC43" s="30">
        <f t="shared" si="34"/>
        <v>0.6276401621</v>
      </c>
      <c r="AD43" s="30">
        <f t="shared" si="35"/>
        <v>0</v>
      </c>
      <c r="AE43" s="6"/>
      <c r="AF43" s="30">
        <f t="shared" si="11"/>
        <v>0.7474736252</v>
      </c>
      <c r="AG43" s="30" t="str">
        <f>MIN(1,SUM(OFFSET(E43,0,0,-i_Eve_ECG,1)))</f>
        <v>#VALUE!</v>
      </c>
      <c r="AH43" s="30" t="str">
        <f t="shared" si="12"/>
        <v>#VALUE!</v>
      </c>
      <c r="AI43" s="30" t="str">
        <f t="shared" si="13"/>
        <v>#VALUE!</v>
      </c>
      <c r="AJ43" s="30" t="str">
        <f>(AH43*(i_Adv_Fals/i_Adv_Alar))*AJ$25</f>
        <v>#VALUE!</v>
      </c>
      <c r="AK43" s="30" t="str">
        <f>(AH43*(i_Adv_Lead/i_Adv_Alar))*AK$25</f>
        <v>#VALUE!</v>
      </c>
      <c r="AL43" s="30">
        <f>((SUM(F42:J42)-((I42+J42)*(1-i_Bac_ICU)))+(SUM(F43:J43)-((I43+J43)*(1-i_Bac_ICU))))/2*(C43-C42)</f>
        <v>0.002605396942</v>
      </c>
      <c r="AM43" s="30">
        <f>(((I42+J42)*(1-i_Bac_ICU))+((I43+J43)*(1-i_Bac_ICU))+K42+E42+E43+K43)/2*(C43-C42)</f>
        <v>0.0966280818</v>
      </c>
      <c r="AN43" s="6"/>
      <c r="AO43" s="6"/>
      <c r="AP43" s="6"/>
      <c r="AQ43" s="6"/>
      <c r="AR43" s="6"/>
      <c r="AS43" s="6"/>
      <c r="AT43" s="6"/>
      <c r="AU43" s="6"/>
    </row>
    <row r="44" ht="14.25" customHeight="1">
      <c r="B44" s="26">
        <f t="shared" ref="B44:C44" si="81">B43+1</f>
        <v>18</v>
      </c>
      <c r="C44" s="26">
        <f t="shared" si="81"/>
        <v>18</v>
      </c>
      <c r="D44" s="26">
        <f t="shared" si="7"/>
        <v>0</v>
      </c>
      <c r="E44" s="28">
        <f t="shared" si="15"/>
        <v>0.0001365993193</v>
      </c>
      <c r="F44" s="28">
        <f t="shared" si="16"/>
        <v>0.000121460161</v>
      </c>
      <c r="G44" s="28">
        <f t="shared" si="17"/>
        <v>0.00006462847065</v>
      </c>
      <c r="H44" s="28">
        <f t="shared" si="18"/>
        <v>0.0003955084645</v>
      </c>
      <c r="I44" s="28">
        <f t="shared" si="19"/>
        <v>0.004676005595</v>
      </c>
      <c r="J44" s="28">
        <f t="shared" si="20"/>
        <v>0.005662527945</v>
      </c>
      <c r="K44" s="28">
        <f t="shared" si="21"/>
        <v>0.06690787832</v>
      </c>
      <c r="L44" s="28">
        <f t="shared" si="22"/>
        <v>0.7358121826</v>
      </c>
      <c r="M44" s="28">
        <f t="shared" si="23"/>
        <v>0.1585720913</v>
      </c>
      <c r="N44" s="28">
        <f t="shared" si="24"/>
        <v>0.00181645621</v>
      </c>
      <c r="O44" s="28">
        <f t="shared" si="25"/>
        <v>0.001799751665</v>
      </c>
      <c r="P44" s="28">
        <f t="shared" si="26"/>
        <v>0.02403490989</v>
      </c>
      <c r="R44" s="26">
        <f t="shared" si="27"/>
        <v>1</v>
      </c>
      <c r="S44" s="30">
        <f t="shared" si="8"/>
        <v>1.399330257</v>
      </c>
      <c r="T44" s="30">
        <f t="shared" ref="T44:U44" si="82">((F43+F44)/2)*T$25*($C44-$C43)</f>
        <v>0.3998901714</v>
      </c>
      <c r="U44" s="30">
        <f t="shared" si="82"/>
        <v>0.2397995683</v>
      </c>
      <c r="V44" s="30">
        <f t="shared" si="29"/>
        <v>1.025736805</v>
      </c>
      <c r="W44" s="30">
        <f t="shared" ref="W44:X44" si="83">((I43+I44)/2)*W$25*($C44-$C43)</f>
        <v>10.65331898</v>
      </c>
      <c r="X44" s="30">
        <f t="shared" si="83"/>
        <v>12.75345195</v>
      </c>
      <c r="Y44" s="30">
        <f t="shared" si="31"/>
        <v>173.0161352</v>
      </c>
      <c r="Z44" s="30">
        <f>(L44-OFFSET(L44,-IF(C44-C43&gt;i_Cos_Days,1,MIN(B44,i_Cos_Days)),0))*MIN(i_Cos_Days,($C44-$C43))</f>
        <v>0</v>
      </c>
      <c r="AA44" s="30">
        <f t="shared" si="32"/>
        <v>67.23268021</v>
      </c>
      <c r="AB44" s="30">
        <f t="shared" si="33"/>
        <v>5.236190579</v>
      </c>
      <c r="AC44" s="30">
        <f t="shared" si="34"/>
        <v>0.6387472383</v>
      </c>
      <c r="AD44" s="30">
        <f t="shared" si="35"/>
        <v>0</v>
      </c>
      <c r="AE44" s="6"/>
      <c r="AF44" s="30">
        <f t="shared" si="11"/>
        <v>0.7634633004</v>
      </c>
      <c r="AG44" s="30" t="str">
        <f>MIN(1,SUM(OFFSET(E44,0,0,-i_Eve_ECG,1)))</f>
        <v>#VALUE!</v>
      </c>
      <c r="AH44" s="30" t="str">
        <f t="shared" si="12"/>
        <v>#VALUE!</v>
      </c>
      <c r="AI44" s="30" t="str">
        <f t="shared" si="13"/>
        <v>#VALUE!</v>
      </c>
      <c r="AJ44" s="30" t="str">
        <f>(AH44*(i_Adv_Fals/i_Adv_Alar))*AJ$25</f>
        <v>#VALUE!</v>
      </c>
      <c r="AK44" s="30" t="str">
        <f>(AH44*(i_Adv_Lead/i_Adv_Alar))*AK$25</f>
        <v>#VALUE!</v>
      </c>
      <c r="AL44" s="30">
        <f>((SUM(F43:J43)-((I43+J43)*(1-i_Bac_ICU)))+(SUM(F44:J44)-((I44+J44)*(1-i_Bac_ICU))))/2*(C44-C43)</f>
        <v>0.002510565037</v>
      </c>
      <c r="AM44" s="30">
        <f>(((I43+J43)*(1-i_Bac_ICU))+((I44+J44)*(1-i_Bac_ICU))+K43+E43+E44+K44)/2*(C44-C43)</f>
        <v>0.08210688368</v>
      </c>
      <c r="AN44" s="6"/>
      <c r="AO44" s="6"/>
      <c r="AP44" s="6"/>
      <c r="AQ44" s="6"/>
      <c r="AR44" s="6"/>
      <c r="AS44" s="6"/>
      <c r="AT44" s="6"/>
      <c r="AU44" s="6"/>
    </row>
    <row r="45" ht="14.25" customHeight="1">
      <c r="B45" s="26">
        <f t="shared" ref="B45:C45" si="84">B44+1</f>
        <v>19</v>
      </c>
      <c r="C45" s="26">
        <f t="shared" si="84"/>
        <v>19</v>
      </c>
      <c r="D45" s="26">
        <f t="shared" si="7"/>
        <v>0.1</v>
      </c>
      <c r="E45" s="28">
        <f t="shared" si="15"/>
        <v>0.0001365214769</v>
      </c>
      <c r="F45" s="28">
        <f t="shared" si="16"/>
        <v>0.0001213857944</v>
      </c>
      <c r="G45" s="28">
        <f t="shared" si="17"/>
        <v>0.00005454753737</v>
      </c>
      <c r="H45" s="28">
        <f t="shared" si="18"/>
        <v>0.0003812831989</v>
      </c>
      <c r="I45" s="28">
        <f t="shared" si="19"/>
        <v>0.004478800573</v>
      </c>
      <c r="J45" s="28">
        <f t="shared" si="20"/>
        <v>0.005550104478</v>
      </c>
      <c r="K45" s="28">
        <f t="shared" si="21"/>
        <v>0.05611609632</v>
      </c>
      <c r="L45" s="28">
        <f t="shared" si="22"/>
        <v>0.7495478921</v>
      </c>
      <c r="M45" s="28">
        <f t="shared" si="23"/>
        <v>0.1554445926</v>
      </c>
      <c r="N45" s="28">
        <f t="shared" si="24"/>
        <v>0.001965852603</v>
      </c>
      <c r="O45" s="28">
        <f t="shared" si="25"/>
        <v>0.001930587013</v>
      </c>
      <c r="P45" s="28">
        <f t="shared" si="26"/>
        <v>0.02427233629</v>
      </c>
      <c r="R45" s="26">
        <f t="shared" si="27"/>
        <v>1</v>
      </c>
      <c r="S45" s="30">
        <f t="shared" si="8"/>
        <v>1.398532835</v>
      </c>
      <c r="T45" s="30">
        <f t="shared" ref="T45:U45" si="85">((F44+F45)/2)*T$25*($C45-$C44)</f>
        <v>0.3996358037</v>
      </c>
      <c r="U45" s="30">
        <f t="shared" si="85"/>
        <v>0.19612021</v>
      </c>
      <c r="V45" s="30">
        <f t="shared" si="29"/>
        <v>0.9847853992</v>
      </c>
      <c r="W45" s="30">
        <f t="shared" ref="W45:X45" si="86">((I44+I45)/2)*W$25*($C45-$C44)</f>
        <v>10.21763572</v>
      </c>
      <c r="X45" s="30">
        <f t="shared" si="86"/>
        <v>12.51436584</v>
      </c>
      <c r="Y45" s="30">
        <f t="shared" si="31"/>
        <v>145.0022077</v>
      </c>
      <c r="Z45" s="30">
        <f>(L45-OFFSET(L45,-IF(C45-C44&gt;i_Cos_Days,1,MIN(B45,i_Cos_Days)),0))*MIN(i_Cos_Days,($C45-$C44))</f>
        <v>0</v>
      </c>
      <c r="AA45" s="30">
        <f t="shared" si="32"/>
        <v>66.01101721</v>
      </c>
      <c r="AB45" s="30">
        <f t="shared" si="33"/>
        <v>5.311922782</v>
      </c>
      <c r="AC45" s="30">
        <f t="shared" si="34"/>
        <v>0.6479855835</v>
      </c>
      <c r="AD45" s="30">
        <f t="shared" si="35"/>
        <v>0</v>
      </c>
      <c r="AE45" s="6"/>
      <c r="AF45" s="30">
        <f t="shared" si="11"/>
        <v>0.777716668</v>
      </c>
      <c r="AG45" s="30" t="str">
        <f>MIN(1,SUM(OFFSET(E45,0,0,-i_Eve_ECG,1)))</f>
        <v>#VALUE!</v>
      </c>
      <c r="AH45" s="30" t="str">
        <f t="shared" si="12"/>
        <v>#VALUE!</v>
      </c>
      <c r="AI45" s="30" t="str">
        <f t="shared" si="13"/>
        <v>#VALUE!</v>
      </c>
      <c r="AJ45" s="30" t="str">
        <f>(AH45*(i_Adv_Fals/i_Adv_Alar))*AJ$25</f>
        <v>#VALUE!</v>
      </c>
      <c r="AK45" s="30" t="str">
        <f>(AH45*(i_Adv_Lead/i_Adv_Alar))*AK$25</f>
        <v>#VALUE!</v>
      </c>
      <c r="AL45" s="30">
        <f>((SUM(F44:J44)-((I44+J44)*(1-i_Bac_ICU)))+(SUM(F45:J45)-((I45+J45)*(1-i_Bac_ICU))))/2*(C45-C44)</f>
        <v>0.002425956176</v>
      </c>
      <c r="AM45" s="30">
        <f>(((I44+J44)*(1-i_Bac_ICU))+((I45+J45)*(1-i_Bac_ICU))+K44+E44+E45+K45)/2*(C45-C44)</f>
        <v>0.06997571765</v>
      </c>
      <c r="AN45" s="6"/>
      <c r="AO45" s="6"/>
      <c r="AP45" s="6"/>
      <c r="AQ45" s="6"/>
      <c r="AR45" s="6"/>
      <c r="AS45" s="6"/>
      <c r="AT45" s="6"/>
      <c r="AU45" s="6"/>
    </row>
    <row r="46" ht="14.25" customHeight="1">
      <c r="B46" s="26">
        <f t="shared" ref="B46:C46" si="87">B45+1</f>
        <v>20</v>
      </c>
      <c r="C46" s="26">
        <f t="shared" si="87"/>
        <v>20</v>
      </c>
      <c r="D46" s="26">
        <f t="shared" si="7"/>
        <v>0.1</v>
      </c>
      <c r="E46" s="28">
        <f t="shared" si="15"/>
        <v>0.0001364487964</v>
      </c>
      <c r="F46" s="28">
        <f t="shared" si="16"/>
        <v>0.0001213165936</v>
      </c>
      <c r="G46" s="28">
        <f t="shared" si="17"/>
        <v>0.00004837115064</v>
      </c>
      <c r="H46" s="28">
        <f t="shared" si="18"/>
        <v>0.0003694003453</v>
      </c>
      <c r="I46" s="28">
        <f t="shared" si="19"/>
        <v>0.004280406974</v>
      </c>
      <c r="J46" s="28">
        <f t="shared" si="20"/>
        <v>0.00542975091</v>
      </c>
      <c r="K46" s="28">
        <f t="shared" si="21"/>
        <v>0.04714019299</v>
      </c>
      <c r="L46" s="28">
        <f t="shared" si="22"/>
        <v>0.7618379876</v>
      </c>
      <c r="M46" s="28">
        <f t="shared" si="23"/>
        <v>0.1519824968</v>
      </c>
      <c r="N46" s="28">
        <f t="shared" si="24"/>
        <v>0.002111684341</v>
      </c>
      <c r="O46" s="28">
        <f t="shared" si="25"/>
        <v>0.002055669737</v>
      </c>
      <c r="P46" s="28">
        <f t="shared" si="26"/>
        <v>0.02448627386</v>
      </c>
      <c r="R46" s="26">
        <f t="shared" si="27"/>
        <v>1</v>
      </c>
      <c r="S46" s="30">
        <f t="shared" si="8"/>
        <v>1.397788293</v>
      </c>
      <c r="T46" s="30">
        <f t="shared" ref="T46:U46" si="88">((F45+F46)/2)*T$25*($C46-$C45)</f>
        <v>0.3993995443</v>
      </c>
      <c r="U46" s="30">
        <f t="shared" si="88"/>
        <v>0.1693665951</v>
      </c>
      <c r="V46" s="30">
        <f t="shared" si="29"/>
        <v>0.95168657</v>
      </c>
      <c r="W46" s="30">
        <f t="shared" ref="W46:X46" si="89">((I45+I46)/2)*W$25*($C46-$C45)</f>
        <v>9.776109978</v>
      </c>
      <c r="X46" s="30">
        <f t="shared" si="89"/>
        <v>12.2545645</v>
      </c>
      <c r="Y46" s="30">
        <f t="shared" si="31"/>
        <v>121.7030254</v>
      </c>
      <c r="Z46" s="30">
        <f>(L46-OFFSET(L46,-IF(C46-C45&gt;i_Cos_Days,1,MIN(B46,i_Cos_Days)),0))*MIN(i_Cos_Days,($C46-$C45))</f>
        <v>0</v>
      </c>
      <c r="AA46" s="30">
        <f t="shared" si="32"/>
        <v>64.62578559</v>
      </c>
      <c r="AB46" s="30">
        <f t="shared" si="33"/>
        <v>5.374927017</v>
      </c>
      <c r="AC46" s="30">
        <f t="shared" si="34"/>
        <v>0.6556712817</v>
      </c>
      <c r="AD46" s="30">
        <f t="shared" si="35"/>
        <v>0</v>
      </c>
      <c r="AE46" s="6"/>
      <c r="AF46" s="30">
        <f t="shared" si="11"/>
        <v>0.7904916155</v>
      </c>
      <c r="AG46" s="30" t="str">
        <f>MIN(1,SUM(OFFSET(E46,0,0,-i_Eve_ECG,1)))</f>
        <v>#VALUE!</v>
      </c>
      <c r="AH46" s="30" t="str">
        <f t="shared" si="12"/>
        <v>#VALUE!</v>
      </c>
      <c r="AI46" s="30" t="str">
        <f t="shared" si="13"/>
        <v>#VALUE!</v>
      </c>
      <c r="AJ46" s="30" t="str">
        <f>(AH46*(i_Adv_Fals/i_Adv_Alar))*AJ$25</f>
        <v>#VALUE!</v>
      </c>
      <c r="AK46" s="30" t="str">
        <f>(AH46*(i_Adv_Lead/i_Adv_Alar))*AK$25</f>
        <v>#VALUE!</v>
      </c>
      <c r="AL46" s="30">
        <f>((SUM(F45:J45)-((I45+J45)*(1-i_Bac_ICU)))+(SUM(F46:J46)-((I46+J46)*(1-i_Bac_ICU))))/2*(C46-C45)</f>
        <v>0.002347423462</v>
      </c>
      <c r="AM46" s="30">
        <f>(((I45+J45)*(1-i_Bac_ICU))+((I46+J46)*(1-i_Bac_ICU))+K45+E45+E46+K46)/2*(C46-C45)</f>
        <v>0.0598348901</v>
      </c>
      <c r="AN46" s="6"/>
      <c r="AO46" s="6"/>
      <c r="AP46" s="6"/>
      <c r="AQ46" s="6"/>
      <c r="AR46" s="6"/>
      <c r="AS46" s="6"/>
      <c r="AT46" s="6"/>
      <c r="AU46" s="6"/>
    </row>
    <row r="47" ht="14.25" customHeight="1">
      <c r="B47" s="26">
        <f t="shared" ref="B47:C47" si="90">B46+1</f>
        <v>21</v>
      </c>
      <c r="C47" s="26">
        <f t="shared" si="90"/>
        <v>21</v>
      </c>
      <c r="D47" s="26">
        <f t="shared" si="7"/>
        <v>0.1</v>
      </c>
      <c r="E47" s="28">
        <f t="shared" si="15"/>
        <v>0.000136380722</v>
      </c>
      <c r="F47" s="28">
        <f t="shared" si="16"/>
        <v>0.0001212519831</v>
      </c>
      <c r="G47" s="28">
        <f t="shared" si="17"/>
        <v>0.0000445842567</v>
      </c>
      <c r="H47" s="28">
        <f t="shared" si="18"/>
        <v>0.0003589669751</v>
      </c>
      <c r="I47" s="28">
        <f t="shared" si="19"/>
        <v>0.004083068595</v>
      </c>
      <c r="J47" s="28">
        <f t="shared" si="20"/>
        <v>0.005303680063</v>
      </c>
      <c r="K47" s="28">
        <f t="shared" si="21"/>
        <v>0.03967318327</v>
      </c>
      <c r="L47" s="28">
        <f t="shared" si="22"/>
        <v>0.772894766</v>
      </c>
      <c r="M47" s="28">
        <f t="shared" si="23"/>
        <v>0.1482750329</v>
      </c>
      <c r="N47" s="28">
        <f t="shared" si="24"/>
        <v>0.002253651938</v>
      </c>
      <c r="O47" s="28">
        <f t="shared" si="25"/>
        <v>0.002174884213</v>
      </c>
      <c r="P47" s="28">
        <f t="shared" si="26"/>
        <v>0.02468054906</v>
      </c>
      <c r="R47" s="26">
        <f t="shared" si="27"/>
        <v>1</v>
      </c>
      <c r="S47" s="30">
        <f t="shared" si="8"/>
        <v>1.397090935</v>
      </c>
      <c r="T47" s="30">
        <f t="shared" ref="T47:U47" si="91">((F46+F47)/2)*T$25*($C47-$C46)</f>
        <v>0.3991793398</v>
      </c>
      <c r="U47" s="30">
        <f t="shared" si="91"/>
        <v>0.1529706718</v>
      </c>
      <c r="V47" s="30">
        <f t="shared" si="29"/>
        <v>0.9233949541</v>
      </c>
      <c r="W47" s="30">
        <f t="shared" ref="W47:X47" si="92">((I46+I47)/2)*W$25*($C47-$C46)</f>
        <v>9.334435395</v>
      </c>
      <c r="X47" s="30">
        <f t="shared" si="92"/>
        <v>11.97953138</v>
      </c>
      <c r="Y47" s="30">
        <f t="shared" si="31"/>
        <v>102.3225859</v>
      </c>
      <c r="Z47" s="30">
        <f>(L47-OFFSET(L47,-IF(C47-C46&gt;i_Cos_Days,1,MIN(B47,i_Cos_Days)),0))*MIN(i_Cos_Days,($C47-$C46))</f>
        <v>0</v>
      </c>
      <c r="AA47" s="30">
        <f t="shared" si="32"/>
        <v>63.11863659</v>
      </c>
      <c r="AB47" s="30">
        <f t="shared" si="33"/>
        <v>5.427358229</v>
      </c>
      <c r="AC47" s="30">
        <f t="shared" si="34"/>
        <v>0.6620672087</v>
      </c>
      <c r="AD47" s="30">
        <f t="shared" si="35"/>
        <v>0</v>
      </c>
      <c r="AE47" s="6"/>
      <c r="AF47" s="30">
        <f t="shared" si="11"/>
        <v>0.8020038513</v>
      </c>
      <c r="AG47" s="30" t="str">
        <f>MIN(1,SUM(OFFSET(E47,0,0,-i_Eve_ECG,1)))</f>
        <v>#VALUE!</v>
      </c>
      <c r="AH47" s="30" t="str">
        <f t="shared" si="12"/>
        <v>#VALUE!</v>
      </c>
      <c r="AI47" s="30" t="str">
        <f t="shared" si="13"/>
        <v>#VALUE!</v>
      </c>
      <c r="AJ47" s="30" t="str">
        <f>(AH47*(i_Adv_Fals/i_Adv_Alar))*AJ$25</f>
        <v>#VALUE!</v>
      </c>
      <c r="AK47" s="30" t="str">
        <f>(AH47*(i_Adv_Lead/i_Adv_Alar))*AK$25</f>
        <v>#VALUE!</v>
      </c>
      <c r="AL47" s="30">
        <f>((SUM(F46:J46)-((I46+J46)*(1-i_Bac_ICU)))+(SUM(F47:J47)-((I47+J47)*(1-i_Bac_ICU))))/2*(C47-C46)</f>
        <v>0.002272682442</v>
      </c>
      <c r="AM47" s="30">
        <f>(((I46+J46)*(1-i_Bac_ICU))+((I47+J47)*(1-i_Bac_ICU))+K46+E46+E47+K47)/2*(C47-C46)</f>
        <v>0.05135081937</v>
      </c>
      <c r="AN47" s="6"/>
      <c r="AO47" s="6"/>
      <c r="AP47" s="6"/>
      <c r="AQ47" s="6"/>
      <c r="AR47" s="6"/>
      <c r="AS47" s="6"/>
      <c r="AT47" s="6"/>
      <c r="AU47" s="6"/>
    </row>
    <row r="48" ht="14.25" customHeight="1">
      <c r="B48" s="26">
        <f t="shared" ref="B48:C48" si="93">B47+1</f>
        <v>22</v>
      </c>
      <c r="C48" s="26">
        <f t="shared" si="93"/>
        <v>22</v>
      </c>
      <c r="D48" s="26">
        <f t="shared" si="7"/>
        <v>0.1</v>
      </c>
      <c r="E48" s="28">
        <f t="shared" si="15"/>
        <v>0.0001363167747</v>
      </c>
      <c r="F48" s="28">
        <f t="shared" si="16"/>
        <v>0.0001211914683</v>
      </c>
      <c r="G48" s="28">
        <f t="shared" si="17"/>
        <v>0.00004225983642</v>
      </c>
      <c r="H48" s="28">
        <f t="shared" si="18"/>
        <v>0.0003494605203</v>
      </c>
      <c r="I48" s="28">
        <f t="shared" si="19"/>
        <v>0.003888526971</v>
      </c>
      <c r="J48" s="28">
        <f t="shared" si="20"/>
        <v>0.005173700757</v>
      </c>
      <c r="K48" s="28">
        <f t="shared" si="21"/>
        <v>0.03345957799</v>
      </c>
      <c r="L48" s="28">
        <f t="shared" si="22"/>
        <v>0.7828957793</v>
      </c>
      <c r="M48" s="28">
        <f t="shared" si="23"/>
        <v>0.1443950901</v>
      </c>
      <c r="N48" s="28">
        <f t="shared" si="24"/>
        <v>0.002391544335</v>
      </c>
      <c r="O48" s="28">
        <f t="shared" si="25"/>
        <v>0.002288207115</v>
      </c>
      <c r="P48" s="28">
        <f t="shared" si="26"/>
        <v>0.02485834479</v>
      </c>
      <c r="R48" s="26">
        <f t="shared" si="27"/>
        <v>1</v>
      </c>
      <c r="S48" s="30">
        <f t="shared" si="8"/>
        <v>1.396435855</v>
      </c>
      <c r="T48" s="30">
        <f t="shared" ref="T48:U48" si="94">((F47+F48)/2)*T$25*($C48-$C47)</f>
        <v>0.3989734291</v>
      </c>
      <c r="U48" s="30">
        <f t="shared" si="94"/>
        <v>0.1429136792</v>
      </c>
      <c r="V48" s="30">
        <f t="shared" si="29"/>
        <v>0.8981160416</v>
      </c>
      <c r="W48" s="30">
        <f t="shared" ref="W48:X48" si="95">((I47+I48)/2)*W$25*($C48-$C47)</f>
        <v>8.897059984</v>
      </c>
      <c r="X48" s="30">
        <f t="shared" si="95"/>
        <v>11.69375501</v>
      </c>
      <c r="Y48" s="30">
        <f t="shared" si="31"/>
        <v>86.19792906</v>
      </c>
      <c r="Z48" s="30">
        <f>(L48-OFFSET(L48,-IF(C48-C47&gt;i_Cos_Days,1,MIN(B48,i_Cos_Days)),0))*MIN(i_Cos_Days,($C48-$C47))</f>
        <v>0</v>
      </c>
      <c r="AA48" s="30">
        <f t="shared" si="32"/>
        <v>61.52364991</v>
      </c>
      <c r="AB48" s="30">
        <f t="shared" si="33"/>
        <v>5.471007243</v>
      </c>
      <c r="AC48" s="30">
        <f t="shared" si="34"/>
        <v>0.6673918214</v>
      </c>
      <c r="AD48" s="30">
        <f t="shared" si="35"/>
        <v>0</v>
      </c>
      <c r="AE48" s="6"/>
      <c r="AF48" s="30">
        <f t="shared" si="11"/>
        <v>0.8124338756</v>
      </c>
      <c r="AG48" s="30" t="str">
        <f>MIN(1,SUM(OFFSET(E48,0,0,-i_Eve_ECG,1)))</f>
        <v>#VALUE!</v>
      </c>
      <c r="AH48" s="30" t="str">
        <f t="shared" si="12"/>
        <v>#VALUE!</v>
      </c>
      <c r="AI48" s="30" t="str">
        <f t="shared" si="13"/>
        <v>#VALUE!</v>
      </c>
      <c r="AJ48" s="30" t="str">
        <f>(AH48*(i_Adv_Fals/i_Adv_Alar))*AJ$25</f>
        <v>#VALUE!</v>
      </c>
      <c r="AK48" s="30" t="str">
        <f>(AH48*(i_Adv_Lead/i_Adv_Alar))*AK$25</f>
        <v>#VALUE!</v>
      </c>
      <c r="AL48" s="30">
        <f>((SUM(F47:J47)-((I47+J47)*(1-i_Bac_ICU)))+(SUM(F48:J48)-((I48+J48)*(1-i_Bac_ICU))))/2*(C48-C47)</f>
        <v>0.002200533652</v>
      </c>
      <c r="AM48" s="30">
        <f>(((I47+J47)*(1-i_Bac_ICU))+((I48+J48)*(1-i_Bac_ICU))+K47+E47+E48+K48)/2*(C48-C47)</f>
        <v>0.04424554144</v>
      </c>
      <c r="AN48" s="6"/>
      <c r="AO48" s="6" t="str">
        <f>SUM(OFFSET($AI$26,0,0,92,3))</f>
        <v>#VALUE!</v>
      </c>
      <c r="AP48" s="6"/>
      <c r="AQ48" s="6"/>
      <c r="AR48" s="6"/>
      <c r="AS48" s="6"/>
      <c r="AT48" s="6"/>
      <c r="AU48" s="6"/>
    </row>
    <row r="49" ht="14.25" customHeight="1">
      <c r="B49" s="26">
        <f t="shared" ref="B49:C49" si="96">B48+1</f>
        <v>23</v>
      </c>
      <c r="C49" s="26">
        <f t="shared" si="96"/>
        <v>23</v>
      </c>
      <c r="D49" s="26">
        <f t="shared" si="7"/>
        <v>0.1</v>
      </c>
      <c r="E49" s="28">
        <f t="shared" si="15"/>
        <v>0.0001362565404</v>
      </c>
      <c r="F49" s="28">
        <f t="shared" si="16"/>
        <v>0.0001211346232</v>
      </c>
      <c r="G49" s="28">
        <f t="shared" si="17"/>
        <v>0.0000408306574</v>
      </c>
      <c r="H49" s="28">
        <f t="shared" si="18"/>
        <v>0.0003405795298</v>
      </c>
      <c r="I49" s="28">
        <f t="shared" si="19"/>
        <v>0.003698113768</v>
      </c>
      <c r="J49" s="28">
        <f t="shared" si="20"/>
        <v>0.00504128724</v>
      </c>
      <c r="K49" s="28">
        <f t="shared" si="21"/>
        <v>0.02828695154</v>
      </c>
      <c r="L49" s="28">
        <f t="shared" si="22"/>
        <v>0.7919896161</v>
      </c>
      <c r="M49" s="28">
        <f t="shared" si="23"/>
        <v>0.1404020116</v>
      </c>
      <c r="N49" s="28">
        <f t="shared" si="24"/>
        <v>0.002525222348</v>
      </c>
      <c r="O49" s="28">
        <f t="shared" si="25"/>
        <v>0.002395686932</v>
      </c>
      <c r="P49" s="28">
        <f t="shared" si="26"/>
        <v>0.02502230916</v>
      </c>
      <c r="R49" s="26">
        <f t="shared" si="27"/>
        <v>1</v>
      </c>
      <c r="S49" s="30">
        <f t="shared" si="8"/>
        <v>1.395818813</v>
      </c>
      <c r="T49" s="30">
        <f t="shared" ref="T49:U49" si="97">((F48+F49)/2)*T$25*($C49-$C48)</f>
        <v>0.3987802975</v>
      </c>
      <c r="U49" s="30">
        <f t="shared" si="97"/>
        <v>0.1367366248</v>
      </c>
      <c r="V49" s="30">
        <f t="shared" si="29"/>
        <v>0.874805174</v>
      </c>
      <c r="W49" s="30">
        <f t="shared" ref="W49:X49" si="98">((I48+I49)/2)*W$25*($C49-$C48)</f>
        <v>8.467413728</v>
      </c>
      <c r="X49" s="30">
        <f t="shared" si="98"/>
        <v>11.40089963</v>
      </c>
      <c r="Y49" s="30">
        <f t="shared" si="31"/>
        <v>72.77754702</v>
      </c>
      <c r="Z49" s="30">
        <f>(L49-OFFSET(L49,-IF(C49-C48&gt;i_Cos_Days,1,MIN(B49,i_Cos_Days)),0))*MIN(i_Cos_Days,($C49-$C48))</f>
        <v>0</v>
      </c>
      <c r="AA49" s="30">
        <f t="shared" si="32"/>
        <v>59.86862274</v>
      </c>
      <c r="AB49" s="30">
        <f t="shared" si="33"/>
        <v>5.507361476</v>
      </c>
      <c r="AC49" s="30">
        <f t="shared" si="34"/>
        <v>0.6718265656</v>
      </c>
      <c r="AD49" s="30">
        <f t="shared" si="35"/>
        <v>0</v>
      </c>
      <c r="AE49" s="6"/>
      <c r="AF49" s="30">
        <f t="shared" si="11"/>
        <v>0.8219328345</v>
      </c>
      <c r="AG49" s="30" t="str">
        <f>MIN(1,SUM(OFFSET(E49,0,0,-i_Eve_ECG,1)))</f>
        <v>#VALUE!</v>
      </c>
      <c r="AH49" s="30" t="str">
        <f t="shared" si="12"/>
        <v>#VALUE!</v>
      </c>
      <c r="AI49" s="30" t="str">
        <f t="shared" si="13"/>
        <v>#VALUE!</v>
      </c>
      <c r="AJ49" s="30" t="str">
        <f>(AH49*(i_Adv_Fals/i_Adv_Alar))*AJ$25</f>
        <v>#VALUE!</v>
      </c>
      <c r="AK49" s="30" t="str">
        <f>(AH49*(i_Adv_Lead/i_Adv_Alar))*AK$25</f>
        <v>#VALUE!</v>
      </c>
      <c r="AL49" s="30">
        <f>((SUM(F48:J48)-((I48+J48)*(1-i_Bac_ICU)))+(SUM(F49:J49)-((I49+J49)*(1-i_Bac_ICU))))/2*(C49-C48)</f>
        <v>0.002130396889</v>
      </c>
      <c r="AM49" s="30">
        <f>(((I48+J48)*(1-i_Bac_ICU))+((I49+J49)*(1-i_Bac_ICU))+K48+E48+E49+K49)/2*(C49-C48)</f>
        <v>0.03828769722</v>
      </c>
      <c r="AN49" s="6"/>
      <c r="AO49" s="6">
        <f>SUM(OFFSET($S$26,0,0,92,12))</f>
        <v>35097.82165</v>
      </c>
      <c r="AP49" s="6"/>
      <c r="AQ49" s="6"/>
      <c r="AR49" s="6"/>
      <c r="AS49" s="6"/>
      <c r="AT49" s="6"/>
      <c r="AU49" s="6"/>
    </row>
    <row r="50" ht="14.25" customHeight="1">
      <c r="B50" s="26">
        <f t="shared" ref="B50:C50" si="99">B49+1</f>
        <v>24</v>
      </c>
      <c r="C50" s="26">
        <f t="shared" si="99"/>
        <v>24</v>
      </c>
      <c r="D50" s="26">
        <f t="shared" si="7"/>
        <v>0.1</v>
      </c>
      <c r="E50" s="28">
        <f t="shared" si="15"/>
        <v>0.0001361996602</v>
      </c>
      <c r="F50" s="28">
        <f t="shared" si="16"/>
        <v>0.0001210810796</v>
      </c>
      <c r="G50" s="28">
        <f t="shared" si="17"/>
        <v>0.00003994962334</v>
      </c>
      <c r="H50" s="28">
        <f t="shared" si="18"/>
        <v>0.0003321533736</v>
      </c>
      <c r="I50" s="28">
        <f t="shared" si="19"/>
        <v>0.003512827174</v>
      </c>
      <c r="J50" s="28">
        <f t="shared" si="20"/>
        <v>0.004907636918</v>
      </c>
      <c r="K50" s="28">
        <f t="shared" si="21"/>
        <v>0.0239788063</v>
      </c>
      <c r="L50" s="28">
        <f t="shared" si="22"/>
        <v>0.8003007412</v>
      </c>
      <c r="M50" s="28">
        <f t="shared" si="23"/>
        <v>0.1363439264</v>
      </c>
      <c r="N50" s="28">
        <f t="shared" si="24"/>
        <v>0.002654604961</v>
      </c>
      <c r="O50" s="28">
        <f t="shared" si="25"/>
        <v>0.002497427249</v>
      </c>
      <c r="P50" s="28">
        <f t="shared" si="26"/>
        <v>0.02517464603</v>
      </c>
      <c r="R50" s="26">
        <f t="shared" si="27"/>
        <v>1</v>
      </c>
      <c r="S50" s="30">
        <f t="shared" si="8"/>
        <v>1.395236129</v>
      </c>
      <c r="T50" s="30">
        <f t="shared" ref="T50:U50" si="100">((F49+F50)/2)*T$25*($C50-$C49)</f>
        <v>0.3985986381</v>
      </c>
      <c r="U50" s="30">
        <f t="shared" si="100"/>
        <v>0.1329348573</v>
      </c>
      <c r="V50" s="30">
        <f t="shared" si="29"/>
        <v>0.8528638656</v>
      </c>
      <c r="W50" s="30">
        <f t="shared" ref="W50:X50" si="101">((I49+I50)/2)*W$25*($C50-$C49)</f>
        <v>8.048096968</v>
      </c>
      <c r="X50" s="30">
        <f t="shared" si="101"/>
        <v>11.10394704</v>
      </c>
      <c r="Y50" s="30">
        <f t="shared" si="31"/>
        <v>61.60303547</v>
      </c>
      <c r="Z50" s="30">
        <f>(L50-OFFSET(L50,-IF(C50-C49&gt;i_Cos_Days,1,MIN(B50,i_Cos_Days)),0))*MIN(i_Cos_Days,($C50-$C49))</f>
        <v>0</v>
      </c>
      <c r="AA50" s="30">
        <f t="shared" si="32"/>
        <v>58.17614736</v>
      </c>
      <c r="AB50" s="30">
        <f t="shared" si="33"/>
        <v>5.537655875</v>
      </c>
      <c r="AC50" s="30">
        <f t="shared" si="34"/>
        <v>0.6755220888</v>
      </c>
      <c r="AD50" s="30">
        <f t="shared" si="35"/>
        <v>0</v>
      </c>
      <c r="AE50" s="6"/>
      <c r="AF50" s="30">
        <f t="shared" si="11"/>
        <v>0.8306274195</v>
      </c>
      <c r="AG50" s="30" t="str">
        <f>MIN(1,SUM(OFFSET(E50,0,0,-i_Eve_ECG,1)))</f>
        <v>#VALUE!</v>
      </c>
      <c r="AH50" s="30" t="str">
        <f t="shared" si="12"/>
        <v>#VALUE!</v>
      </c>
      <c r="AI50" s="30" t="str">
        <f t="shared" si="13"/>
        <v>#VALUE!</v>
      </c>
      <c r="AJ50" s="30" t="str">
        <f>(AH50*(i_Adv_Fals/i_Adv_Alar))*AJ$25</f>
        <v>#VALUE!</v>
      </c>
      <c r="AK50" s="30" t="str">
        <f>(AH50*(i_Adv_Lead/i_Adv_Alar))*AK$25</f>
        <v>#VALUE!</v>
      </c>
      <c r="AL50" s="30">
        <f>((SUM(F49:J49)-((I49+J49)*(1-i_Bac_ICU)))+(SUM(F50:J50)-((I50+J50)*(1-i_Bac_ICU))))/2*(C50-C49)</f>
        <v>0.002062034453</v>
      </c>
      <c r="AM50" s="30">
        <f>(((I49+J49)*(1-i_Bac_ICU))+((I50+J50)*(1-i_Bac_ICU))+K49+E49+E50+K50)/2*(C50-C49)</f>
        <v>0.03328486956</v>
      </c>
      <c r="AN50" s="6"/>
      <c r="AO50" s="6"/>
      <c r="AP50" s="6"/>
      <c r="AQ50" s="6"/>
      <c r="AR50" s="6"/>
      <c r="AS50" s="6"/>
      <c r="AT50" s="6"/>
      <c r="AU50" s="6"/>
    </row>
    <row r="51" ht="14.25" customHeight="1">
      <c r="B51" s="26">
        <f t="shared" ref="B51:C51" si="102">B50+1</f>
        <v>25</v>
      </c>
      <c r="C51" s="26">
        <f t="shared" si="102"/>
        <v>25</v>
      </c>
      <c r="D51" s="26">
        <f t="shared" si="7"/>
        <v>0.1</v>
      </c>
      <c r="E51" s="28">
        <f t="shared" si="15"/>
        <v>0.0001361458214</v>
      </c>
      <c r="F51" s="28">
        <f t="shared" si="16"/>
        <v>0.0001210305183</v>
      </c>
      <c r="G51" s="28">
        <f t="shared" si="17"/>
        <v>0.00003940433025</v>
      </c>
      <c r="H51" s="28">
        <f t="shared" si="18"/>
        <v>0.0003240878358</v>
      </c>
      <c r="I51" s="28">
        <f t="shared" si="19"/>
        <v>0.003333394977</v>
      </c>
      <c r="J51" s="28">
        <f t="shared" si="20"/>
        <v>0.004773718288</v>
      </c>
      <c r="K51" s="28">
        <f t="shared" si="21"/>
        <v>0.02038856861</v>
      </c>
      <c r="L51" s="28">
        <f t="shared" si="22"/>
        <v>0.8079335365</v>
      </c>
      <c r="M51" s="28">
        <f t="shared" si="23"/>
        <v>0.1322596917</v>
      </c>
      <c r="N51" s="28">
        <f t="shared" si="24"/>
        <v>0.002779658003</v>
      </c>
      <c r="O51" s="28">
        <f t="shared" si="25"/>
        <v>0.00259357316</v>
      </c>
      <c r="P51" s="28">
        <f t="shared" si="26"/>
        <v>0.0253171903</v>
      </c>
      <c r="R51" s="26">
        <f t="shared" si="27"/>
        <v>1</v>
      </c>
      <c r="S51" s="30">
        <f t="shared" si="8"/>
        <v>1.394684601</v>
      </c>
      <c r="T51" s="30">
        <f t="shared" ref="T51:U51" si="103">((F50+F51)/2)*T$25*($C51-$C50)</f>
        <v>0.3984273194</v>
      </c>
      <c r="U51" s="30">
        <f t="shared" si="103"/>
        <v>0.1305876434</v>
      </c>
      <c r="V51" s="30">
        <f t="shared" si="29"/>
        <v>0.8319563555</v>
      </c>
      <c r="W51" s="30">
        <f t="shared" ref="W51:X51" si="104">((I50+I51)/2)*W$25*($C51-$C50)</f>
        <v>7.641036056</v>
      </c>
      <c r="X51" s="30">
        <f t="shared" si="104"/>
        <v>10.8053146</v>
      </c>
      <c r="Y51" s="30">
        <f t="shared" si="31"/>
        <v>52.29360643</v>
      </c>
      <c r="Z51" s="30">
        <f>(L51-OFFSET(L51,-IF(C51-C50&gt;i_Cos_Days,1,MIN(B51,i_Cos_Days)),0))*MIN(i_Cos_Days,($C51-$C50))</f>
        <v>0</v>
      </c>
      <c r="AA51" s="30">
        <f t="shared" si="32"/>
        <v>56.46450958</v>
      </c>
      <c r="AB51" s="30">
        <f t="shared" si="33"/>
        <v>5.562915509</v>
      </c>
      <c r="AC51" s="30">
        <f t="shared" si="34"/>
        <v>0.6786034361</v>
      </c>
      <c r="AD51" s="30">
        <f t="shared" si="35"/>
        <v>0</v>
      </c>
      <c r="AE51" s="6"/>
      <c r="AF51" s="30">
        <f t="shared" si="11"/>
        <v>0.8386239579</v>
      </c>
      <c r="AG51" s="30" t="str">
        <f>MIN(1,SUM(OFFSET(E51,0,0,-i_Eve_ECG,1)))</f>
        <v>#VALUE!</v>
      </c>
      <c r="AH51" s="30" t="str">
        <f t="shared" si="12"/>
        <v>#VALUE!</v>
      </c>
      <c r="AI51" s="30" t="str">
        <f t="shared" si="13"/>
        <v>#VALUE!</v>
      </c>
      <c r="AJ51" s="30" t="str">
        <f>(AH51*(i_Adv_Fals/i_Adv_Alar))*AJ$25</f>
        <v>#VALUE!</v>
      </c>
      <c r="AK51" s="30" t="str">
        <f>(AH51*(i_Adv_Lead/i_Adv_Alar))*AK$25</f>
        <v>#VALUE!</v>
      </c>
      <c r="AL51" s="30">
        <f>((SUM(F50:J50)-((I50+J50)*(1-i_Bac_ICU)))+(SUM(F51:J51)-((I51+J51)*(1-i_Bac_ICU))))/2*(C51-C50)</f>
        <v>0.001995388582</v>
      </c>
      <c r="AM51" s="30">
        <f>(((I50+J50)*(1-i_Bac_ICU))+((I51+J51)*(1-i_Bac_ICU))+K50+E50+E51+K51)/2*(C51-C50)</f>
        <v>0.02907711367</v>
      </c>
      <c r="AN51" s="6"/>
      <c r="AO51" s="6">
        <f>SUM(OFFSET($S$26,93,0,2,12))</f>
        <v>350.1718116</v>
      </c>
      <c r="AP51" s="6"/>
      <c r="AQ51" s="6"/>
      <c r="AR51" s="6"/>
      <c r="AS51" s="6"/>
      <c r="AT51" s="6"/>
      <c r="AU51" s="6"/>
    </row>
    <row r="52" ht="14.25" customHeight="1">
      <c r="B52" s="26">
        <f t="shared" ref="B52:C52" si="105">B51+1</f>
        <v>26</v>
      </c>
      <c r="C52" s="26">
        <f t="shared" si="105"/>
        <v>26</v>
      </c>
      <c r="D52" s="26">
        <f t="shared" si="7"/>
        <v>0.1</v>
      </c>
      <c r="E52" s="28">
        <f t="shared" si="15"/>
        <v>0.0001360947508</v>
      </c>
      <c r="F52" s="28">
        <f t="shared" si="16"/>
        <v>0.0001209826611</v>
      </c>
      <c r="G52" s="28">
        <f t="shared" si="17"/>
        <v>0.00003906478827</v>
      </c>
      <c r="H52" s="28">
        <f t="shared" si="18"/>
        <v>0.0003163325168</v>
      </c>
      <c r="I52" s="28">
        <f t="shared" si="19"/>
        <v>0.00316032656</v>
      </c>
      <c r="J52" s="28">
        <f t="shared" si="20"/>
        <v>0.004640310728</v>
      </c>
      <c r="K52" s="28">
        <f t="shared" si="21"/>
        <v>0.0173945573</v>
      </c>
      <c r="L52" s="28">
        <f t="shared" si="22"/>
        <v>0.8149756674</v>
      </c>
      <c r="M52" s="28">
        <f t="shared" si="23"/>
        <v>0.1281805078</v>
      </c>
      <c r="N52" s="28">
        <f t="shared" si="24"/>
        <v>0.002900384797</v>
      </c>
      <c r="O52" s="28">
        <f t="shared" si="25"/>
        <v>0.002684300262</v>
      </c>
      <c r="P52" s="28">
        <f t="shared" si="26"/>
        <v>0.02545147046</v>
      </c>
      <c r="R52" s="26">
        <f t="shared" si="27"/>
        <v>1</v>
      </c>
      <c r="S52" s="30">
        <f t="shared" si="8"/>
        <v>1.394161432</v>
      </c>
      <c r="T52" s="30">
        <f t="shared" ref="T52:U52" si="106">((F51+F52)/2)*T$25*($C52-$C51)</f>
        <v>0.3982653585</v>
      </c>
      <c r="U52" s="30">
        <f t="shared" si="106"/>
        <v>0.1291315279</v>
      </c>
      <c r="V52" s="30">
        <f t="shared" si="29"/>
        <v>0.8118993061</v>
      </c>
      <c r="W52" s="30">
        <f t="shared" ref="W52:X52" si="107">((I51+I52)/2)*W$25*($C52-$C51)</f>
        <v>7.247611792</v>
      </c>
      <c r="X52" s="30">
        <f t="shared" si="107"/>
        <v>10.50695311</v>
      </c>
      <c r="Y52" s="30">
        <f t="shared" si="31"/>
        <v>44.53308135</v>
      </c>
      <c r="Z52" s="30">
        <f>(L52-OFFSET(L52,-IF(C52-C51&gt;i_Cos_Days,1,MIN(B52,i_Cos_Days)),0))*MIN(i_Cos_Days,($C52-$C51))</f>
        <v>0</v>
      </c>
      <c r="AA52" s="30">
        <f t="shared" si="32"/>
        <v>54.74843654</v>
      </c>
      <c r="AB52" s="30">
        <f t="shared" si="33"/>
        <v>5.583991103</v>
      </c>
      <c r="AC52" s="30">
        <f t="shared" si="34"/>
        <v>0.6811743848</v>
      </c>
      <c r="AD52" s="30">
        <f t="shared" si="35"/>
        <v>0</v>
      </c>
      <c r="AE52" s="6"/>
      <c r="AF52" s="30">
        <f t="shared" si="11"/>
        <v>0.8460118229</v>
      </c>
      <c r="AG52" s="30" t="str">
        <f>MIN(1,SUM(OFFSET(E52,0,0,-i_Eve_ECG,1)))</f>
        <v>#VALUE!</v>
      </c>
      <c r="AH52" s="30" t="str">
        <f t="shared" si="12"/>
        <v>#VALUE!</v>
      </c>
      <c r="AI52" s="30" t="str">
        <f t="shared" si="13"/>
        <v>#VALUE!</v>
      </c>
      <c r="AJ52" s="30" t="str">
        <f>(AH52*(i_Adv_Fals/i_Adv_Alar))*AJ$25</f>
        <v>#VALUE!</v>
      </c>
      <c r="AK52" s="30" t="str">
        <f>(AH52*(i_Adv_Lead/i_Adv_Alar))*AK$25</f>
        <v>#VALUE!</v>
      </c>
      <c r="AL52" s="30">
        <f>((SUM(F51:J51)-((I51+J51)*(1-i_Bac_ICU)))+(SUM(F52:J52)-((I52+J52)*(1-i_Bac_ICU))))/2*(C52-C51)</f>
        <v>0.001930487569</v>
      </c>
      <c r="AM52" s="30">
        <f>(((I51+J51)*(1-i_Bac_ICU))+((I52+J52)*(1-i_Bac_ICU))+K51+E51+E52+K52)/2*(C52-C51)</f>
        <v>0.02553152227</v>
      </c>
      <c r="AN52" s="6"/>
      <c r="AO52" s="6">
        <f>SUM(OFFSET($AI$26,93,0,2,3))</f>
        <v>0</v>
      </c>
      <c r="AP52" s="6"/>
      <c r="AQ52" s="6"/>
      <c r="AR52" s="6"/>
      <c r="AS52" s="6"/>
      <c r="AT52" s="6"/>
      <c r="AU52" s="6"/>
    </row>
    <row r="53" ht="14.25" customHeight="1">
      <c r="B53" s="26">
        <f t="shared" ref="B53:C53" si="108">B52+1</f>
        <v>27</v>
      </c>
      <c r="C53" s="26">
        <f t="shared" si="108"/>
        <v>27</v>
      </c>
      <c r="D53" s="26">
        <f t="shared" si="7"/>
        <v>0.1</v>
      </c>
      <c r="E53" s="28">
        <f t="shared" si="15"/>
        <v>0.0001360462088</v>
      </c>
      <c r="F53" s="28">
        <f t="shared" si="16"/>
        <v>0.0001209372653</v>
      </c>
      <c r="G53" s="28">
        <f t="shared" si="17"/>
        <v>0.00003885143546</v>
      </c>
      <c r="H53" s="28">
        <f t="shared" si="18"/>
        <v>0.0003088614575</v>
      </c>
      <c r="I53" s="28">
        <f t="shared" si="19"/>
        <v>0.002993955714</v>
      </c>
      <c r="J53" s="28">
        <f t="shared" si="20"/>
        <v>0.004508037498</v>
      </c>
      <c r="K53" s="28">
        <f t="shared" si="21"/>
        <v>0.01489577964</v>
      </c>
      <c r="L53" s="28">
        <f t="shared" si="22"/>
        <v>0.8215008867</v>
      </c>
      <c r="M53" s="28">
        <f t="shared" si="23"/>
        <v>0.1241312593</v>
      </c>
      <c r="N53" s="28">
        <f t="shared" si="24"/>
        <v>0.003016818459</v>
      </c>
      <c r="O53" s="28">
        <f t="shared" si="25"/>
        <v>0.002769805781</v>
      </c>
      <c r="P53" s="28">
        <f t="shared" si="26"/>
        <v>0.02557876052</v>
      </c>
      <c r="R53" s="26">
        <f t="shared" si="27"/>
        <v>1</v>
      </c>
      <c r="S53" s="30">
        <f t="shared" si="8"/>
        <v>1.393664165</v>
      </c>
      <c r="T53" s="30">
        <f t="shared" ref="T53:U53" si="109">((F52+F53)/2)*T$25*($C53-$C52)</f>
        <v>0.3981118981</v>
      </c>
      <c r="U53" s="30">
        <f t="shared" si="109"/>
        <v>0.1282216648</v>
      </c>
      <c r="V53" s="30">
        <f t="shared" si="29"/>
        <v>0.7925959128</v>
      </c>
      <c r="W53" s="30">
        <f t="shared" ref="W53:X53" si="110">((I52+I53)/2)*W$25*($C53-$C52)</f>
        <v>6.868765241</v>
      </c>
      <c r="X53" s="30">
        <f t="shared" si="110"/>
        <v>10.21042804</v>
      </c>
      <c r="Y53" s="30">
        <f t="shared" si="31"/>
        <v>38.05900563</v>
      </c>
      <c r="Z53" s="30">
        <f>(L53-OFFSET(L53,-IF(C53-C52&gt;i_Cos_Days,1,MIN(B53,i_Cos_Days)),0))*MIN(i_Cos_Days,($C53-$C52))</f>
        <v>0</v>
      </c>
      <c r="AA53" s="30">
        <f t="shared" si="32"/>
        <v>53.03971813</v>
      </c>
      <c r="AB53" s="30">
        <f t="shared" si="33"/>
        <v>5.601588623</v>
      </c>
      <c r="AC53" s="30">
        <f t="shared" si="34"/>
        <v>0.6833210537</v>
      </c>
      <c r="AD53" s="30">
        <f t="shared" si="35"/>
        <v>0</v>
      </c>
      <c r="AE53" s="6"/>
      <c r="AF53" s="30">
        <f t="shared" si="11"/>
        <v>0.8528662715</v>
      </c>
      <c r="AG53" s="30" t="str">
        <f>MIN(1,SUM(OFFSET(E53,0,0,-i_Eve_ECG,1)))</f>
        <v>#VALUE!</v>
      </c>
      <c r="AH53" s="30" t="str">
        <f t="shared" si="12"/>
        <v>#VALUE!</v>
      </c>
      <c r="AI53" s="30" t="str">
        <f t="shared" si="13"/>
        <v>#VALUE!</v>
      </c>
      <c r="AJ53" s="30" t="str">
        <f>(AH53*(i_Adv_Fals/i_Adv_Alar))*AJ$25</f>
        <v>#VALUE!</v>
      </c>
      <c r="AK53" s="30" t="str">
        <f>(AH53*(i_Adv_Lead/i_Adv_Alar))*AK$25</f>
        <v>#VALUE!</v>
      </c>
      <c r="AL53" s="30">
        <f>((SUM(F52:J52)-((I52+J52)*(1-i_Bac_ICU)))+(SUM(F53:J53)-((I53+J53)*(1-i_Bac_ICU))))/2*(C53-C52)</f>
        <v>0.001867392909</v>
      </c>
      <c r="AM53" s="30">
        <f>(((I52+J52)*(1-i_Bac_ICU))+((I53+J53)*(1-i_Bac_ICU))+K52+E52+E53+K53)/2*(C53-C52)</f>
        <v>0.02253767635</v>
      </c>
      <c r="AN53" s="6"/>
      <c r="AO53" s="6"/>
      <c r="AP53" s="6"/>
      <c r="AQ53" s="6"/>
      <c r="AR53" s="6"/>
      <c r="AS53" s="6"/>
      <c r="AT53" s="6"/>
      <c r="AU53" s="6"/>
    </row>
    <row r="54" ht="14.25" customHeight="1">
      <c r="B54" s="26">
        <f t="shared" ref="B54:C54" si="111">B53+1</f>
        <v>28</v>
      </c>
      <c r="C54" s="26">
        <f t="shared" si="111"/>
        <v>28</v>
      </c>
      <c r="D54" s="26">
        <f t="shared" si="7"/>
        <v>0.1</v>
      </c>
      <c r="E54" s="28">
        <f t="shared" si="15"/>
        <v>0.0001359999841</v>
      </c>
      <c r="F54" s="28">
        <f t="shared" si="16"/>
        <v>0.0001208941174</v>
      </c>
      <c r="G54" s="28">
        <f t="shared" si="17"/>
        <v>0.00003871556696</v>
      </c>
      <c r="H54" s="28">
        <f t="shared" si="18"/>
        <v>0.000301661752</v>
      </c>
      <c r="I54" s="28">
        <f t="shared" si="19"/>
        <v>0.00283447583</v>
      </c>
      <c r="J54" s="28">
        <f t="shared" si="20"/>
        <v>0.004377393102</v>
      </c>
      <c r="K54" s="28">
        <f t="shared" si="21"/>
        <v>0.01280842605</v>
      </c>
      <c r="L54" s="28">
        <f t="shared" si="22"/>
        <v>0.8275713652</v>
      </c>
      <c r="M54" s="28">
        <f t="shared" si="23"/>
        <v>0.1201316282</v>
      </c>
      <c r="N54" s="28">
        <f t="shared" si="24"/>
        <v>0.003129015563</v>
      </c>
      <c r="O54" s="28">
        <f t="shared" si="25"/>
        <v>0.002850301459</v>
      </c>
      <c r="P54" s="28">
        <f t="shared" si="26"/>
        <v>0.02570012316</v>
      </c>
      <c r="R54" s="26">
        <f t="shared" si="27"/>
        <v>1</v>
      </c>
      <c r="S54" s="30">
        <f t="shared" si="8"/>
        <v>1.393190637</v>
      </c>
      <c r="T54" s="30">
        <f t="shared" ref="T54:U54" si="112">((F53+F54)/2)*T$25*($C54-$C53)</f>
        <v>0.3979661875</v>
      </c>
      <c r="U54" s="30">
        <f t="shared" si="112"/>
        <v>0.127646974</v>
      </c>
      <c r="V54" s="30">
        <f t="shared" si="29"/>
        <v>0.7739969041</v>
      </c>
      <c r="W54" s="30">
        <f t="shared" ref="W54:X54" si="113">((I53+I54)/2)*W$25*($C54-$C53)</f>
        <v>6.505084789</v>
      </c>
      <c r="X54" s="30">
        <f t="shared" si="113"/>
        <v>9.916986929</v>
      </c>
      <c r="Y54" s="30">
        <f t="shared" si="31"/>
        <v>32.65356203</v>
      </c>
      <c r="Z54" s="30">
        <f>(L54-OFFSET(L54,-IF(C54-C53&gt;i_Cos_Days,1,MIN(B54,i_Cos_Days)),0))*MIN(i_Cos_Days,($C54-$C53))</f>
        <v>0</v>
      </c>
      <c r="AA54" s="30">
        <f t="shared" si="32"/>
        <v>51.3477229</v>
      </c>
      <c r="AB54" s="30">
        <f t="shared" si="33"/>
        <v>5.616293898</v>
      </c>
      <c r="AC54" s="30">
        <f t="shared" si="34"/>
        <v>0.6851149061</v>
      </c>
      <c r="AD54" s="30">
        <f t="shared" si="35"/>
        <v>0</v>
      </c>
      <c r="AE54" s="6"/>
      <c r="AF54" s="30">
        <f t="shared" si="11"/>
        <v>0.8592508054</v>
      </c>
      <c r="AG54" s="30" t="str">
        <f>MIN(1,SUM(OFFSET(E54,0,0,-i_Eve_ECG,1)))</f>
        <v>#VALUE!</v>
      </c>
      <c r="AH54" s="30" t="str">
        <f t="shared" si="12"/>
        <v>#VALUE!</v>
      </c>
      <c r="AI54" s="30" t="str">
        <f t="shared" si="13"/>
        <v>#VALUE!</v>
      </c>
      <c r="AJ54" s="30" t="str">
        <f>(AH54*(i_Adv_Fals/i_Adv_Alar))*AJ$25</f>
        <v>#VALUE!</v>
      </c>
      <c r="AK54" s="30" t="str">
        <f>(AH54*(i_Adv_Lead/i_Adv_Alar))*AK$25</f>
        <v>#VALUE!</v>
      </c>
      <c r="AL54" s="30">
        <f>((SUM(F53:J53)-((I53+J53)*(1-i_Bac_ICU)))+(SUM(F54:J54)-((I54+J54)*(1-i_Bac_ICU))))/2*(C54-C53)</f>
        <v>0.001806170751</v>
      </c>
      <c r="AM54" s="30">
        <f>(((I53+J53)*(1-i_Bac_ICU))+((I54+J54)*(1-i_Bac_ICU))+K53+E53+E54+K54)/2*(C54-C53)</f>
        <v>0.02000384706</v>
      </c>
      <c r="AN54" s="6"/>
      <c r="AO54" s="6"/>
      <c r="AP54" s="6"/>
      <c r="AQ54" s="6"/>
      <c r="AR54" s="6"/>
      <c r="AS54" s="6"/>
      <c r="AT54" s="6"/>
      <c r="AU54" s="6"/>
    </row>
    <row r="55" ht="14.25" customHeight="1">
      <c r="B55" s="26">
        <f t="shared" ref="B55:C55" si="114">B54+1</f>
        <v>29</v>
      </c>
      <c r="C55" s="26">
        <f t="shared" si="114"/>
        <v>29</v>
      </c>
      <c r="D55" s="26">
        <f t="shared" si="7"/>
        <v>0.1</v>
      </c>
      <c r="E55" s="28">
        <f t="shared" si="15"/>
        <v>0.0001359558898</v>
      </c>
      <c r="F55" s="28">
        <f t="shared" si="16"/>
        <v>0.0001208530299</v>
      </c>
      <c r="G55" s="28">
        <f t="shared" si="17"/>
        <v>0.00003862736039</v>
      </c>
      <c r="H55" s="28">
        <f t="shared" si="18"/>
        <v>0.0002947269642</v>
      </c>
      <c r="I55" s="28">
        <f t="shared" si="19"/>
        <v>0.002681968783</v>
      </c>
      <c r="J55" s="28">
        <f t="shared" si="20"/>
        <v>0.004248765964</v>
      </c>
      <c r="K55" s="28">
        <f t="shared" si="21"/>
        <v>0.01106295206</v>
      </c>
      <c r="L55" s="28">
        <f t="shared" si="22"/>
        <v>0.8332396296</v>
      </c>
      <c r="M55" s="28">
        <f t="shared" si="23"/>
        <v>0.116197016</v>
      </c>
      <c r="N55" s="28">
        <f t="shared" si="24"/>
        <v>0.00323705093</v>
      </c>
      <c r="O55" s="28">
        <f t="shared" si="25"/>
        <v>0.002926007873</v>
      </c>
      <c r="P55" s="28">
        <f t="shared" si="26"/>
        <v>0.02581644546</v>
      </c>
      <c r="R55" s="26">
        <f t="shared" si="27"/>
        <v>1</v>
      </c>
      <c r="S55" s="30">
        <f t="shared" si="8"/>
        <v>1.392738933</v>
      </c>
      <c r="T55" s="30">
        <f t="shared" ref="T55:U55" si="115">((F54+F55)/2)*T$25*($C55-$C54)</f>
        <v>0.3978275667</v>
      </c>
      <c r="U55" s="30">
        <f t="shared" si="115"/>
        <v>0.1272782282</v>
      </c>
      <c r="V55" s="30">
        <f t="shared" si="29"/>
        <v>0.7560777588</v>
      </c>
      <c r="W55" s="30">
        <f t="shared" ref="W55:X55" si="116">((I54+I55)/2)*W$25*($C55-$C54)</f>
        <v>6.156877655</v>
      </c>
      <c r="X55" s="30">
        <f t="shared" si="116"/>
        <v>9.6276152</v>
      </c>
      <c r="Y55" s="30">
        <f t="shared" si="31"/>
        <v>28.13599981</v>
      </c>
      <c r="Z55" s="30">
        <f>(L55-OFFSET(L55,-IF(C55-C54&gt;i_Cos_Days,1,MIN(B55,i_Cos_Days)),0))*MIN(i_Cos_Days,($C55-$C54))</f>
        <v>0</v>
      </c>
      <c r="AA55" s="30">
        <f t="shared" si="32"/>
        <v>49.67982595</v>
      </c>
      <c r="AB55" s="30">
        <f t="shared" si="33"/>
        <v>5.628593065</v>
      </c>
      <c r="AC55" s="30">
        <f t="shared" si="34"/>
        <v>0.6866152448</v>
      </c>
      <c r="AD55" s="30">
        <f t="shared" si="35"/>
        <v>0</v>
      </c>
      <c r="AE55" s="6"/>
      <c r="AF55" s="30">
        <f t="shared" si="11"/>
        <v>0.8652191339</v>
      </c>
      <c r="AG55" s="30" t="str">
        <f>MIN(1,SUM(OFFSET(E55,0,0,-i_Eve_ECG,1)))</f>
        <v>#VALUE!</v>
      </c>
      <c r="AH55" s="30" t="str">
        <f t="shared" si="12"/>
        <v>#VALUE!</v>
      </c>
      <c r="AI55" s="30" t="str">
        <f t="shared" si="13"/>
        <v>#VALUE!</v>
      </c>
      <c r="AJ55" s="30" t="str">
        <f>(AH55*(i_Adv_Fals/i_Adv_Alar))*AJ$25</f>
        <v>#VALUE!</v>
      </c>
      <c r="AK55" s="30" t="str">
        <f>(AH55*(i_Adv_Lead/i_Adv_Alar))*AK$25</f>
        <v>#VALUE!</v>
      </c>
      <c r="AL55" s="30">
        <f>((SUM(F54:J54)-((I54+J54)*(1-i_Bac_ICU)))+(SUM(F55:J55)-((I55+J55)*(1-i_Bac_ICU))))/2*(C55-C54)</f>
        <v>0.001746877532</v>
      </c>
      <c r="AM55" s="30">
        <f>(((I54+J54)*(1-i_Bac_ICU))+((I55+J55)*(1-i_Bac_ICU))+K54+E54+E55+K55)/2*(C55-C54)</f>
        <v>0.01785383069</v>
      </c>
      <c r="AN55" s="6"/>
      <c r="AO55" s="6"/>
      <c r="AP55" s="6"/>
      <c r="AQ55" s="6"/>
      <c r="AR55" s="6"/>
      <c r="AS55" s="6"/>
      <c r="AT55" s="6"/>
      <c r="AU55" s="6"/>
    </row>
    <row r="56" ht="14.25" customHeight="1">
      <c r="B56" s="26">
        <f t="shared" ref="B56:C56" si="117">B55+1</f>
        <v>30</v>
      </c>
      <c r="C56" s="26">
        <f t="shared" si="117"/>
        <v>30</v>
      </c>
      <c r="D56" s="26">
        <f t="shared" si="7"/>
        <v>0.1</v>
      </c>
      <c r="E56" s="28">
        <f t="shared" si="15"/>
        <v>0.00013591376</v>
      </c>
      <c r="F56" s="28">
        <f t="shared" si="16"/>
        <v>0.0001208138363</v>
      </c>
      <c r="G56" s="28">
        <f t="shared" si="17"/>
        <v>0.00003856854894</v>
      </c>
      <c r="H56" s="28">
        <f t="shared" si="18"/>
        <v>0.0002880534147</v>
      </c>
      <c r="I56" s="28">
        <f t="shared" si="19"/>
        <v>0.002536428596</v>
      </c>
      <c r="J56" s="28">
        <f t="shared" si="20"/>
        <v>0.004122457213</v>
      </c>
      <c r="K56" s="28">
        <f t="shared" si="21"/>
        <v>0.009601651703</v>
      </c>
      <c r="L56" s="28">
        <f t="shared" si="22"/>
        <v>0.838550172</v>
      </c>
      <c r="M56" s="28">
        <f t="shared" si="23"/>
        <v>0.112339309</v>
      </c>
      <c r="N56" s="28">
        <f t="shared" si="24"/>
        <v>0.003341013364</v>
      </c>
      <c r="O56" s="28">
        <f t="shared" si="25"/>
        <v>0.00299714994</v>
      </c>
      <c r="P56" s="28">
        <f t="shared" si="26"/>
        <v>0.02592846866</v>
      </c>
      <c r="R56" s="26">
        <f t="shared" si="27"/>
        <v>1</v>
      </c>
      <c r="S56" s="30">
        <f t="shared" si="8"/>
        <v>1.392307353</v>
      </c>
      <c r="T56" s="30">
        <f t="shared" ref="T56:U56" si="118">((F55+F56)/2)*T$25*($C56-$C55)</f>
        <v>0.3976954533</v>
      </c>
      <c r="U56" s="30">
        <f t="shared" si="118"/>
        <v>0.1270362902</v>
      </c>
      <c r="V56" s="30">
        <f t="shared" si="29"/>
        <v>0.738825653</v>
      </c>
      <c r="W56" s="30">
        <f t="shared" ref="W56:X56" si="119">((I55+I56)/2)*W$25*($C56-$C55)</f>
        <v>5.824228552</v>
      </c>
      <c r="X56" s="30">
        <f t="shared" si="119"/>
        <v>9.343082464</v>
      </c>
      <c r="Y56" s="30">
        <f t="shared" si="31"/>
        <v>24.35633522</v>
      </c>
      <c r="Z56" s="30">
        <f>(L56-OFFSET(L56,-IF(C56-C55&gt;i_Cos_Days,1,MIN(B56,i_Cos_Days)),0))*MIN(i_Cos_Days,($C56-$C55))</f>
        <v>0</v>
      </c>
      <c r="AA56" s="30">
        <f t="shared" si="32"/>
        <v>48.04176356</v>
      </c>
      <c r="AB56" s="30">
        <f t="shared" si="33"/>
        <v>5.638889564</v>
      </c>
      <c r="AC56" s="30">
        <f t="shared" si="34"/>
        <v>0.6878712839</v>
      </c>
      <c r="AD56" s="30">
        <f t="shared" si="35"/>
        <v>0</v>
      </c>
      <c r="AE56" s="6"/>
      <c r="AF56" s="30">
        <f t="shared" si="11"/>
        <v>0.870816804</v>
      </c>
      <c r="AG56" s="30" t="str">
        <f>MIN(1,SUM(OFFSET(E56,0,0,-i_Eve_ECG,1)))</f>
        <v>#VALUE!</v>
      </c>
      <c r="AH56" s="30" t="str">
        <f t="shared" si="12"/>
        <v>#VALUE!</v>
      </c>
      <c r="AI56" s="30" t="str">
        <f t="shared" si="13"/>
        <v>#VALUE!</v>
      </c>
      <c r="AJ56" s="30" t="str">
        <f>(AH56*(i_Adv_Fals/i_Adv_Alar))*AJ$25</f>
        <v>#VALUE!</v>
      </c>
      <c r="AK56" s="30" t="str">
        <f>(AH56*(i_Adv_Lead/i_Adv_Alar))*AK$25</f>
        <v>#VALUE!</v>
      </c>
      <c r="AL56" s="30">
        <f>((SUM(F55:J55)-((I55+J55)*(1-i_Bac_ICU)))+(SUM(F56:J56)-((I56+J56)*(1-i_Bac_ICU))))/2*(C56-C55)</f>
        <v>0.001689553746</v>
      </c>
      <c r="AM56" s="30">
        <f>(((I55+J55)*(1-i_Bac_ICU))+((I56+J56)*(1-i_Bac_ICU))+K55+E55+E56+K56)/2*(C56-C55)</f>
        <v>0.01602431481</v>
      </c>
      <c r="AN56" s="6"/>
      <c r="AO56" s="6"/>
      <c r="AP56" s="6"/>
      <c r="AQ56" s="6"/>
      <c r="AR56" s="6"/>
      <c r="AS56" s="6"/>
      <c r="AT56" s="6"/>
      <c r="AU56" s="6"/>
    </row>
    <row r="57" ht="14.25" customHeight="1">
      <c r="B57" s="26">
        <f t="shared" ref="B57:C57" si="120">B56+1</f>
        <v>31</v>
      </c>
      <c r="C57" s="26">
        <f t="shared" si="120"/>
        <v>31</v>
      </c>
      <c r="D57" s="26">
        <f t="shared" si="7"/>
        <v>0.1</v>
      </c>
      <c r="E57" s="28">
        <f t="shared" si="15"/>
        <v>0.0001358734464</v>
      </c>
      <c r="F57" s="28">
        <f t="shared" si="16"/>
        <v>0.0001207763892</v>
      </c>
      <c r="G57" s="28">
        <f t="shared" si="17"/>
        <v>0.00003852793814</v>
      </c>
      <c r="H57" s="28">
        <f t="shared" si="18"/>
        <v>0.0002816381673</v>
      </c>
      <c r="I57" s="28">
        <f t="shared" si="19"/>
        <v>0.002397780799</v>
      </c>
      <c r="J57" s="28">
        <f t="shared" si="20"/>
        <v>0.003998696245</v>
      </c>
      <c r="K57" s="28">
        <f t="shared" si="21"/>
        <v>0.00837664146</v>
      </c>
      <c r="L57" s="28">
        <f t="shared" si="22"/>
        <v>0.843540787</v>
      </c>
      <c r="M57" s="28">
        <f t="shared" si="23"/>
        <v>0.1085675102</v>
      </c>
      <c r="N57" s="28">
        <f t="shared" si="24"/>
        <v>0.003441002162</v>
      </c>
      <c r="O57" s="28">
        <f t="shared" si="25"/>
        <v>0.003063953389</v>
      </c>
      <c r="P57" s="28">
        <f t="shared" si="26"/>
        <v>0.02603681279</v>
      </c>
      <c r="R57" s="26">
        <f t="shared" si="27"/>
        <v>1</v>
      </c>
      <c r="S57" s="30">
        <f t="shared" si="8"/>
        <v>1.391894378</v>
      </c>
      <c r="T57" s="30">
        <f t="shared" ref="T57:U57" si="121">((F56+F57)/2)*T$25*($C57-$C56)</f>
        <v>0.3975693308</v>
      </c>
      <c r="U57" s="30">
        <f t="shared" si="121"/>
        <v>0.1268726775</v>
      </c>
      <c r="V57" s="30">
        <f t="shared" si="29"/>
        <v>0.7222321999</v>
      </c>
      <c r="W57" s="30">
        <f t="shared" ref="W57:X57" si="122">((I56+I57)/2)*W$25*($C57-$C56)</f>
        <v>5.507047692</v>
      </c>
      <c r="X57" s="30">
        <f t="shared" si="122"/>
        <v>9.063980837</v>
      </c>
      <c r="Y57" s="30">
        <f t="shared" si="31"/>
        <v>21.19011524</v>
      </c>
      <c r="Z57" s="30">
        <f>(L57-OFFSET(L57,-IF(C57-C56&gt;i_Cos_Days,1,MIN(B57,i_Cos_Days)),0))*MIN(i_Cos_Days,($C57-$C56))</f>
        <v>0</v>
      </c>
      <c r="AA57" s="30">
        <f t="shared" si="32"/>
        <v>46.43792699</v>
      </c>
      <c r="AB57" s="30">
        <f t="shared" si="33"/>
        <v>5.647518236</v>
      </c>
      <c r="AC57" s="30">
        <f t="shared" si="34"/>
        <v>0.6889238699</v>
      </c>
      <c r="AD57" s="30">
        <f t="shared" si="35"/>
        <v>0</v>
      </c>
      <c r="AE57" s="6"/>
      <c r="AF57" s="30">
        <f t="shared" si="11"/>
        <v>0.8760825553</v>
      </c>
      <c r="AG57" s="30" t="str">
        <f>MIN(1,SUM(OFFSET(E57,0,0,-i_Eve_ECG,1)))</f>
        <v>#VALUE!</v>
      </c>
      <c r="AH57" s="30" t="str">
        <f t="shared" si="12"/>
        <v>#VALUE!</v>
      </c>
      <c r="AI57" s="30" t="str">
        <f t="shared" si="13"/>
        <v>#VALUE!</v>
      </c>
      <c r="AJ57" s="30" t="str">
        <f>(AH57*(i_Adv_Fals/i_Adv_Alar))*AJ$25</f>
        <v>#VALUE!</v>
      </c>
      <c r="AK57" s="30" t="str">
        <f>(AH57*(i_Adv_Lead/i_Adv_Alar))*AK$25</f>
        <v>#VALUE!</v>
      </c>
      <c r="AL57" s="30">
        <f>((SUM(F56:J56)-((I56+J56)*(1-i_Bac_ICU)))+(SUM(F57:J57)-((I57+J57)*(1-i_Bac_ICU))))/2*(C57-C56)</f>
        <v>0.001634222222</v>
      </c>
      <c r="AM57" s="30">
        <f>(((I56+J56)*(1-i_Bac_ICU))+((I57+J57)*(1-i_Bac_ICU))+K56+E56+E57+K57)/2*(C57-C56)</f>
        <v>0.01446268854</v>
      </c>
      <c r="AN57" s="6"/>
      <c r="AO57" s="6"/>
      <c r="AP57" s="6"/>
      <c r="AQ57" s="6"/>
      <c r="AR57" s="6"/>
      <c r="AS57" s="6"/>
      <c r="AT57" s="6"/>
      <c r="AU57" s="6"/>
    </row>
    <row r="58" ht="14.25" customHeight="1">
      <c r="B58" s="26">
        <f t="shared" ref="B58:C58" si="123">B57+1</f>
        <v>32</v>
      </c>
      <c r="C58" s="26">
        <f t="shared" si="123"/>
        <v>32</v>
      </c>
      <c r="D58" s="26">
        <f t="shared" si="7"/>
        <v>0.1</v>
      </c>
      <c r="E58" s="28">
        <f t="shared" si="15"/>
        <v>0.0001358348164</v>
      </c>
      <c r="F58" s="28">
        <f t="shared" si="16"/>
        <v>0.0001207405569</v>
      </c>
      <c r="G58" s="28">
        <f t="shared" si="17"/>
        <v>0.00003849866262</v>
      </c>
      <c r="H58" s="28">
        <f t="shared" si="18"/>
        <v>0.0002754780073</v>
      </c>
      <c r="I58" s="28">
        <f t="shared" si="19"/>
        <v>0.002265898216</v>
      </c>
      <c r="J58" s="28">
        <f t="shared" si="20"/>
        <v>0.003877653604</v>
      </c>
      <c r="K58" s="28">
        <f t="shared" si="21"/>
        <v>0.007348186113</v>
      </c>
      <c r="L58" s="28">
        <f t="shared" si="22"/>
        <v>0.8482436824</v>
      </c>
      <c r="M58" s="28">
        <f t="shared" si="23"/>
        <v>0.1048882642</v>
      </c>
      <c r="N58" s="28">
        <f t="shared" si="24"/>
        <v>0.003537124256</v>
      </c>
      <c r="O58" s="28">
        <f t="shared" si="25"/>
        <v>0.003126642017</v>
      </c>
      <c r="P58" s="28">
        <f t="shared" si="26"/>
        <v>0.02614199711</v>
      </c>
      <c r="R58" s="26">
        <f t="shared" si="27"/>
        <v>1</v>
      </c>
      <c r="S58" s="30">
        <f t="shared" si="8"/>
        <v>1.391498651</v>
      </c>
      <c r="T58" s="30">
        <f t="shared" ref="T58:U58" si="124">((F57+F58)/2)*T$25*($C58-$C57)</f>
        <v>0.3974487396</v>
      </c>
      <c r="U58" s="30">
        <f t="shared" si="124"/>
        <v>0.1267576702</v>
      </c>
      <c r="V58" s="30">
        <f t="shared" si="29"/>
        <v>0.7062896015</v>
      </c>
      <c r="W58" s="30">
        <f t="shared" ref="W58:X58" si="125">((I57+I58)/2)*W$25*($C58-$C57)</f>
        <v>5.205110019</v>
      </c>
      <c r="X58" s="30">
        <f t="shared" si="125"/>
        <v>8.790756691</v>
      </c>
      <c r="Y58" s="30">
        <f t="shared" si="31"/>
        <v>18.53406802</v>
      </c>
      <c r="Z58" s="30">
        <f>(L58-OFFSET(L58,-IF(C58-C57&gt;i_Cos_Days,1,MIN(B58,i_Cos_Days)),0))*MIN(i_Cos_Days,($C58-$C57))</f>
        <v>0</v>
      </c>
      <c r="AA58" s="30">
        <f t="shared" si="32"/>
        <v>44.87160562</v>
      </c>
      <c r="AB58" s="30">
        <f t="shared" si="33"/>
        <v>5.654757024</v>
      </c>
      <c r="AC58" s="30">
        <f t="shared" si="34"/>
        <v>0.6898069079</v>
      </c>
      <c r="AD58" s="30">
        <f t="shared" si="35"/>
        <v>0</v>
      </c>
      <c r="AE58" s="6"/>
      <c r="AF58" s="30">
        <f t="shared" si="11"/>
        <v>0.8810494458</v>
      </c>
      <c r="AG58" s="30" t="str">
        <f>MIN(1,SUM(OFFSET(E58,0,0,-i_Eve_ECG,1)))</f>
        <v>#VALUE!</v>
      </c>
      <c r="AH58" s="30" t="str">
        <f t="shared" si="12"/>
        <v>#VALUE!</v>
      </c>
      <c r="AI58" s="30" t="str">
        <f t="shared" si="13"/>
        <v>#VALUE!</v>
      </c>
      <c r="AJ58" s="30" t="str">
        <f>(AH58*(i_Adv_Fals/i_Adv_Alar))*AJ$25</f>
        <v>#VALUE!</v>
      </c>
      <c r="AK58" s="30" t="str">
        <f>(AH58*(i_Adv_Lead/i_Adv_Alar))*AK$25</f>
        <v>#VALUE!</v>
      </c>
      <c r="AL58" s="30">
        <f>((SUM(F57:J57)-((I57+J57)*(1-i_Bac_ICU)))+(SUM(F58:J58)-((I58+J58)*(1-i_Bac_ICU))))/2*(C58-C57)</f>
        <v>0.001580888792</v>
      </c>
      <c r="AM58" s="30">
        <f>(((I57+J57)*(1-i_Bac_ICU))+((I58+J58)*(1-i_Bac_ICU))+K57+E57+E58+K58)/2*(C58-C57)</f>
        <v>0.01312522342</v>
      </c>
      <c r="AN58" s="6"/>
      <c r="AO58" s="6"/>
      <c r="AP58" s="6"/>
      <c r="AQ58" s="6"/>
      <c r="AR58" s="6"/>
      <c r="AS58" s="6"/>
      <c r="AT58" s="6"/>
      <c r="AU58" s="6"/>
    </row>
    <row r="59" ht="14.25" customHeight="1">
      <c r="B59" s="26">
        <f t="shared" ref="B59:C59" si="126">B58+1</f>
        <v>33</v>
      </c>
      <c r="C59" s="26">
        <f t="shared" si="126"/>
        <v>33</v>
      </c>
      <c r="D59" s="26">
        <f t="shared" si="7"/>
        <v>0.1</v>
      </c>
      <c r="E59" s="28">
        <f t="shared" si="15"/>
        <v>0.0001357977507</v>
      </c>
      <c r="F59" s="28">
        <f t="shared" si="16"/>
        <v>0.0001207062212</v>
      </c>
      <c r="G59" s="28">
        <f t="shared" si="17"/>
        <v>0.00003847650733</v>
      </c>
      <c r="H59" s="28">
        <f t="shared" si="18"/>
        <v>0.000269568989</v>
      </c>
      <c r="I59" s="28">
        <f t="shared" si="19"/>
        <v>0.002140613822</v>
      </c>
      <c r="J59" s="28">
        <f t="shared" si="20"/>
        <v>0.003759451646</v>
      </c>
      <c r="K59" s="28">
        <f t="shared" si="21"/>
        <v>0.006483309258</v>
      </c>
      <c r="L59" s="28">
        <f t="shared" si="22"/>
        <v>0.8526864015</v>
      </c>
      <c r="M59" s="28">
        <f t="shared" si="23"/>
        <v>0.1013062898</v>
      </c>
      <c r="N59" s="28">
        <f t="shared" si="24"/>
        <v>0.003629491901</v>
      </c>
      <c r="O59" s="28">
        <f t="shared" si="25"/>
        <v>0.00318543559</v>
      </c>
      <c r="P59" s="28">
        <f t="shared" si="26"/>
        <v>0.02624445708</v>
      </c>
      <c r="R59" s="26">
        <f t="shared" si="27"/>
        <v>1</v>
      </c>
      <c r="S59" s="30">
        <f t="shared" si="8"/>
        <v>1.391118948</v>
      </c>
      <c r="T59" s="30">
        <f t="shared" ref="T59:U59" si="127">((F58+F59)/2)*T$25*($C59-$C58)</f>
        <v>0.3973332686</v>
      </c>
      <c r="U59" s="30">
        <f t="shared" si="127"/>
        <v>0.1266730338</v>
      </c>
      <c r="V59" s="30">
        <f t="shared" si="29"/>
        <v>0.69098878</v>
      </c>
      <c r="W59" s="30">
        <f t="shared" ref="W59:X59" si="128">((I58+I59)/2)*W$25*($C59-$C58)</f>
        <v>4.918087175</v>
      </c>
      <c r="X59" s="30">
        <f t="shared" si="128"/>
        <v>8.523736929</v>
      </c>
      <c r="Y59" s="30">
        <f t="shared" si="31"/>
        <v>16.30249202</v>
      </c>
      <c r="Z59" s="30">
        <f>(L59-OFFSET(L59,-IF(C59-C58&gt;i_Cos_Days,1,MIN(B59,i_Cos_Days)),0))*MIN(i_Cos_Days,($C59-$C58))</f>
        <v>0</v>
      </c>
      <c r="AA59" s="30">
        <f t="shared" si="32"/>
        <v>43.34518817</v>
      </c>
      <c r="AB59" s="30">
        <f t="shared" si="33"/>
        <v>5.660836677</v>
      </c>
      <c r="AC59" s="30">
        <f t="shared" si="34"/>
        <v>0.6905485467</v>
      </c>
      <c r="AD59" s="30">
        <f t="shared" si="35"/>
        <v>0</v>
      </c>
      <c r="AE59" s="6"/>
      <c r="AF59" s="30">
        <f t="shared" si="11"/>
        <v>0.885745786</v>
      </c>
      <c r="AG59" s="30" t="str">
        <f>MIN(1,SUM(OFFSET(E59,0,0,-i_Eve_ECG,1)))</f>
        <v>#VALUE!</v>
      </c>
      <c r="AH59" s="30" t="str">
        <f t="shared" si="12"/>
        <v>#VALUE!</v>
      </c>
      <c r="AI59" s="30" t="str">
        <f t="shared" si="13"/>
        <v>#VALUE!</v>
      </c>
      <c r="AJ59" s="30" t="str">
        <f>(AH59*(i_Adv_Fals/i_Adv_Alar))*AJ$25</f>
        <v>#VALUE!</v>
      </c>
      <c r="AK59" s="30" t="str">
        <f>(AH59*(i_Adv_Lead/i_Adv_Alar))*AK$25</f>
        <v>#VALUE!</v>
      </c>
      <c r="AL59" s="30">
        <f>((SUM(F58:J58)-((I58+J58)*(1-i_Bac_ICU)))+(SUM(F59:J59)-((I59+J59)*(1-i_Bac_ICU))))/2*(C59-C58)</f>
        <v>0.001529544091</v>
      </c>
      <c r="AM59" s="30">
        <f>(((I58+J58)*(1-i_Bac_ICU))+((I59+J59)*(1-i_Bac_ICU))+K58+E58+E59+K59)/2*(C59-C58)</f>
        <v>0.01197556299</v>
      </c>
      <c r="AN59" s="6"/>
      <c r="AO59" s="6"/>
      <c r="AP59" s="6"/>
      <c r="AQ59" s="6"/>
      <c r="AR59" s="6"/>
      <c r="AS59" s="6"/>
      <c r="AT59" s="6"/>
      <c r="AU59" s="6"/>
    </row>
    <row r="60" ht="14.25" customHeight="1">
      <c r="B60" s="26">
        <f t="shared" ref="B60:C60" si="129">B59+1</f>
        <v>34</v>
      </c>
      <c r="C60" s="26">
        <f t="shared" si="129"/>
        <v>34</v>
      </c>
      <c r="D60" s="26">
        <f t="shared" si="7"/>
        <v>0.1</v>
      </c>
      <c r="E60" s="28">
        <f t="shared" si="15"/>
        <v>0.0001357621416</v>
      </c>
      <c r="F60" s="28">
        <f t="shared" si="16"/>
        <v>0.0001206732762</v>
      </c>
      <c r="G60" s="28">
        <f t="shared" si="17"/>
        <v>0.00003845888025</v>
      </c>
      <c r="H60" s="28">
        <f t="shared" si="18"/>
        <v>0.0002639062976</v>
      </c>
      <c r="I60" s="28">
        <f t="shared" si="19"/>
        <v>0.002021731168</v>
      </c>
      <c r="J60" s="28">
        <f t="shared" si="20"/>
        <v>0.003644173363</v>
      </c>
      <c r="K60" s="28">
        <f t="shared" si="21"/>
        <v>0.005754640394</v>
      </c>
      <c r="L60" s="28">
        <f t="shared" si="22"/>
        <v>0.8568925886</v>
      </c>
      <c r="M60" s="28">
        <f t="shared" si="23"/>
        <v>0.09782473835</v>
      </c>
      <c r="N60" s="28">
        <f t="shared" si="24"/>
        <v>0.003718220789</v>
      </c>
      <c r="O60" s="28">
        <f t="shared" si="25"/>
        <v>0.003240548264</v>
      </c>
      <c r="P60" s="28">
        <f t="shared" si="26"/>
        <v>0.02634455845</v>
      </c>
      <c r="R60" s="26">
        <f t="shared" si="27"/>
        <v>1</v>
      </c>
      <c r="S60" s="30">
        <f t="shared" si="8"/>
        <v>1.390754166</v>
      </c>
      <c r="T60" s="30">
        <f t="shared" ref="T60:U60" si="130">((F59+F60)/2)*T$25*($C60-$C59)</f>
        <v>0.3972225492</v>
      </c>
      <c r="U60" s="30">
        <f t="shared" si="130"/>
        <v>0.1266075665</v>
      </c>
      <c r="V60" s="30">
        <f t="shared" si="29"/>
        <v>0.6763186293</v>
      </c>
      <c r="W60" s="30">
        <f t="shared" ref="W60:X60" si="131">((I59+I60)/2)*W$25*($C60-$C59)</f>
        <v>4.645573492</v>
      </c>
      <c r="X60" s="30">
        <f t="shared" si="131"/>
        <v>8.26315074</v>
      </c>
      <c r="Y60" s="30">
        <f t="shared" si="31"/>
        <v>14.42425936</v>
      </c>
      <c r="Z60" s="30">
        <f>(L60-OFFSET(L60,-IF(C60-C59&gt;i_Cos_Days,1,MIN(B60,i_Cos_Days)),0))*MIN(i_Cos_Days,($C60-$C59))</f>
        <v>0</v>
      </c>
      <c r="AA60" s="30">
        <f t="shared" si="32"/>
        <v>41.86032908</v>
      </c>
      <c r="AB60" s="30">
        <f t="shared" si="33"/>
        <v>5.665948808</v>
      </c>
      <c r="AC60" s="30">
        <f t="shared" si="34"/>
        <v>0.6911721602</v>
      </c>
      <c r="AD60" s="30">
        <f t="shared" si="35"/>
        <v>0</v>
      </c>
      <c r="AE60" s="6"/>
      <c r="AF60" s="30">
        <f t="shared" si="11"/>
        <v>0.8901959161</v>
      </c>
      <c r="AG60" s="30" t="str">
        <f>MIN(1,SUM(OFFSET(E60,0,0,-i_Eve_ECG,1)))</f>
        <v>#VALUE!</v>
      </c>
      <c r="AH60" s="30" t="str">
        <f t="shared" si="12"/>
        <v>#VALUE!</v>
      </c>
      <c r="AI60" s="30" t="str">
        <f t="shared" si="13"/>
        <v>#VALUE!</v>
      </c>
      <c r="AJ60" s="30" t="str">
        <f>(AH60*(i_Adv_Fals/i_Adv_Alar))*AJ$25</f>
        <v>#VALUE!</v>
      </c>
      <c r="AK60" s="30" t="str">
        <f>(AH60*(i_Adv_Lead/i_Adv_Alar))*AK$25</f>
        <v>#VALUE!</v>
      </c>
      <c r="AL60" s="30">
        <f>((SUM(F59:J59)-((I59+J59)*(1-i_Bac_ICU)))+(SUM(F60:J60)-((I60+J60)*(1-i_Bac_ICU))))/2*(C60-C59)</f>
        <v>0.00148016581</v>
      </c>
      <c r="AM60" s="30">
        <f>(((I59+J59)*(1-i_Bac_ICU))+((I60+J60)*(1-i_Bac_ICU))+K59+E59+E60+K60)/2*(C60-C59)</f>
        <v>0.01098346905</v>
      </c>
      <c r="AN60" s="6"/>
      <c r="AO60" s="6"/>
      <c r="AP60" s="6"/>
      <c r="AQ60" s="6"/>
      <c r="AR60" s="6"/>
      <c r="AS60" s="6"/>
      <c r="AT60" s="6"/>
      <c r="AU60" s="6"/>
    </row>
    <row r="61" ht="14.25" customHeight="1">
      <c r="B61" s="26">
        <f t="shared" ref="B61:C61" si="132">B60+1</f>
        <v>35</v>
      </c>
      <c r="C61" s="26">
        <f t="shared" si="132"/>
        <v>35</v>
      </c>
      <c r="D61" s="26">
        <f t="shared" si="7"/>
        <v>0.1</v>
      </c>
      <c r="E61" s="28">
        <f t="shared" si="15"/>
        <v>0.0001357278912</v>
      </c>
      <c r="F61" s="28">
        <f t="shared" si="16"/>
        <v>0.000120641626</v>
      </c>
      <c r="G61" s="28">
        <f t="shared" si="17"/>
        <v>0.00003844418369</v>
      </c>
      <c r="H61" s="28">
        <f t="shared" si="18"/>
        <v>0.0002584842796</v>
      </c>
      <c r="I61" s="28">
        <f t="shared" si="19"/>
        <v>0.001909032824</v>
      </c>
      <c r="J61" s="28">
        <f t="shared" si="20"/>
        <v>0.003531869676</v>
      </c>
      <c r="K61" s="28">
        <f t="shared" si="21"/>
        <v>0.005139458537</v>
      </c>
      <c r="L61" s="28">
        <f t="shared" si="22"/>
        <v>0.8608826261</v>
      </c>
      <c r="M61" s="28">
        <f t="shared" si="23"/>
        <v>0.09444548993</v>
      </c>
      <c r="N61" s="28">
        <f t="shared" si="24"/>
        <v>0.003803428531</v>
      </c>
      <c r="O61" s="28">
        <f t="shared" si="25"/>
        <v>0.003292187424</v>
      </c>
      <c r="P61" s="28">
        <f t="shared" si="26"/>
        <v>0.02644260896</v>
      </c>
      <c r="R61" s="26">
        <f t="shared" si="27"/>
        <v>1</v>
      </c>
      <c r="S61" s="30">
        <f t="shared" si="8"/>
        <v>1.390403304</v>
      </c>
      <c r="T61" s="30">
        <f t="shared" ref="T61:U61" si="133">((F60+F61)/2)*T$25*($C61-$C60)</f>
        <v>0.3971162491</v>
      </c>
      <c r="U61" s="30">
        <f t="shared" si="133"/>
        <v>0.1265543736</v>
      </c>
      <c r="V61" s="30">
        <f t="shared" si="29"/>
        <v>0.6622658781</v>
      </c>
      <c r="W61" s="30">
        <f t="shared" ref="W61:X61" si="134">((I60+I61)/2)*W$25*($C61-$C60)</f>
        <v>4.387107039</v>
      </c>
      <c r="X61" s="30">
        <f t="shared" si="134"/>
        <v>8.009147583</v>
      </c>
      <c r="Y61" s="30">
        <f t="shared" si="31"/>
        <v>12.8403297</v>
      </c>
      <c r="Z61" s="30">
        <f>(L61-OFFSET(L61,-IF(C61-C60&gt;i_Cos_Days,1,MIN(B61,i_Cos_Days)),0))*MIN(i_Cos_Days,($C61-$C60))</f>
        <v>0</v>
      </c>
      <c r="AA61" s="30">
        <f t="shared" si="32"/>
        <v>40.41808604</v>
      </c>
      <c r="AB61" s="30">
        <f t="shared" si="33"/>
        <v>5.670252561</v>
      </c>
      <c r="AC61" s="30">
        <f t="shared" si="34"/>
        <v>0.6916971622</v>
      </c>
      <c r="AD61" s="30">
        <f t="shared" si="35"/>
        <v>0</v>
      </c>
      <c r="AE61" s="6"/>
      <c r="AF61" s="30">
        <f t="shared" si="11"/>
        <v>0.894420851</v>
      </c>
      <c r="AG61" s="30" t="str">
        <f>MIN(1,SUM(OFFSET(E61,0,0,-i_Eve_ECG,1)))</f>
        <v>#VALUE!</v>
      </c>
      <c r="AH61" s="30" t="str">
        <f t="shared" si="12"/>
        <v>#VALUE!</v>
      </c>
      <c r="AI61" s="30" t="str">
        <f t="shared" si="13"/>
        <v>#VALUE!</v>
      </c>
      <c r="AJ61" s="30" t="str">
        <f>(AH61*(i_Adv_Fals/i_Adv_Alar))*AJ$25</f>
        <v>#VALUE!</v>
      </c>
      <c r="AK61" s="30" t="str">
        <f>(AH61*(i_Adv_Lead/i_Adv_Alar))*AK$25</f>
        <v>#VALUE!</v>
      </c>
      <c r="AL61" s="30">
        <f>((SUM(F60:J60)-((I60+J60)*(1-i_Bac_ICU)))+(SUM(F61:J61)-((I61+J61)*(1-i_Bac_ICU))))/2*(C61-C60)</f>
        <v>0.001432720998</v>
      </c>
      <c r="AM61" s="30">
        <f>(((I60+J60)*(1-i_Bac_ICU))+((I61+J61)*(1-i_Bac_ICU))+K60+E60+E61+K61)/2*(C61-C60)</f>
        <v>0.01012378127</v>
      </c>
      <c r="AN61" s="6"/>
      <c r="AO61" s="6"/>
      <c r="AP61" s="6"/>
      <c r="AQ61" s="6"/>
      <c r="AR61" s="6"/>
      <c r="AS61" s="6"/>
      <c r="AT61" s="6"/>
      <c r="AU61" s="6"/>
    </row>
    <row r="62" ht="14.25" customHeight="1">
      <c r="B62" s="26">
        <f t="shared" ref="B62:C62" si="135">B61+1</f>
        <v>36</v>
      </c>
      <c r="C62" s="26">
        <f t="shared" si="135"/>
        <v>36</v>
      </c>
      <c r="D62" s="26">
        <f t="shared" si="7"/>
        <v>0.1</v>
      </c>
      <c r="E62" s="28">
        <f t="shared" si="15"/>
        <v>0.0001356949109</v>
      </c>
      <c r="F62" s="28">
        <f t="shared" si="16"/>
        <v>0.0001206111838</v>
      </c>
      <c r="G62" s="28">
        <f t="shared" si="17"/>
        <v>0.00003843142938</v>
      </c>
      <c r="H62" s="28">
        <f t="shared" si="18"/>
        <v>0.0002532965521</v>
      </c>
      <c r="I62" s="28">
        <f t="shared" si="19"/>
        <v>0.00180228716</v>
      </c>
      <c r="J62" s="28">
        <f t="shared" si="20"/>
        <v>0.003422565474</v>
      </c>
      <c r="K62" s="28">
        <f t="shared" si="21"/>
        <v>0.004618898988</v>
      </c>
      <c r="L62" s="28">
        <f t="shared" si="22"/>
        <v>0.8646741626</v>
      </c>
      <c r="M62" s="28">
        <f t="shared" si="23"/>
        <v>0.09116939743</v>
      </c>
      <c r="N62" s="28">
        <f t="shared" si="24"/>
        <v>0.003885233434</v>
      </c>
      <c r="O62" s="28">
        <f t="shared" si="25"/>
        <v>0.003340552865</v>
      </c>
      <c r="P62" s="28">
        <f t="shared" si="26"/>
        <v>0.02653886801</v>
      </c>
      <c r="R62" s="26">
        <f t="shared" si="27"/>
        <v>1</v>
      </c>
      <c r="S62" s="30">
        <f t="shared" si="8"/>
        <v>1.390065452</v>
      </c>
      <c r="T62" s="30">
        <f t="shared" ref="T62:U62" si="136">((F61+F62)/2)*T$25*($C62-$C61)</f>
        <v>0.3970140676</v>
      </c>
      <c r="U62" s="30">
        <f t="shared" si="136"/>
        <v>0.1265091995</v>
      </c>
      <c r="V62" s="30">
        <f t="shared" si="29"/>
        <v>0.6488152672</v>
      </c>
      <c r="W62" s="30">
        <f t="shared" ref="W62:X62" si="137">((I61+I62)/2)*W$25*($C62-$C61)</f>
        <v>4.142186622</v>
      </c>
      <c r="X62" s="30">
        <f t="shared" si="137"/>
        <v>7.761812071</v>
      </c>
      <c r="Y62" s="30">
        <f t="shared" si="31"/>
        <v>11.5016881</v>
      </c>
      <c r="Z62" s="30">
        <f>(L62-OFFSET(L62,-IF(C62-C61&gt;i_Cos_Days,1,MIN(B62,i_Cos_Days)),0))*MIN(i_Cos_Days,($C62-$C61))</f>
        <v>0</v>
      </c>
      <c r="AA62" s="30">
        <f t="shared" si="32"/>
        <v>39.01903355</v>
      </c>
      <c r="AB62" s="30">
        <f t="shared" si="33"/>
        <v>5.673880156</v>
      </c>
      <c r="AC62" s="30">
        <f t="shared" si="34"/>
        <v>0.6921396817</v>
      </c>
      <c r="AD62" s="30">
        <f t="shared" si="35"/>
        <v>0</v>
      </c>
      <c r="AE62" s="6"/>
      <c r="AF62" s="30">
        <f t="shared" si="11"/>
        <v>0.8984388169</v>
      </c>
      <c r="AG62" s="30" t="str">
        <f>MIN(1,SUM(OFFSET(E62,0,0,-i_Eve_ECG,1)))</f>
        <v>#VALUE!</v>
      </c>
      <c r="AH62" s="30" t="str">
        <f t="shared" si="12"/>
        <v>#VALUE!</v>
      </c>
      <c r="AI62" s="30" t="str">
        <f t="shared" si="13"/>
        <v>#VALUE!</v>
      </c>
      <c r="AJ62" s="30" t="str">
        <f>(AH62*(i_Adv_Fals/i_Adv_Alar))*AJ$25</f>
        <v>#VALUE!</v>
      </c>
      <c r="AK62" s="30" t="str">
        <f>(AH62*(i_Adv_Lead/i_Adv_Alar))*AK$25</f>
        <v>#VALUE!</v>
      </c>
      <c r="AL62" s="30">
        <f>((SUM(F61:J61)-((I61+J61)*(1-i_Bac_ICU)))+(SUM(F62:J62)-((I62+J62)*(1-i_Bac_ICU))))/2*(C62-C61)</f>
        <v>0.001387168232</v>
      </c>
      <c r="AM62" s="30">
        <f>(((I61+J61)*(1-i_Bac_ICU))+((I62+J62)*(1-i_Bac_ICU))+K61+E61+E62+K62)/2*(C62-C61)</f>
        <v>0.009375554126</v>
      </c>
      <c r="AN62" s="6"/>
      <c r="AO62" s="6"/>
      <c r="AP62" s="6"/>
      <c r="AQ62" s="6"/>
      <c r="AR62" s="6"/>
      <c r="AS62" s="6"/>
      <c r="AT62" s="6"/>
      <c r="AU62" s="6"/>
    </row>
    <row r="63" ht="14.25" customHeight="1">
      <c r="B63" s="26">
        <f t="shared" ref="B63:C63" si="138">B62+1</f>
        <v>37</v>
      </c>
      <c r="C63" s="26">
        <f t="shared" si="138"/>
        <v>37</v>
      </c>
      <c r="D63" s="26">
        <f t="shared" si="7"/>
        <v>0.1</v>
      </c>
      <c r="E63" s="28">
        <f t="shared" si="15"/>
        <v>0.0001356631195</v>
      </c>
      <c r="F63" s="28">
        <f t="shared" si="16"/>
        <v>0.0001205818706</v>
      </c>
      <c r="G63" s="28">
        <f t="shared" si="17"/>
        <v>0.00003842000291</v>
      </c>
      <c r="H63" s="28">
        <f t="shared" si="18"/>
        <v>0.0002483361439</v>
      </c>
      <c r="I63" s="28">
        <f t="shared" si="19"/>
        <v>0.001701253797</v>
      </c>
      <c r="J63" s="28">
        <f t="shared" si="20"/>
        <v>0.003316264594</v>
      </c>
      <c r="K63" s="28">
        <f t="shared" si="21"/>
        <v>0.004177295504</v>
      </c>
      <c r="L63" s="28">
        <f t="shared" si="22"/>
        <v>0.8682825522</v>
      </c>
      <c r="M63" s="28">
        <f t="shared" si="23"/>
        <v>0.08799648822</v>
      </c>
      <c r="N63" s="28">
        <f t="shared" si="24"/>
        <v>0.003963753528</v>
      </c>
      <c r="O63" s="28">
        <f t="shared" si="25"/>
        <v>0.003385836242</v>
      </c>
      <c r="P63" s="28">
        <f t="shared" si="26"/>
        <v>0.02663355474</v>
      </c>
      <c r="R63" s="26">
        <f t="shared" si="27"/>
        <v>1</v>
      </c>
      <c r="S63" s="30">
        <f t="shared" si="8"/>
        <v>1.38973978</v>
      </c>
      <c r="T63" s="30">
        <f t="shared" ref="T63:U63" si="139">((F62+F63)/2)*T$25*($C63-$C62)</f>
        <v>0.396915732</v>
      </c>
      <c r="U63" s="30">
        <f t="shared" si="139"/>
        <v>0.1264694068</v>
      </c>
      <c r="V63" s="30">
        <f t="shared" si="29"/>
        <v>0.6359498666</v>
      </c>
      <c r="W63" s="30">
        <f t="shared" ref="W63:X63" si="140">((I62+I63)/2)*W$25*($C63-$C62)</f>
        <v>3.910285436</v>
      </c>
      <c r="X63" s="30">
        <f t="shared" si="140"/>
        <v>7.521176262</v>
      </c>
      <c r="Y63" s="30">
        <f t="shared" si="31"/>
        <v>10.36763464</v>
      </c>
      <c r="Z63" s="30">
        <f>(L63-OFFSET(L63,-IF(C63-C62&gt;i_Cos_Days,1,MIN(B63,i_Cos_Days)),0))*MIN(i_Cos_Days,($C63-$C62))</f>
        <v>0</v>
      </c>
      <c r="AA63" s="30">
        <f t="shared" si="32"/>
        <v>37.66335665</v>
      </c>
      <c r="AB63" s="30">
        <f t="shared" si="33"/>
        <v>5.676941478</v>
      </c>
      <c r="AC63" s="30">
        <f t="shared" si="34"/>
        <v>0.6925131233</v>
      </c>
      <c r="AD63" s="30">
        <f t="shared" si="35"/>
        <v>0</v>
      </c>
      <c r="AE63" s="6"/>
      <c r="AF63" s="30">
        <f t="shared" si="11"/>
        <v>0.9022656968</v>
      </c>
      <c r="AG63" s="30" t="str">
        <f>MIN(1,SUM(OFFSET(E63,0,0,-i_Eve_ECG,1)))</f>
        <v>#VALUE!</v>
      </c>
      <c r="AH63" s="30" t="str">
        <f t="shared" si="12"/>
        <v>#VALUE!</v>
      </c>
      <c r="AI63" s="30" t="str">
        <f t="shared" si="13"/>
        <v>#VALUE!</v>
      </c>
      <c r="AJ63" s="30" t="str">
        <f>(AH63*(i_Adv_Fals/i_Adv_Alar))*AJ$25</f>
        <v>#VALUE!</v>
      </c>
      <c r="AK63" s="30" t="str">
        <f>(AH63*(i_Adv_Lead/i_Adv_Alar))*AK$25</f>
        <v>#VALUE!</v>
      </c>
      <c r="AL63" s="30">
        <f>((SUM(F62:J62)-((I62+J62)*(1-i_Bac_ICU)))+(SUM(F63:J63)-((I63+J63)*(1-i_Bac_ICU))))/2*(C63-C62)</f>
        <v>0.001343459543</v>
      </c>
      <c r="AM63" s="30">
        <f>(((I62+J62)*(1-i_Bac_ICU))+((I63+J63)*(1-i_Bac_ICU))+K62+E62+E63+K63)/2*(C63-C62)</f>
        <v>0.008721340823</v>
      </c>
      <c r="AN63" s="6"/>
      <c r="AO63" s="6"/>
      <c r="AP63" s="6"/>
      <c r="AQ63" s="6"/>
      <c r="AR63" s="6"/>
      <c r="AS63" s="6"/>
      <c r="AT63" s="6"/>
      <c r="AU63" s="6"/>
    </row>
    <row r="64" ht="14.25" customHeight="1">
      <c r="B64" s="26">
        <f t="shared" ref="B64:C64" si="141">B63+1</f>
        <v>38</v>
      </c>
      <c r="C64" s="26">
        <f t="shared" si="141"/>
        <v>38</v>
      </c>
      <c r="D64" s="26">
        <f t="shared" si="7"/>
        <v>0.1</v>
      </c>
      <c r="E64" s="28">
        <f t="shared" si="15"/>
        <v>0.0001356324428</v>
      </c>
      <c r="F64" s="28">
        <f t="shared" si="16"/>
        <v>0.0001205536142</v>
      </c>
      <c r="G64" s="28">
        <f t="shared" si="17"/>
        <v>0.00003840951948</v>
      </c>
      <c r="H64" s="28">
        <f t="shared" si="18"/>
        <v>0.0002435956408</v>
      </c>
      <c r="I64" s="28">
        <f t="shared" si="19"/>
        <v>0.001605687935</v>
      </c>
      <c r="J64" s="28">
        <f t="shared" si="20"/>
        <v>0.003212953939</v>
      </c>
      <c r="K64" s="28">
        <f t="shared" si="21"/>
        <v>0.003801634789</v>
      </c>
      <c r="L64" s="28">
        <f t="shared" si="22"/>
        <v>0.8717212205</v>
      </c>
      <c r="M64" s="28">
        <f t="shared" si="23"/>
        <v>0.08492613034</v>
      </c>
      <c r="N64" s="28">
        <f t="shared" si="24"/>
        <v>0.004039105786</v>
      </c>
      <c r="O64" s="28">
        <f t="shared" si="25"/>
        <v>0.003428220742</v>
      </c>
      <c r="P64" s="28">
        <f t="shared" si="26"/>
        <v>0.02672685472</v>
      </c>
      <c r="R64" s="26">
        <f t="shared" si="27"/>
        <v>1</v>
      </c>
      <c r="S64" s="30">
        <f t="shared" si="8"/>
        <v>1.389425526</v>
      </c>
      <c r="T64" s="30">
        <f t="shared" ref="T64:U64" si="142">((F63+F64)/2)*T$25*($C64-$C63)</f>
        <v>0.3968209935</v>
      </c>
      <c r="U64" s="30">
        <f t="shared" si="142"/>
        <v>0.1264333511</v>
      </c>
      <c r="V64" s="30">
        <f t="shared" si="29"/>
        <v>0.6236514393</v>
      </c>
      <c r="W64" s="30">
        <f t="shared" ref="W64:X64" si="143">((I63+I64)/2)*W$25*($C64-$C63)</f>
        <v>3.690861974</v>
      </c>
      <c r="X64" s="30">
        <f t="shared" si="143"/>
        <v>7.287229822</v>
      </c>
      <c r="Y64" s="30">
        <f t="shared" si="31"/>
        <v>9.40436619</v>
      </c>
      <c r="Z64" s="30">
        <f>(L64-OFFSET(L64,-IF(C64-C63&gt;i_Cos_Days,1,MIN(B64,i_Cos_Days)),0))*MIN(i_Cos_Days,($C64-$C63))</f>
        <v>0</v>
      </c>
      <c r="AA64" s="30">
        <f t="shared" si="32"/>
        <v>36.35092826</v>
      </c>
      <c r="AB64" s="30">
        <f t="shared" si="33"/>
        <v>5.679527882</v>
      </c>
      <c r="AC64" s="30">
        <f t="shared" si="34"/>
        <v>0.6928286309</v>
      </c>
      <c r="AD64" s="30">
        <f t="shared" si="35"/>
        <v>0</v>
      </c>
      <c r="AE64" s="6"/>
      <c r="AF64" s="30">
        <f t="shared" si="11"/>
        <v>0.9059154018</v>
      </c>
      <c r="AG64" s="30" t="str">
        <f>MIN(1,SUM(OFFSET(E64,0,0,-i_Eve_ECG,1)))</f>
        <v>#VALUE!</v>
      </c>
      <c r="AH64" s="30" t="str">
        <f t="shared" si="12"/>
        <v>#VALUE!</v>
      </c>
      <c r="AI64" s="30" t="str">
        <f t="shared" si="13"/>
        <v>#VALUE!</v>
      </c>
      <c r="AJ64" s="30" t="str">
        <f>(AH64*(i_Adv_Fals/i_Adv_Alar))*AJ$25</f>
        <v>#VALUE!</v>
      </c>
      <c r="AK64" s="30" t="str">
        <f>(AH64*(i_Adv_Lead/i_Adv_Alar))*AK$25</f>
        <v>#VALUE!</v>
      </c>
      <c r="AL64" s="30">
        <f>((SUM(F63:J63)-((I63+J63)*(1-i_Bac_ICU)))+(SUM(F64:J64)-((I64+J64)*(1-i_Bac_ICU))))/2*(C64-C63)</f>
        <v>0.001301542093</v>
      </c>
      <c r="AM64" s="30">
        <f>(((I63+J63)*(1-i_Bac_ICU))+((I64+J64)*(1-i_Bac_ICU))+K63+E63+E64+K64)/2*(C64-C63)</f>
        <v>0.008146599363</v>
      </c>
      <c r="AN64" s="6"/>
      <c r="AO64" s="6"/>
      <c r="AP64" s="6"/>
      <c r="AQ64" s="6"/>
      <c r="AR64" s="6"/>
      <c r="AS64" s="6"/>
      <c r="AT64" s="6"/>
      <c r="AU64" s="6"/>
    </row>
    <row r="65" ht="14.25" customHeight="1">
      <c r="B65" s="26">
        <f t="shared" ref="B65:C65" si="144">B64+1</f>
        <v>39</v>
      </c>
      <c r="C65" s="26">
        <f t="shared" si="144"/>
        <v>39</v>
      </c>
      <c r="D65" s="26">
        <f t="shared" si="7"/>
        <v>0.1</v>
      </c>
      <c r="E65" s="28">
        <f t="shared" si="15"/>
        <v>0.0001356028126</v>
      </c>
      <c r="F65" s="28">
        <f t="shared" si="16"/>
        <v>0.0001205263488</v>
      </c>
      <c r="G65" s="28">
        <f t="shared" si="17"/>
        <v>0.00003839973546</v>
      </c>
      <c r="H65" s="28">
        <f t="shared" si="18"/>
        <v>0.000239067322</v>
      </c>
      <c r="I65" s="28">
        <f t="shared" si="19"/>
        <v>0.001515343786</v>
      </c>
      <c r="J65" s="28">
        <f t="shared" si="20"/>
        <v>0.003112606876</v>
      </c>
      <c r="K65" s="28">
        <f t="shared" si="21"/>
        <v>0.003481104161</v>
      </c>
      <c r="L65" s="28">
        <f t="shared" si="22"/>
        <v>0.8750019677</v>
      </c>
      <c r="M65" s="28">
        <f t="shared" si="23"/>
        <v>0.08195716934</v>
      </c>
      <c r="N65" s="28">
        <f t="shared" si="24"/>
        <v>0.004111405523</v>
      </c>
      <c r="O65" s="28">
        <f t="shared" si="25"/>
        <v>0.003467880917</v>
      </c>
      <c r="P65" s="28">
        <f t="shared" si="26"/>
        <v>0.02681892547</v>
      </c>
      <c r="R65" s="26">
        <f t="shared" si="27"/>
        <v>1</v>
      </c>
      <c r="S65" s="30">
        <f t="shared" si="8"/>
        <v>1.389121993</v>
      </c>
      <c r="T65" s="30">
        <f t="shared" ref="T65:U65" si="145">((F64+F65)/2)*T$25*($C65-$C64)</f>
        <v>0.3967296249</v>
      </c>
      <c r="U65" s="30">
        <f t="shared" si="145"/>
        <v>0.1263999982</v>
      </c>
      <c r="V65" s="30">
        <f t="shared" si="29"/>
        <v>0.6119007977</v>
      </c>
      <c r="W65" s="30">
        <f t="shared" ref="W65:X65" si="146">((I64+I65)/2)*W$25*($C65-$C64)</f>
        <v>3.483368694</v>
      </c>
      <c r="X65" s="30">
        <f t="shared" si="146"/>
        <v>7.059928409</v>
      </c>
      <c r="Y65" s="30">
        <f t="shared" si="31"/>
        <v>8.583800264</v>
      </c>
      <c r="Z65" s="30">
        <f>(L65-OFFSET(L65,-IF(C65-C64&gt;i_Cos_Days,1,MIN(B65,i_Cos_Days)),0))*MIN(i_Cos_Days,($C65-$C64))</f>
        <v>0</v>
      </c>
      <c r="AA65" s="30">
        <f t="shared" si="32"/>
        <v>35.08137284</v>
      </c>
      <c r="AB65" s="30">
        <f t="shared" si="33"/>
        <v>5.681715349</v>
      </c>
      <c r="AC65" s="30">
        <f t="shared" si="34"/>
        <v>0.6930954735</v>
      </c>
      <c r="AD65" s="30">
        <f t="shared" si="35"/>
        <v>0</v>
      </c>
      <c r="AE65" s="6"/>
      <c r="AF65" s="30">
        <f t="shared" si="11"/>
        <v>0.9094001796</v>
      </c>
      <c r="AG65" s="30" t="str">
        <f>MIN(1,SUM(OFFSET(E65,0,0,-i_Eve_ECG,1)))</f>
        <v>#VALUE!</v>
      </c>
      <c r="AH65" s="30" t="str">
        <f t="shared" si="12"/>
        <v>#VALUE!</v>
      </c>
      <c r="AI65" s="30" t="str">
        <f t="shared" si="13"/>
        <v>#VALUE!</v>
      </c>
      <c r="AJ65" s="30" t="str">
        <f>(AH65*(i_Adv_Fals/i_Adv_Alar))*AJ$25</f>
        <v>#VALUE!</v>
      </c>
      <c r="AK65" s="30" t="str">
        <f>(AH65*(i_Adv_Lead/i_Adv_Alar))*AK$25</f>
        <v>#VALUE!</v>
      </c>
      <c r="AL65" s="30">
        <f>((SUM(F64:J64)-((I64+J64)*(1-i_Bac_ICU)))+(SUM(F65:J65)-((I65+J65)*(1-i_Bac_ICU))))/2*(C65-C64)</f>
        <v>0.001261359592</v>
      </c>
      <c r="AM65" s="30">
        <f>(((I64+J64)*(1-i_Bac_ICU))+((I65+J65)*(1-i_Bac_ICU))+K64+E64+E65+K65)/2*(C65-C64)</f>
        <v>0.007639199869</v>
      </c>
      <c r="AN65" s="6"/>
      <c r="AO65" s="6"/>
      <c r="AP65" s="6"/>
      <c r="AQ65" s="6"/>
      <c r="AR65" s="6"/>
      <c r="AS65" s="6"/>
      <c r="AT65" s="6"/>
      <c r="AU65" s="6"/>
    </row>
    <row r="66" ht="14.25" customHeight="1">
      <c r="B66" s="26">
        <f t="shared" ref="B66:C66" si="147">B65+1</f>
        <v>40</v>
      </c>
      <c r="C66" s="26">
        <f t="shared" si="147"/>
        <v>40</v>
      </c>
      <c r="D66" s="26">
        <f t="shared" si="7"/>
        <v>0.1</v>
      </c>
      <c r="E66" s="28">
        <f t="shared" si="15"/>
        <v>0.0001355741661</v>
      </c>
      <c r="F66" s="28">
        <f t="shared" si="16"/>
        <v>0.0001205000136</v>
      </c>
      <c r="G66" s="28">
        <f t="shared" si="17"/>
        <v>0.00003839049433</v>
      </c>
      <c r="H66" s="28">
        <f t="shared" si="18"/>
        <v>0.00023474328</v>
      </c>
      <c r="I66" s="28">
        <f t="shared" si="19"/>
        <v>0.001429977249</v>
      </c>
      <c r="J66" s="28">
        <f t="shared" si="20"/>
        <v>0.003015186038</v>
      </c>
      <c r="K66" s="28">
        <f t="shared" si="21"/>
        <v>0.003206716484</v>
      </c>
      <c r="L66" s="28">
        <f t="shared" si="22"/>
        <v>0.8781352217</v>
      </c>
      <c r="M66" s="28">
        <f t="shared" si="23"/>
        <v>0.07908804086</v>
      </c>
      <c r="N66" s="28">
        <f t="shared" si="24"/>
        <v>0.00418076592</v>
      </c>
      <c r="O66" s="28">
        <f t="shared" si="25"/>
        <v>0.003504982661</v>
      </c>
      <c r="P66" s="28">
        <f t="shared" si="26"/>
        <v>0.02690990111</v>
      </c>
      <c r="R66" s="26">
        <f t="shared" si="27"/>
        <v>1</v>
      </c>
      <c r="S66" s="30">
        <f t="shared" si="8"/>
        <v>1.388828536</v>
      </c>
      <c r="T66" s="30">
        <f t="shared" ref="T66:U66" si="148">((F65+F66)/2)*T$25*($C66-$C65)</f>
        <v>0.3966414179</v>
      </c>
      <c r="U66" s="30">
        <f t="shared" si="148"/>
        <v>0.1263686898</v>
      </c>
      <c r="V66" s="30">
        <f t="shared" si="29"/>
        <v>0.6006781288</v>
      </c>
      <c r="W66" s="30">
        <f t="shared" ref="W66:X66" si="149">((I65+I66)/2)*W$25*($C66-$C65)</f>
        <v>3.287258831</v>
      </c>
      <c r="X66" s="30">
        <f t="shared" si="149"/>
        <v>6.839200593</v>
      </c>
      <c r="Y66" s="30">
        <f t="shared" si="31"/>
        <v>7.882599804</v>
      </c>
      <c r="Z66" s="30">
        <f>(L66-OFFSET(L66,-IF(C66-C65&gt;i_Cos_Days,1,MIN(B66,i_Cos_Days)),0))*MIN(i_Cos_Days,($C66-$C65))</f>
        <v>0</v>
      </c>
      <c r="AA66" s="30">
        <f t="shared" si="32"/>
        <v>33.85411886</v>
      </c>
      <c r="AB66" s="30">
        <f t="shared" si="33"/>
        <v>5.683567108</v>
      </c>
      <c r="AC66" s="30">
        <f t="shared" si="34"/>
        <v>0.693321364</v>
      </c>
      <c r="AD66" s="30">
        <f t="shared" si="35"/>
        <v>0</v>
      </c>
      <c r="AE66" s="6"/>
      <c r="AF66" s="30">
        <f t="shared" si="11"/>
        <v>0.9127308714</v>
      </c>
      <c r="AG66" s="30" t="str">
        <f>MIN(1,SUM(OFFSET(E66,0,0,-i_Eve_ECG,1)))</f>
        <v>#VALUE!</v>
      </c>
      <c r="AH66" s="30" t="str">
        <f t="shared" si="12"/>
        <v>#VALUE!</v>
      </c>
      <c r="AI66" s="30" t="str">
        <f t="shared" si="13"/>
        <v>#VALUE!</v>
      </c>
      <c r="AJ66" s="30" t="str">
        <f>(AH66*(i_Adv_Fals/i_Adv_Alar))*AJ$25</f>
        <v>#VALUE!</v>
      </c>
      <c r="AK66" s="30" t="str">
        <f>(AH66*(i_Adv_Lead/i_Adv_Alar))*AK$25</f>
        <v>#VALUE!</v>
      </c>
      <c r="AL66" s="30">
        <f>((SUM(F65:J65)-((I65+J65)*(1-i_Bac_ICU)))+(SUM(F66:J66)-((I66+J66)*(1-i_Bac_ICU))))/2*(C66-C65)</f>
        <v>0.001222853474</v>
      </c>
      <c r="AM66" s="30">
        <f>(((I65+J65)*(1-i_Bac_ICU))+((I66+J66)*(1-i_Bac_ICU))+K65+E65+E66+K66)/2*(C66-C65)</f>
        <v>0.007189015909</v>
      </c>
      <c r="AN66" s="6"/>
      <c r="AO66" s="6"/>
      <c r="AP66" s="6"/>
      <c r="AQ66" s="6"/>
      <c r="AR66" s="6"/>
      <c r="AS66" s="6"/>
      <c r="AT66" s="6"/>
      <c r="AU66" s="6"/>
    </row>
    <row r="67" ht="14.25" customHeight="1">
      <c r="B67" s="26">
        <f t="shared" ref="B67:C67" si="150">B66+1</f>
        <v>41</v>
      </c>
      <c r="C67" s="26">
        <f t="shared" si="150"/>
        <v>41</v>
      </c>
      <c r="D67" s="26">
        <f t="shared" si="7"/>
        <v>0.1</v>
      </c>
      <c r="E67" s="28">
        <f t="shared" si="15"/>
        <v>0.0001355464452</v>
      </c>
      <c r="F67" s="28">
        <f t="shared" si="16"/>
        <v>0.0001204745529</v>
      </c>
      <c r="G67" s="28">
        <f t="shared" si="17"/>
        <v>0.00003838169342</v>
      </c>
      <c r="H67" s="28">
        <f t="shared" si="18"/>
        <v>0.0002306155237</v>
      </c>
      <c r="I67" s="28">
        <f t="shared" si="19"/>
        <v>0.001349347994</v>
      </c>
      <c r="J67" s="28">
        <f t="shared" si="20"/>
        <v>0.002920645629</v>
      </c>
      <c r="K67" s="28">
        <f t="shared" si="21"/>
        <v>0.002970999165</v>
      </c>
      <c r="L67" s="28">
        <f t="shared" si="22"/>
        <v>0.8811302488</v>
      </c>
      <c r="M67" s="28">
        <f t="shared" si="23"/>
        <v>0.07631686304</v>
      </c>
      <c r="N67" s="28">
        <f t="shared" si="24"/>
        <v>0.004247297666</v>
      </c>
      <c r="O67" s="28">
        <f t="shared" si="25"/>
        <v>0.003539683287</v>
      </c>
      <c r="P67" s="28">
        <f t="shared" si="26"/>
        <v>0.02699989618</v>
      </c>
      <c r="R67" s="26">
        <f t="shared" si="27"/>
        <v>1</v>
      </c>
      <c r="S67" s="30">
        <f t="shared" si="8"/>
        <v>1.388544562</v>
      </c>
      <c r="T67" s="30">
        <f t="shared" ref="T67:U67" si="151">((F66+F67)/2)*T$25*($C67-$C66)</f>
        <v>0.3965561807</v>
      </c>
      <c r="U67" s="30">
        <f t="shared" si="151"/>
        <v>0.1263389992</v>
      </c>
      <c r="V67" s="30">
        <f t="shared" si="29"/>
        <v>0.589963277</v>
      </c>
      <c r="W67" s="30">
        <f t="shared" ref="W67:X67" si="152">((I66+I67)/2)*W$25*($C67-$C66)</f>
        <v>3.101991715</v>
      </c>
      <c r="X67" s="30">
        <f t="shared" si="152"/>
        <v>6.624953556</v>
      </c>
      <c r="Y67" s="30">
        <f t="shared" si="31"/>
        <v>7.28136455</v>
      </c>
      <c r="Z67" s="30">
        <f>(L67-OFFSET(L67,-IF(C67-C66&gt;i_Cos_Days,1,MIN(B67,i_Cos_Days)),0))*MIN(i_Cos_Days,($C67-$C66))</f>
        <v>0</v>
      </c>
      <c r="AA67" s="30">
        <f t="shared" si="32"/>
        <v>32.66844187</v>
      </c>
      <c r="AB67" s="30">
        <f t="shared" si="33"/>
        <v>5.685135801</v>
      </c>
      <c r="AC67" s="30">
        <f t="shared" si="34"/>
        <v>0.6935127242</v>
      </c>
      <c r="AD67" s="30">
        <f t="shared" si="35"/>
        <v>0</v>
      </c>
      <c r="AE67" s="6"/>
      <c r="AF67" s="30">
        <f t="shared" si="11"/>
        <v>0.915917126</v>
      </c>
      <c r="AG67" s="30" t="str">
        <f>MIN(1,SUM(OFFSET(E67,0,0,-i_Eve_ECG,1)))</f>
        <v>#VALUE!</v>
      </c>
      <c r="AH67" s="30" t="str">
        <f t="shared" si="12"/>
        <v>#VALUE!</v>
      </c>
      <c r="AI67" s="30" t="str">
        <f t="shared" si="13"/>
        <v>#VALUE!</v>
      </c>
      <c r="AJ67" s="30" t="str">
        <f>(AH67*(i_Adv_Fals/i_Adv_Alar))*AJ$25</f>
        <v>#VALUE!</v>
      </c>
      <c r="AK67" s="30" t="str">
        <f>(AH67*(i_Adv_Lead/i_Adv_Alar))*AK$25</f>
        <v>#VALUE!</v>
      </c>
      <c r="AL67" s="30">
        <f>((SUM(F66:J66)-((I66+J66)*(1-i_Bac_ICU)))+(SUM(F67:J67)-((I67+J67)*(1-i_Bac_ICU))))/2*(C67-C66)</f>
        <v>0.001185963865</v>
      </c>
      <c r="AM67" s="30">
        <f>(((I66+J66)*(1-i_Bac_ICU))+((I67+J67)*(1-i_Bac_ICU))+K66+E66+E67+K67)/2*(C67-C66)</f>
        <v>0.0067875855</v>
      </c>
      <c r="AN67" s="6"/>
      <c r="AO67" s="6"/>
      <c r="AP67" s="6"/>
      <c r="AQ67" s="6"/>
      <c r="AR67" s="6"/>
      <c r="AS67" s="6"/>
      <c r="AT67" s="6"/>
      <c r="AU67" s="6"/>
    </row>
    <row r="68" ht="14.25" customHeight="1">
      <c r="B68" s="26">
        <f t="shared" ref="B68:C68" si="153">B67+1</f>
        <v>42</v>
      </c>
      <c r="C68" s="26">
        <f t="shared" si="153"/>
        <v>42</v>
      </c>
      <c r="D68" s="26">
        <f t="shared" si="7"/>
        <v>0.1</v>
      </c>
      <c r="E68" s="28">
        <f t="shared" si="15"/>
        <v>0.0001355195962</v>
      </c>
      <c r="F68" s="28">
        <f t="shared" si="16"/>
        <v>0.000120449915</v>
      </c>
      <c r="G68" s="28">
        <f t="shared" si="17"/>
        <v>0.00003837326354</v>
      </c>
      <c r="H68" s="28">
        <f t="shared" si="18"/>
        <v>0.0002266760635</v>
      </c>
      <c r="I68" s="28">
        <f t="shared" si="19"/>
        <v>0.001273221041</v>
      </c>
      <c r="J68" s="28">
        <f t="shared" si="20"/>
        <v>0.002828933328</v>
      </c>
      <c r="K68" s="28">
        <f t="shared" si="21"/>
        <v>0.002767736284</v>
      </c>
      <c r="L68" s="28">
        <f t="shared" si="22"/>
        <v>0.8839953289</v>
      </c>
      <c r="M68" s="28">
        <f t="shared" si="23"/>
        <v>0.07364151244</v>
      </c>
      <c r="N68" s="28">
        <f t="shared" si="24"/>
        <v>0.00431110869</v>
      </c>
      <c r="O68" s="28">
        <f t="shared" si="25"/>
        <v>0.003572131686</v>
      </c>
      <c r="P68" s="28">
        <f t="shared" si="26"/>
        <v>0.02708900883</v>
      </c>
      <c r="R68" s="26">
        <f t="shared" si="27"/>
        <v>1</v>
      </c>
      <c r="S68" s="30">
        <f t="shared" si="8"/>
        <v>1.38826952</v>
      </c>
      <c r="T68" s="30">
        <f t="shared" ref="T68:U68" si="154">((F67+F68)/2)*T$25*($C68-$C67)</f>
        <v>0.3964737366</v>
      </c>
      <c r="U68" s="30">
        <f t="shared" si="154"/>
        <v>0.1263106436</v>
      </c>
      <c r="V68" s="30">
        <f t="shared" si="29"/>
        <v>0.5797359826</v>
      </c>
      <c r="W68" s="30">
        <f t="shared" ref="W68:X68" si="155">((I67+I68)/2)*W$25*($C68-$C67)</f>
        <v>2.927036855</v>
      </c>
      <c r="X68" s="30">
        <f t="shared" si="155"/>
        <v>6.41707779</v>
      </c>
      <c r="Y68" s="30">
        <f t="shared" si="31"/>
        <v>6.763960538</v>
      </c>
      <c r="Z68" s="30">
        <f>(L68-OFFSET(L68,-IF(C68-C67&gt;i_Cos_Days,1,MIN(B68,i_Cos_Days)),0))*MIN(i_Cos_Days,($C68-$C67))</f>
        <v>0</v>
      </c>
      <c r="AA68" s="30">
        <f t="shared" si="32"/>
        <v>31.5234999</v>
      </c>
      <c r="AB68" s="30">
        <f t="shared" si="33"/>
        <v>5.686465286</v>
      </c>
      <c r="AC68" s="30">
        <f t="shared" si="34"/>
        <v>0.6936749041</v>
      </c>
      <c r="AD68" s="30">
        <f t="shared" si="35"/>
        <v>0</v>
      </c>
      <c r="AE68" s="6"/>
      <c r="AF68" s="30">
        <f t="shared" si="11"/>
        <v>0.9189675781</v>
      </c>
      <c r="AG68" s="30" t="str">
        <f>MIN(1,SUM(OFFSET(E68,0,0,-i_Eve_ECG,1)))</f>
        <v>#VALUE!</v>
      </c>
      <c r="AH68" s="30" t="str">
        <f t="shared" si="12"/>
        <v>#VALUE!</v>
      </c>
      <c r="AI68" s="30" t="str">
        <f t="shared" si="13"/>
        <v>#VALUE!</v>
      </c>
      <c r="AJ68" s="30" t="str">
        <f>(AH68*(i_Adv_Fals/i_Adv_Alar))*AJ$25</f>
        <v>#VALUE!</v>
      </c>
      <c r="AK68" s="30" t="str">
        <f>(AH68*(i_Adv_Lead/i_Adv_Alar))*AK$25</f>
        <v>#VALUE!</v>
      </c>
      <c r="AL68" s="30">
        <f>((SUM(F67:J67)-((I67+J67)*(1-i_Bac_ICU)))+(SUM(F68:J68)-((I68+J68)*(1-i_Bac_ICU))))/2*(C68-C67)</f>
        <v>0.001150630363</v>
      </c>
      <c r="AM68" s="30">
        <f>(((I67+J67)*(1-i_Bac_ICU))+((I68+J68)*(1-i_Bac_ICU))+K67+E67+E68+K68)/2*(C68-C67)</f>
        <v>0.006427829884</v>
      </c>
      <c r="AN68" s="6"/>
      <c r="AO68" s="6"/>
      <c r="AP68" s="6"/>
      <c r="AQ68" s="6"/>
      <c r="AR68" s="6"/>
      <c r="AS68" s="6"/>
      <c r="AT68" s="6"/>
      <c r="AU68" s="6"/>
    </row>
    <row r="69" ht="14.25" customHeight="1">
      <c r="B69" s="26">
        <f t="shared" ref="B69:C69" si="156">B68+1</f>
        <v>43</v>
      </c>
      <c r="C69" s="26">
        <f t="shared" si="156"/>
        <v>43</v>
      </c>
      <c r="D69" s="26">
        <f t="shared" si="7"/>
        <v>0.1</v>
      </c>
      <c r="E69" s="28">
        <f t="shared" si="15"/>
        <v>0.0001354935694</v>
      </c>
      <c r="F69" s="28">
        <f t="shared" si="16"/>
        <v>0.0001204260521</v>
      </c>
      <c r="G69" s="28">
        <f t="shared" si="17"/>
        <v>0.00003836515644</v>
      </c>
      <c r="H69" s="28">
        <f t="shared" si="18"/>
        <v>0.0002229169807</v>
      </c>
      <c r="I69" s="28">
        <f t="shared" si="19"/>
        <v>0.001201367941</v>
      </c>
      <c r="J69" s="28">
        <f t="shared" si="20"/>
        <v>0.002739991846</v>
      </c>
      <c r="K69" s="28">
        <f t="shared" si="21"/>
        <v>0.00259175476</v>
      </c>
      <c r="L69" s="28">
        <f t="shared" si="22"/>
        <v>0.8867379017</v>
      </c>
      <c r="M69" s="28">
        <f t="shared" si="23"/>
        <v>0.07105968606</v>
      </c>
      <c r="N69" s="28">
        <f t="shared" si="24"/>
        <v>0.004372303964</v>
      </c>
      <c r="O69" s="28">
        <f t="shared" si="25"/>
        <v>0.003602468541</v>
      </c>
      <c r="P69" s="28">
        <f t="shared" si="26"/>
        <v>0.02717732345</v>
      </c>
      <c r="R69" s="26">
        <f t="shared" si="27"/>
        <v>1</v>
      </c>
      <c r="S69" s="30">
        <f t="shared" si="8"/>
        <v>1.3880029</v>
      </c>
      <c r="T69" s="30">
        <f t="shared" ref="T69:U69" si="157">((F68+F69)/2)*T$25*($C69-$C68)</f>
        <v>0.3963939221</v>
      </c>
      <c r="U69" s="30">
        <f t="shared" si="157"/>
        <v>0.1262834298</v>
      </c>
      <c r="V69" s="30">
        <f t="shared" si="29"/>
        <v>0.5699760778</v>
      </c>
      <c r="W69" s="30">
        <f t="shared" ref="W69:X69" si="158">((I68+I69)/2)*W$25*($C69-$C68)</f>
        <v>2.76187702</v>
      </c>
      <c r="X69" s="30">
        <f t="shared" si="158"/>
        <v>6.21545096</v>
      </c>
      <c r="Y69" s="30">
        <f t="shared" si="31"/>
        <v>6.31696412</v>
      </c>
      <c r="Z69" s="30">
        <f>(L69-OFFSET(L69,-IF(C69-C68&gt;i_Cos_Days,1,MIN(B69,i_Cos_Days)),0))*MIN(i_Cos_Days,($C69-$C68))</f>
        <v>0</v>
      </c>
      <c r="AA69" s="30">
        <f t="shared" si="32"/>
        <v>30.41836244</v>
      </c>
      <c r="AB69" s="30">
        <f t="shared" si="33"/>
        <v>5.687592126</v>
      </c>
      <c r="AC69" s="30">
        <f t="shared" si="34"/>
        <v>0.6938123639</v>
      </c>
      <c r="AD69" s="30">
        <f t="shared" si="35"/>
        <v>0</v>
      </c>
      <c r="AE69" s="6"/>
      <c r="AF69" s="30">
        <f t="shared" si="11"/>
        <v>0.9218899976</v>
      </c>
      <c r="AG69" s="30" t="str">
        <f>MIN(1,SUM(OFFSET(E69,0,0,-i_Eve_ECG,1)))</f>
        <v>#VALUE!</v>
      </c>
      <c r="AH69" s="30" t="str">
        <f t="shared" si="12"/>
        <v>#VALUE!</v>
      </c>
      <c r="AI69" s="30" t="str">
        <f t="shared" si="13"/>
        <v>#VALUE!</v>
      </c>
      <c r="AJ69" s="30" t="str">
        <f>(AH69*(i_Adv_Fals/i_Adv_Alar))*AJ$25</f>
        <v>#VALUE!</v>
      </c>
      <c r="AK69" s="30" t="str">
        <f>(AH69*(i_Adv_Lead/i_Adv_Alar))*AK$25</f>
        <v>#VALUE!</v>
      </c>
      <c r="AL69" s="30">
        <f>((SUM(F68:J68)-((I68+J68)*(1-i_Bac_ICU)))+(SUM(F69:J69)-((I69+J69)*(1-i_Bac_ICU))))/2*(C69-C68)</f>
        <v>0.001116792674</v>
      </c>
      <c r="AM69" s="30">
        <f>(((I68+J68)*(1-i_Bac_ICU))+((I69+J69)*(1-i_Bac_ICU))+K68+E68+E69+K69)/2*(C69-C68)</f>
        <v>0.006103820225</v>
      </c>
      <c r="AN69" s="6"/>
      <c r="AO69" s="6"/>
      <c r="AP69" s="6"/>
      <c r="AQ69" s="6"/>
      <c r="AR69" s="6"/>
      <c r="AS69" s="6"/>
      <c r="AT69" s="6"/>
      <c r="AU69" s="6"/>
    </row>
    <row r="70" ht="14.25" customHeight="1">
      <c r="B70" s="26">
        <f t="shared" ref="B70:C70" si="159">B69+1</f>
        <v>44</v>
      </c>
      <c r="C70" s="26">
        <f t="shared" si="159"/>
        <v>44</v>
      </c>
      <c r="D70" s="26">
        <f t="shared" si="7"/>
        <v>0.1</v>
      </c>
      <c r="E70" s="28">
        <f t="shared" si="15"/>
        <v>0.0001354683184</v>
      </c>
      <c r="F70" s="28">
        <f t="shared" si="16"/>
        <v>0.0001204029201</v>
      </c>
      <c r="G70" s="28">
        <f t="shared" si="17"/>
        <v>0.00003835733714</v>
      </c>
      <c r="H70" s="28">
        <f t="shared" si="18"/>
        <v>0.0002193304827</v>
      </c>
      <c r="I70" s="28">
        <f t="shared" si="19"/>
        <v>0.001133567633</v>
      </c>
      <c r="J70" s="28">
        <f t="shared" si="20"/>
        <v>0.002653760206</v>
      </c>
      <c r="K70" s="28">
        <f t="shared" si="21"/>
        <v>0.002438747041</v>
      </c>
      <c r="L70" s="28">
        <f t="shared" si="22"/>
        <v>0.8893646891</v>
      </c>
      <c r="M70" s="28">
        <f t="shared" si="23"/>
        <v>0.06856895205</v>
      </c>
      <c r="N70" s="28">
        <f t="shared" si="24"/>
        <v>0.004430985374</v>
      </c>
      <c r="O70" s="28">
        <f t="shared" si="25"/>
        <v>0.003630826591</v>
      </c>
      <c r="P70" s="28">
        <f t="shared" si="26"/>
        <v>0.0272649129</v>
      </c>
      <c r="R70" s="26">
        <f t="shared" si="27"/>
        <v>1</v>
      </c>
      <c r="S70" s="30">
        <f t="shared" si="8"/>
        <v>1.387744227</v>
      </c>
      <c r="T70" s="30">
        <f t="shared" ref="T70:U70" si="160">((F69+F70)/2)*T$25*($C70-$C69)</f>
        <v>0.3963165857</v>
      </c>
      <c r="U70" s="30">
        <f t="shared" si="160"/>
        <v>0.1262572207</v>
      </c>
      <c r="V70" s="30">
        <f t="shared" si="29"/>
        <v>0.5606636442</v>
      </c>
      <c r="W70" s="30">
        <f t="shared" ref="W70:X70" si="161">((I69+I70)/2)*W$25*($C70-$C69)</f>
        <v>2.606010514</v>
      </c>
      <c r="X70" s="30">
        <f t="shared" si="161"/>
        <v>6.01994107</v>
      </c>
      <c r="Y70" s="30">
        <f t="shared" si="31"/>
        <v>5.929200948</v>
      </c>
      <c r="Z70" s="30">
        <f>(L70-OFFSET(L70,-IF(C70-C69&gt;i_Cos_Days,1,MIN(B70,i_Cos_Days)),0))*MIN(i_Cos_Days,($C70-$C69))</f>
        <v>0</v>
      </c>
      <c r="AA70" s="30">
        <f t="shared" si="32"/>
        <v>29.35203416</v>
      </c>
      <c r="AB70" s="30">
        <f t="shared" si="33"/>
        <v>5.688546831</v>
      </c>
      <c r="AC70" s="30">
        <f t="shared" si="34"/>
        <v>0.6939288255</v>
      </c>
      <c r="AD70" s="30">
        <f t="shared" si="35"/>
        <v>0</v>
      </c>
      <c r="AE70" s="6"/>
      <c r="AF70" s="30">
        <f t="shared" si="11"/>
        <v>0.924691414</v>
      </c>
      <c r="AG70" s="30" t="str">
        <f>MIN(1,SUM(OFFSET(E70,0,0,-i_Eve_ECG,1)))</f>
        <v>#VALUE!</v>
      </c>
      <c r="AH70" s="30" t="str">
        <f t="shared" si="12"/>
        <v>#VALUE!</v>
      </c>
      <c r="AI70" s="30" t="str">
        <f t="shared" si="13"/>
        <v>#VALUE!</v>
      </c>
      <c r="AJ70" s="30" t="str">
        <f>(AH70*(i_Adv_Fals/i_Adv_Alar))*AJ$25</f>
        <v>#VALUE!</v>
      </c>
      <c r="AK70" s="30" t="str">
        <f>(AH70*(i_Adv_Lead/i_Adv_Alar))*AK$25</f>
        <v>#VALUE!</v>
      </c>
      <c r="AL70" s="30">
        <f>((SUM(F69:J69)-((I69+J69)*(1-i_Bac_ICU)))+(SUM(F70:J70)-((I70+J70)*(1-i_Bac_ICU))))/2*(C70-C69)</f>
        <v>0.001084391098</v>
      </c>
      <c r="AM70" s="30">
        <f>(((I69+J69)*(1-i_Bac_ICU))+((I70+J70)*(1-i_Bac_ICU))+K69+E69+E70+K70)/2*(C70-C69)</f>
        <v>0.005810584024</v>
      </c>
      <c r="AN70" s="6"/>
      <c r="AO70" s="6"/>
      <c r="AP70" s="6"/>
      <c r="AQ70" s="6"/>
      <c r="AR70" s="6"/>
      <c r="AS70" s="6"/>
      <c r="AT70" s="6"/>
      <c r="AU70" s="6"/>
    </row>
    <row r="71" ht="14.25" customHeight="1">
      <c r="B71" s="26">
        <f t="shared" ref="B71:C71" si="162">B70+1</f>
        <v>45</v>
      </c>
      <c r="C71" s="26">
        <f t="shared" si="162"/>
        <v>45</v>
      </c>
      <c r="D71" s="26">
        <f t="shared" si="7"/>
        <v>0.1</v>
      </c>
      <c r="E71" s="28">
        <f t="shared" si="15"/>
        <v>0.0001354437999</v>
      </c>
      <c r="F71" s="28">
        <f t="shared" si="16"/>
        <v>0.0001203804777</v>
      </c>
      <c r="G71" s="28">
        <f t="shared" si="17"/>
        <v>0.00003834977916</v>
      </c>
      <c r="H71" s="28">
        <f t="shared" si="18"/>
        <v>0.0002159089455</v>
      </c>
      <c r="I71" s="28">
        <f t="shared" si="19"/>
        <v>0.001069607038</v>
      </c>
      <c r="J71" s="28">
        <f t="shared" si="20"/>
        <v>0.002570174796</v>
      </c>
      <c r="K71" s="28">
        <f t="shared" si="21"/>
        <v>0.002305124065</v>
      </c>
      <c r="L71" s="28">
        <f t="shared" si="22"/>
        <v>0.8918817971</v>
      </c>
      <c r="M71" s="28">
        <f t="shared" si="23"/>
        <v>0.06616679106</v>
      </c>
      <c r="N71" s="28">
        <f t="shared" si="24"/>
        <v>0.004487251633</v>
      </c>
      <c r="O71" s="28">
        <f t="shared" si="25"/>
        <v>0.003657330924</v>
      </c>
      <c r="P71" s="28">
        <f t="shared" si="26"/>
        <v>0.02735184034</v>
      </c>
      <c r="R71" s="26">
        <f t="shared" si="27"/>
        <v>1</v>
      </c>
      <c r="S71" s="30">
        <f t="shared" si="8"/>
        <v>1.387493058</v>
      </c>
      <c r="T71" s="30">
        <f t="shared" ref="T71:U71" si="163">((F70+F71)/2)*T$25*($C71-$C70)</f>
        <v>0.3962415868</v>
      </c>
      <c r="U71" s="30">
        <f t="shared" si="163"/>
        <v>0.1262319153</v>
      </c>
      <c r="V71" s="30">
        <f t="shared" si="29"/>
        <v>0.5517791374</v>
      </c>
      <c r="W71" s="30">
        <f t="shared" ref="W71:X71" si="164">((I70+I71)/2)*W$25*($C71-$C70)</f>
        <v>2.458952795</v>
      </c>
      <c r="X71" s="30">
        <f t="shared" si="164"/>
        <v>5.830409067</v>
      </c>
      <c r="Y71" s="30">
        <f t="shared" si="31"/>
        <v>5.591363679</v>
      </c>
      <c r="Z71" s="30">
        <f>(L71-OFFSET(L71,-IF(C71-C70&gt;i_Cos_Days,1,MIN(B71,i_Cos_Days)),0))*MIN(i_Cos_Days,($C71-$C70))</f>
        <v>0</v>
      </c>
      <c r="AA71" s="30">
        <f t="shared" si="32"/>
        <v>28.32347424</v>
      </c>
      <c r="AB71" s="30">
        <f t="shared" si="33"/>
        <v>5.689354879</v>
      </c>
      <c r="AC71" s="30">
        <f t="shared" si="34"/>
        <v>0.6940273969</v>
      </c>
      <c r="AD71" s="30">
        <f t="shared" si="35"/>
        <v>0</v>
      </c>
      <c r="AE71" s="6"/>
      <c r="AF71" s="30">
        <f t="shared" si="11"/>
        <v>0.92737822</v>
      </c>
      <c r="AG71" s="30" t="str">
        <f>MIN(1,SUM(OFFSET(E71,0,0,-i_Eve_ECG,1)))</f>
        <v>#VALUE!</v>
      </c>
      <c r="AH71" s="30" t="str">
        <f t="shared" si="12"/>
        <v>#VALUE!</v>
      </c>
      <c r="AI71" s="30" t="str">
        <f t="shared" si="13"/>
        <v>#VALUE!</v>
      </c>
      <c r="AJ71" s="30" t="str">
        <f>(AH71*(i_Adv_Fals/i_Adv_Alar))*AJ$25</f>
        <v>#VALUE!</v>
      </c>
      <c r="AK71" s="30" t="str">
        <f>(AH71*(i_Adv_Lead/i_Adv_Alar))*AK$25</f>
        <v>#VALUE!</v>
      </c>
      <c r="AL71" s="30">
        <f>((SUM(F70:J70)-((I70+J70)*(1-i_Bac_ICU)))+(SUM(F71:J71)-((I71+J71)*(1-i_Bac_ICU))))/2*(C71-C70)</f>
        <v>0.001053366925</v>
      </c>
      <c r="AM71" s="30">
        <f>(((I70+J70)*(1-i_Bac_ICU))+((I71+J71)*(1-i_Bac_ICU))+K70+E70+E71+K71)/2*(C71-C70)</f>
        <v>0.005543944495</v>
      </c>
      <c r="AN71" s="6"/>
      <c r="AO71" s="6"/>
      <c r="AP71" s="6"/>
      <c r="AQ71" s="6"/>
      <c r="AR71" s="6"/>
      <c r="AS71" s="6"/>
      <c r="AT71" s="6"/>
      <c r="AU71" s="6"/>
    </row>
    <row r="72" ht="14.25" customHeight="1">
      <c r="B72" s="26">
        <f t="shared" ref="B72:C72" si="165">B71+1</f>
        <v>46</v>
      </c>
      <c r="C72" s="26">
        <f t="shared" si="165"/>
        <v>46</v>
      </c>
      <c r="D72" s="26">
        <f t="shared" si="7"/>
        <v>0.1</v>
      </c>
      <c r="E72" s="28">
        <f t="shared" si="15"/>
        <v>0.0001354199737</v>
      </c>
      <c r="F72" s="28">
        <f t="shared" si="16"/>
        <v>0.0001203586864</v>
      </c>
      <c r="G72" s="28">
        <f t="shared" si="17"/>
        <v>0.00003834246153</v>
      </c>
      <c r="H72" s="28">
        <f t="shared" si="18"/>
        <v>0.0002126449465</v>
      </c>
      <c r="I72" s="28">
        <f t="shared" si="19"/>
        <v>0.001009281441</v>
      </c>
      <c r="J72" s="28">
        <f t="shared" si="20"/>
        <v>0.002489170221</v>
      </c>
      <c r="K72" s="28">
        <f t="shared" si="21"/>
        <v>0.002187893324</v>
      </c>
      <c r="L72" s="28">
        <f t="shared" si="22"/>
        <v>0.894294801</v>
      </c>
      <c r="M72" s="28">
        <f t="shared" si="23"/>
        <v>0.06385062971</v>
      </c>
      <c r="N72" s="28">
        <f t="shared" si="24"/>
        <v>0.004541198236</v>
      </c>
      <c r="O72" s="28">
        <f t="shared" si="25"/>
        <v>0.003682099288</v>
      </c>
      <c r="P72" s="28">
        <f t="shared" si="26"/>
        <v>0.02743816075</v>
      </c>
      <c r="R72" s="26">
        <f t="shared" si="27"/>
        <v>1</v>
      </c>
      <c r="S72" s="30">
        <f t="shared" si="8"/>
        <v>1.387248982</v>
      </c>
      <c r="T72" s="30">
        <f t="shared" ref="T72:U72" si="166">((F71+F72)/2)*T$25*($C72-$C71)</f>
        <v>0.3961687943</v>
      </c>
      <c r="U72" s="30">
        <f t="shared" si="166"/>
        <v>0.1262074355</v>
      </c>
      <c r="V72" s="30">
        <f t="shared" si="29"/>
        <v>0.543303482</v>
      </c>
      <c r="W72" s="30">
        <f t="shared" ref="W72:X72" si="167">((I71+I72)/2)*W$25*($C72-$C71)</f>
        <v>2.320237566</v>
      </c>
      <c r="X72" s="30">
        <f t="shared" si="167"/>
        <v>5.646710965</v>
      </c>
      <c r="Y72" s="30">
        <f t="shared" si="31"/>
        <v>5.295694945</v>
      </c>
      <c r="Z72" s="30">
        <f>(L72-OFFSET(L72,-IF(C72-C71&gt;i_Cos_Days,1,MIN(B72,i_Cos_Days)),0))*MIN(i_Cos_Days,($C72-$C71))</f>
        <v>0</v>
      </c>
      <c r="AA72" s="30">
        <f t="shared" si="32"/>
        <v>27.33161211</v>
      </c>
      <c r="AB72" s="30">
        <f t="shared" si="33"/>
        <v>5.690037571</v>
      </c>
      <c r="AC72" s="30">
        <f t="shared" si="34"/>
        <v>0.6941106765</v>
      </c>
      <c r="AD72" s="30">
        <f t="shared" si="35"/>
        <v>0</v>
      </c>
      <c r="AE72" s="6"/>
      <c r="AF72" s="30">
        <f t="shared" si="11"/>
        <v>0.9299562592</v>
      </c>
      <c r="AG72" s="30" t="str">
        <f>MIN(1,SUM(OFFSET(E72,0,0,-i_Eve_ECG,1)))</f>
        <v>#VALUE!</v>
      </c>
      <c r="AH72" s="30" t="str">
        <f t="shared" si="12"/>
        <v>#VALUE!</v>
      </c>
      <c r="AI72" s="30" t="str">
        <f t="shared" si="13"/>
        <v>#VALUE!</v>
      </c>
      <c r="AJ72" s="30" t="str">
        <f>(AH72*(i_Adv_Fals/i_Adv_Alar))*AJ$25</f>
        <v>#VALUE!</v>
      </c>
      <c r="AK72" s="30" t="str">
        <f>(AH72*(i_Adv_Lead/i_Adv_Alar))*AK$25</f>
        <v>#VALUE!</v>
      </c>
      <c r="AL72" s="30">
        <f>((SUM(F71:J71)-((I71+J71)*(1-i_Bac_ICU)))+(SUM(F72:J72)-((I72+J72)*(1-i_Bac_ICU))))/2*(C72-C71)</f>
        <v>0.001023662726</v>
      </c>
      <c r="AM72" s="30">
        <f>(((I71+J71)*(1-i_Bac_ICU))+((I72+J72)*(1-i_Bac_ICU))+K71+E71+E72+K72)/2*(C72-C71)</f>
        <v>0.005300387252</v>
      </c>
      <c r="AN72" s="6"/>
      <c r="AO72" s="6"/>
      <c r="AP72" s="6"/>
      <c r="AQ72" s="6"/>
      <c r="AR72" s="6"/>
      <c r="AS72" s="6"/>
      <c r="AT72" s="6"/>
      <c r="AU72" s="6"/>
    </row>
    <row r="73" ht="14.25" customHeight="1">
      <c r="B73" s="26">
        <f t="shared" ref="B73:C73" si="168">B72+1</f>
        <v>47</v>
      </c>
      <c r="C73" s="26">
        <f t="shared" si="168"/>
        <v>47</v>
      </c>
      <c r="D73" s="26">
        <f t="shared" si="7"/>
        <v>0.1</v>
      </c>
      <c r="E73" s="28">
        <f t="shared" si="15"/>
        <v>0.0001353968022</v>
      </c>
      <c r="F73" s="28">
        <f t="shared" si="16"/>
        <v>0.0001203375106</v>
      </c>
      <c r="G73" s="28">
        <f t="shared" si="17"/>
        <v>0.000038335367</v>
      </c>
      <c r="H73" s="28">
        <f t="shared" si="18"/>
        <v>0.0002095312885</v>
      </c>
      <c r="I73" s="28">
        <f t="shared" si="19"/>
        <v>0.0009523947072</v>
      </c>
      <c r="J73" s="28">
        <f t="shared" si="20"/>
        <v>0.002410680002</v>
      </c>
      <c r="K73" s="28">
        <f t="shared" si="21"/>
        <v>0.00208455773</v>
      </c>
      <c r="L73" s="28">
        <f t="shared" si="22"/>
        <v>0.8966088168</v>
      </c>
      <c r="M73" s="28">
        <f t="shared" si="23"/>
        <v>0.06161786776</v>
      </c>
      <c r="N73" s="28">
        <f t="shared" si="24"/>
        <v>0.004592917448</v>
      </c>
      <c r="O73" s="28">
        <f t="shared" si="25"/>
        <v>0.003705242418</v>
      </c>
      <c r="P73" s="28">
        <f t="shared" si="26"/>
        <v>0.02752392221</v>
      </c>
      <c r="R73" s="26">
        <f t="shared" si="27"/>
        <v>1</v>
      </c>
      <c r="S73" s="30">
        <f t="shared" si="8"/>
        <v>1.387011612</v>
      </c>
      <c r="T73" s="30">
        <f t="shared" ref="T73:U73" si="169">((F72+F73)/2)*T$25*($C73-$C72)</f>
        <v>0.3960980862</v>
      </c>
      <c r="U73" s="30">
        <f t="shared" si="169"/>
        <v>0.1261837184</v>
      </c>
      <c r="V73" s="30">
        <f t="shared" si="29"/>
        <v>0.5352181436</v>
      </c>
      <c r="W73" s="30">
        <f t="shared" ref="W73:X73" si="170">((I72+I73)/2)*W$25*($C73-$C72)</f>
        <v>2.18941744</v>
      </c>
      <c r="X73" s="30">
        <f t="shared" si="170"/>
        <v>5.468699582</v>
      </c>
      <c r="Y73" s="30">
        <f t="shared" si="31"/>
        <v>5.035724434</v>
      </c>
      <c r="Z73" s="30">
        <f>(L73-OFFSET(L73,-IF(C73-C72&gt;i_Cos_Days,1,MIN(B73,i_Cos_Days)),0))*MIN(i_Cos_Days,($C73-$C72))</f>
        <v>0</v>
      </c>
      <c r="AA73" s="30">
        <f t="shared" si="32"/>
        <v>26.37536019</v>
      </c>
      <c r="AB73" s="30">
        <f t="shared" si="33"/>
        <v>5.690612738</v>
      </c>
      <c r="AC73" s="30">
        <f t="shared" si="34"/>
        <v>0.6941808393</v>
      </c>
      <c r="AD73" s="30">
        <f t="shared" si="35"/>
        <v>0</v>
      </c>
      <c r="AE73" s="6"/>
      <c r="AF73" s="30">
        <f t="shared" si="11"/>
        <v>0.9324308988</v>
      </c>
      <c r="AG73" s="30" t="str">
        <f>MIN(1,SUM(OFFSET(E73,0,0,-i_Eve_ECG,1)))</f>
        <v>#VALUE!</v>
      </c>
      <c r="AH73" s="30" t="str">
        <f t="shared" si="12"/>
        <v>#VALUE!</v>
      </c>
      <c r="AI73" s="30" t="str">
        <f t="shared" si="13"/>
        <v>#VALUE!</v>
      </c>
      <c r="AJ73" s="30" t="str">
        <f>(AH73*(i_Adv_Fals/i_Adv_Alar))*AJ$25</f>
        <v>#VALUE!</v>
      </c>
      <c r="AK73" s="30" t="str">
        <f>(AH73*(i_Adv_Lead/i_Adv_Alar))*AK$25</f>
        <v>#VALUE!</v>
      </c>
      <c r="AL73" s="30">
        <f>((SUM(F72:J72)-((I72+J72)*(1-i_Bac_ICU)))+(SUM(F73:J73)-((I73+J73)*(1-i_Bac_ICU))))/2*(C73-C72)</f>
        <v>0.0009952225743</v>
      </c>
      <c r="AM73" s="30">
        <f>(((I72+J72)*(1-i_Bac_ICU))+((I73+J73)*(1-i_Bac_ICU))+K72+E72+E73+K73)/2*(C73-C72)</f>
        <v>0.005076949656</v>
      </c>
      <c r="AN73" s="6"/>
      <c r="AO73" s="6"/>
      <c r="AP73" s="6"/>
      <c r="AQ73" s="6"/>
      <c r="AR73" s="6"/>
      <c r="AS73" s="6"/>
      <c r="AT73" s="6"/>
      <c r="AU73" s="6"/>
    </row>
    <row r="74" ht="14.25" customHeight="1">
      <c r="B74" s="26">
        <f t="shared" ref="B74:C74" si="171">B73+1</f>
        <v>48</v>
      </c>
      <c r="C74" s="26">
        <f t="shared" si="171"/>
        <v>48</v>
      </c>
      <c r="D74" s="26">
        <f t="shared" si="7"/>
        <v>0.1</v>
      </c>
      <c r="E74" s="28">
        <f t="shared" si="15"/>
        <v>0.0001353742501</v>
      </c>
      <c r="F74" s="28">
        <f t="shared" si="16"/>
        <v>0.0001203169167</v>
      </c>
      <c r="G74" s="28">
        <f t="shared" si="17"/>
        <v>0.0000383284809</v>
      </c>
      <c r="H74" s="28">
        <f t="shared" si="18"/>
        <v>0.0002065610161</v>
      </c>
      <c r="I74" s="28">
        <f t="shared" si="19"/>
        <v>0.0008987593621</v>
      </c>
      <c r="J74" s="28">
        <f t="shared" si="20"/>
        <v>0.002334637147</v>
      </c>
      <c r="K74" s="28">
        <f t="shared" si="21"/>
        <v>0.001993031742</v>
      </c>
      <c r="L74" s="28">
        <f t="shared" si="22"/>
        <v>0.8988285615</v>
      </c>
      <c r="M74" s="28">
        <f t="shared" si="23"/>
        <v>0.05946589992</v>
      </c>
      <c r="N74" s="28">
        <f t="shared" si="24"/>
        <v>0.004642498319</v>
      </c>
      <c r="O74" s="28">
        <f t="shared" si="25"/>
        <v>0.003726864366</v>
      </c>
      <c r="P74" s="28">
        <f t="shared" si="26"/>
        <v>0.02760916695</v>
      </c>
      <c r="R74" s="26">
        <f t="shared" si="27"/>
        <v>1</v>
      </c>
      <c r="S74" s="30">
        <f t="shared" si="8"/>
        <v>1.386780587</v>
      </c>
      <c r="T74" s="30">
        <f t="shared" ref="T74:U74" si="172">((F73+F74)/2)*T$25*($C74-$C73)</f>
        <v>0.3960293484</v>
      </c>
      <c r="U74" s="30">
        <f t="shared" si="172"/>
        <v>0.1261607113</v>
      </c>
      <c r="V74" s="30">
        <f t="shared" si="29"/>
        <v>0.52750518</v>
      </c>
      <c r="W74" s="30">
        <f t="shared" ref="W74:X74" si="173">((I73+I74)/2)*W$25*($C74-$C73)</f>
        <v>2.066064272</v>
      </c>
      <c r="X74" s="30">
        <f t="shared" si="173"/>
        <v>5.296225953</v>
      </c>
      <c r="Y74" s="30">
        <f t="shared" si="31"/>
        <v>4.806050831</v>
      </c>
      <c r="Z74" s="30">
        <f>(L74-OFFSET(L74,-IF(C74-C73&gt;i_Cos_Days,1,MIN(B74,i_Cos_Days)),0))*MIN(i_Cos_Days,($C74-$C73))</f>
        <v>0</v>
      </c>
      <c r="AA74" s="30">
        <f t="shared" si="32"/>
        <v>25.45362422</v>
      </c>
      <c r="AB74" s="30">
        <f t="shared" si="33"/>
        <v>5.69109532</v>
      </c>
      <c r="AC74" s="30">
        <f t="shared" si="34"/>
        <v>0.6942397081</v>
      </c>
      <c r="AD74" s="30">
        <f t="shared" si="35"/>
        <v>0</v>
      </c>
      <c r="AE74" s="6"/>
      <c r="AF74" s="30">
        <f t="shared" si="11"/>
        <v>0.9348070912</v>
      </c>
      <c r="AG74" s="30" t="str">
        <f>MIN(1,SUM(OFFSET(E74,0,0,-i_Eve_ECG,1)))</f>
        <v>#VALUE!</v>
      </c>
      <c r="AH74" s="30" t="str">
        <f t="shared" si="12"/>
        <v>#VALUE!</v>
      </c>
      <c r="AI74" s="30" t="str">
        <f t="shared" si="13"/>
        <v>#VALUE!</v>
      </c>
      <c r="AJ74" s="30" t="str">
        <f>(AH74*(i_Adv_Fals/i_Adv_Alar))*AJ$25</f>
        <v>#VALUE!</v>
      </c>
      <c r="AK74" s="30" t="str">
        <f>(AH74*(i_Adv_Lead/i_Adv_Alar))*AK$25</f>
        <v>#VALUE!</v>
      </c>
      <c r="AL74" s="30">
        <f>((SUM(F73:J73)-((I73+J73)*(1-i_Bac_ICU)))+(SUM(F74:J74)-((I74+J74)*(1-i_Bac_ICU))))/2*(C74-C73)</f>
        <v>0.0009679922107</v>
      </c>
      <c r="AM74" s="30">
        <f>(((I73+J73)*(1-i_Bac_ICU))+((I74+J74)*(1-i_Bac_ICU))+K73+E73+E74+K74)/2*(C74-C73)</f>
        <v>0.004871128951</v>
      </c>
      <c r="AN74" s="6"/>
      <c r="AO74" s="6"/>
      <c r="AP74" s="6"/>
      <c r="AQ74" s="6"/>
      <c r="AR74" s="6"/>
      <c r="AS74" s="6"/>
      <c r="AT74" s="6"/>
      <c r="AU74" s="6"/>
    </row>
    <row r="75" ht="14.25" customHeight="1">
      <c r="B75" s="26">
        <f t="shared" ref="B75:C75" si="174">B74+1</f>
        <v>49</v>
      </c>
      <c r="C75" s="26">
        <f t="shared" si="174"/>
        <v>49</v>
      </c>
      <c r="D75" s="26">
        <f t="shared" si="7"/>
        <v>0.1</v>
      </c>
      <c r="E75" s="28">
        <f t="shared" si="15"/>
        <v>0.0001353522844</v>
      </c>
      <c r="F75" s="28">
        <f t="shared" si="16"/>
        <v>0.0001202968734</v>
      </c>
      <c r="G75" s="28">
        <f t="shared" si="17"/>
        <v>0.00003832179036</v>
      </c>
      <c r="H75" s="28">
        <f t="shared" si="18"/>
        <v>0.0002037274271</v>
      </c>
      <c r="I75" s="28">
        <f t="shared" si="19"/>
        <v>0.0008481965698</v>
      </c>
      <c r="J75" s="28">
        <f t="shared" si="20"/>
        <v>0.002260974605</v>
      </c>
      <c r="K75" s="28">
        <f t="shared" si="21"/>
        <v>0.001911571789</v>
      </c>
      <c r="L75" s="28">
        <f t="shared" si="22"/>
        <v>0.9009584036</v>
      </c>
      <c r="M75" s="28">
        <f t="shared" si="23"/>
        <v>0.0573921333</v>
      </c>
      <c r="N75" s="28">
        <f t="shared" si="24"/>
        <v>0.004690026709</v>
      </c>
      <c r="O75" s="28">
        <f t="shared" si="25"/>
        <v>0.003747062837</v>
      </c>
      <c r="P75" s="28">
        <f t="shared" si="26"/>
        <v>0.02769393225</v>
      </c>
      <c r="R75" s="26">
        <f t="shared" si="27"/>
        <v>1</v>
      </c>
      <c r="S75" s="30">
        <f t="shared" si="8"/>
        <v>1.386555569</v>
      </c>
      <c r="T75" s="30">
        <f t="shared" ref="T75:U75" si="175">((F74+F75)/2)*T$25*($C75-$C74)</f>
        <v>0.3959624744</v>
      </c>
      <c r="U75" s="30">
        <f t="shared" si="175"/>
        <v>0.1261383691</v>
      </c>
      <c r="V75" s="30">
        <f t="shared" si="29"/>
        <v>0.5201472768</v>
      </c>
      <c r="W75" s="30">
        <f t="shared" ref="W75:X75" si="176">((I74+I75)/2)*W$25*($C75-$C74)</f>
        <v>1.949769226</v>
      </c>
      <c r="X75" s="30">
        <f t="shared" si="176"/>
        <v>5.129140469</v>
      </c>
      <c r="Y75" s="30">
        <f t="shared" si="31"/>
        <v>4.602160952</v>
      </c>
      <c r="Z75" s="30">
        <f>(L75-OFFSET(L75,-IF(C75-C74&gt;i_Cos_Days,1,MIN(B75,i_Cos_Days)),0))*MIN(i_Cos_Days,($C75-$C74))</f>
        <v>0</v>
      </c>
      <c r="AA75" s="30">
        <f t="shared" si="32"/>
        <v>24.56531145</v>
      </c>
      <c r="AB75" s="30">
        <f t="shared" si="33"/>
        <v>5.691497861</v>
      </c>
      <c r="AC75" s="30">
        <f t="shared" si="34"/>
        <v>0.6942888128</v>
      </c>
      <c r="AD75" s="30">
        <f t="shared" si="35"/>
        <v>0</v>
      </c>
      <c r="AE75" s="6"/>
      <c r="AF75" s="30">
        <f t="shared" si="11"/>
        <v>0.9370894254</v>
      </c>
      <c r="AG75" s="30" t="str">
        <f>MIN(1,SUM(OFFSET(E75,0,0,-i_Eve_ECG,1)))</f>
        <v>#VALUE!</v>
      </c>
      <c r="AH75" s="30" t="str">
        <f t="shared" si="12"/>
        <v>#VALUE!</v>
      </c>
      <c r="AI75" s="30" t="str">
        <f t="shared" si="13"/>
        <v>#VALUE!</v>
      </c>
      <c r="AJ75" s="30" t="str">
        <f>(AH75*(i_Adv_Fals/i_Adv_Alar))*AJ$25</f>
        <v>#VALUE!</v>
      </c>
      <c r="AK75" s="30" t="str">
        <f>(AH75*(i_Adv_Lead/i_Adv_Alar))*AK$25</f>
        <v>#VALUE!</v>
      </c>
      <c r="AL75" s="30">
        <f>((SUM(F74:J74)-((I74+J74)*(1-i_Bac_ICU)))+(SUM(F75:J75)-((I75+J75)*(1-i_Bac_ICU))))/2*(C75-C74)</f>
        <v>0.0009419191511</v>
      </c>
      <c r="AM75" s="30">
        <f>(((I74+J74)*(1-i_Bac_ICU))+((I75+J75)*(1-i_Bac_ICU))+K74+E74+E75+K75)/2*(C75-C74)</f>
        <v>0.004680805976</v>
      </c>
      <c r="AN75" s="6"/>
      <c r="AO75" s="6"/>
      <c r="AP75" s="6"/>
      <c r="AQ75" s="6"/>
      <c r="AR75" s="6"/>
      <c r="AS75" s="6"/>
      <c r="AT75" s="6"/>
      <c r="AU75" s="6"/>
    </row>
    <row r="76" ht="14.25" customHeight="1">
      <c r="B76" s="26">
        <f t="shared" ref="B76:C76" si="177">B75+1</f>
        <v>50</v>
      </c>
      <c r="C76" s="26">
        <f t="shared" si="177"/>
        <v>50</v>
      </c>
      <c r="D76" s="26">
        <f t="shared" si="7"/>
        <v>0.1</v>
      </c>
      <c r="E76" s="28">
        <f t="shared" si="15"/>
        <v>0.000135330874</v>
      </c>
      <c r="F76" s="28">
        <f t="shared" si="16"/>
        <v>0.0001202773512</v>
      </c>
      <c r="G76" s="28">
        <f t="shared" si="17"/>
        <v>0.00003831528387</v>
      </c>
      <c r="H76" s="28">
        <f t="shared" si="18"/>
        <v>0.0002010240785</v>
      </c>
      <c r="I76" s="28">
        <f t="shared" si="19"/>
        <v>0.0008005360273</v>
      </c>
      <c r="J76" s="28">
        <f t="shared" si="20"/>
        <v>0.002189625635</v>
      </c>
      <c r="K76" s="28">
        <f t="shared" si="21"/>
        <v>0.001838718552</v>
      </c>
      <c r="L76" s="28">
        <f t="shared" si="22"/>
        <v>0.9030024048</v>
      </c>
      <c r="M76" s="28">
        <f t="shared" si="23"/>
        <v>0.05539400133</v>
      </c>
      <c r="N76" s="28">
        <f t="shared" si="24"/>
        <v>0.004735585345</v>
      </c>
      <c r="O76" s="28">
        <f t="shared" si="25"/>
        <v>0.003765929514</v>
      </c>
      <c r="P76" s="28">
        <f t="shared" si="26"/>
        <v>0.02777825119</v>
      </c>
      <c r="R76" s="26">
        <f t="shared" si="27"/>
        <v>1</v>
      </c>
      <c r="S76" s="30">
        <f t="shared" si="8"/>
        <v>1.38633624</v>
      </c>
      <c r="T76" s="30">
        <f t="shared" ref="T76:U76" si="178">((F75+F76)/2)*T$25*($C76-$C75)</f>
        <v>0.3958973641</v>
      </c>
      <c r="U76" s="30">
        <f t="shared" si="178"/>
        <v>0.1261166517</v>
      </c>
      <c r="V76" s="30">
        <f t="shared" si="29"/>
        <v>0.5131277688</v>
      </c>
      <c r="W76" s="30">
        <f t="shared" ref="W76:X76" si="179">((I75+I76)/2)*W$25*($C76-$C75)</f>
        <v>1.840142628</v>
      </c>
      <c r="X76" s="30">
        <f t="shared" si="179"/>
        <v>4.967293808</v>
      </c>
      <c r="Y76" s="30">
        <f t="shared" si="31"/>
        <v>4.42027971</v>
      </c>
      <c r="Z76" s="30">
        <f>(L76-OFFSET(L76,-IF(C76-C75&gt;i_Cos_Days,1,MIN(B76,i_Cos_Days)),0))*MIN(i_Cos_Days,($C76-$C75))</f>
        <v>0</v>
      </c>
      <c r="AA76" s="30">
        <f t="shared" si="32"/>
        <v>23.70933729</v>
      </c>
      <c r="AB76" s="30">
        <f t="shared" si="33"/>
        <v>5.691830903</v>
      </c>
      <c r="AC76" s="30">
        <f t="shared" si="34"/>
        <v>0.6943294397</v>
      </c>
      <c r="AD76" s="30">
        <f t="shared" si="35"/>
        <v>0</v>
      </c>
      <c r="AE76" s="6"/>
      <c r="AF76" s="30">
        <f t="shared" si="11"/>
        <v>0.9392821709</v>
      </c>
      <c r="AG76" s="30" t="str">
        <f>MIN(1,SUM(OFFSET(E76,0,0,-i_Eve_ECG,1)))</f>
        <v>#VALUE!</v>
      </c>
      <c r="AH76" s="30" t="str">
        <f t="shared" si="12"/>
        <v>#VALUE!</v>
      </c>
      <c r="AI76" s="30" t="str">
        <f t="shared" si="13"/>
        <v>#VALUE!</v>
      </c>
      <c r="AJ76" s="30" t="str">
        <f>(AH76*(i_Adv_Fals/i_Adv_Alar))*AJ$25</f>
        <v>#VALUE!</v>
      </c>
      <c r="AK76" s="30" t="str">
        <f>(AH76*(i_Adv_Lead/i_Adv_Alar))*AK$25</f>
        <v>#VALUE!</v>
      </c>
      <c r="AL76" s="30">
        <f>((SUM(F75:J75)-((I75+J75)*(1-i_Bac_ICU)))+(SUM(F76:J76)-((I76+J76)*(1-i_Bac_ICU))))/2*(C76-C75)</f>
        <v>0.00091695276</v>
      </c>
      <c r="AM76" s="30">
        <f>(((I75+J75)*(1-i_Bac_ICU))+((I76+J76)*(1-i_Bac_ICU))+K75+E75+E76+K76)/2*(C76-C75)</f>
        <v>0.00450418181</v>
      </c>
      <c r="AN76" s="6"/>
      <c r="AO76" s="6"/>
      <c r="AP76" s="6"/>
      <c r="AQ76" s="6"/>
      <c r="AR76" s="6"/>
      <c r="AS76" s="6"/>
      <c r="AT76" s="6"/>
      <c r="AU76" s="6"/>
    </row>
    <row r="77" ht="14.25" customHeight="1">
      <c r="B77" s="26">
        <f t="shared" ref="B77:C77" si="180">B76+1</f>
        <v>51</v>
      </c>
      <c r="C77" s="26">
        <f t="shared" si="180"/>
        <v>51</v>
      </c>
      <c r="D77" s="26">
        <f t="shared" si="7"/>
        <v>0.1</v>
      </c>
      <c r="E77" s="28">
        <f t="shared" si="15"/>
        <v>0.0001353099898</v>
      </c>
      <c r="F77" s="28">
        <f t="shared" si="16"/>
        <v>0.0001202583228</v>
      </c>
      <c r="G77" s="28">
        <f t="shared" si="17"/>
        <v>0.00003830895101</v>
      </c>
      <c r="H77" s="28">
        <f t="shared" si="18"/>
        <v>0.0001984447891</v>
      </c>
      <c r="I77" s="28">
        <f t="shared" si="19"/>
        <v>0.0007556157974</v>
      </c>
      <c r="J77" s="28">
        <f t="shared" si="20"/>
        <v>0.002120524103</v>
      </c>
      <c r="K77" s="28">
        <f t="shared" si="21"/>
        <v>0.001773249081</v>
      </c>
      <c r="L77" s="28">
        <f t="shared" si="22"/>
        <v>0.9049643569</v>
      </c>
      <c r="M77" s="28">
        <f t="shared" si="23"/>
        <v>0.0534689746</v>
      </c>
      <c r="N77" s="28">
        <f t="shared" si="24"/>
        <v>0.004779253876</v>
      </c>
      <c r="O77" s="28">
        <f t="shared" si="25"/>
        <v>0.003783550384</v>
      </c>
      <c r="P77" s="28">
        <f t="shared" si="26"/>
        <v>0.02786215323</v>
      </c>
      <c r="R77" s="26">
        <f t="shared" si="27"/>
        <v>1</v>
      </c>
      <c r="S77" s="30">
        <f t="shared" si="8"/>
        <v>1.386122301</v>
      </c>
      <c r="T77" s="30">
        <f t="shared" ref="T77:U77" si="181">((F76+F77)/2)*T$25*($C77-$C76)</f>
        <v>0.3958339239</v>
      </c>
      <c r="U77" s="30">
        <f t="shared" si="181"/>
        <v>0.1260955228</v>
      </c>
      <c r="V77" s="30">
        <f t="shared" si="29"/>
        <v>0.5064306517</v>
      </c>
      <c r="W77" s="30">
        <f t="shared" ref="W77:X77" si="182">((I76+I77)/2)*W$25*($C77-$C76)</f>
        <v>1.736813667</v>
      </c>
      <c r="X77" s="30">
        <f t="shared" si="182"/>
        <v>4.810537669</v>
      </c>
      <c r="Y77" s="30">
        <f t="shared" si="31"/>
        <v>4.257245651</v>
      </c>
      <c r="Z77" s="30">
        <f>(L77-OFFSET(L77,-IF(C77-C76&gt;i_Cos_Days,1,MIN(B77,i_Cos_Days)),0))*MIN(i_Cos_Days,($C77-$C76))</f>
        <v>0</v>
      </c>
      <c r="AA77" s="30">
        <f t="shared" si="32"/>
        <v>22.88463049</v>
      </c>
      <c r="AB77" s="30">
        <f t="shared" si="33"/>
        <v>5.69210333</v>
      </c>
      <c r="AC77" s="30">
        <f t="shared" si="34"/>
        <v>0.6943626722</v>
      </c>
      <c r="AD77" s="30">
        <f t="shared" si="35"/>
        <v>0</v>
      </c>
      <c r="AE77" s="6"/>
      <c r="AF77" s="30">
        <f t="shared" si="11"/>
        <v>0.9413893144</v>
      </c>
      <c r="AG77" s="30" t="str">
        <f>MIN(1,SUM(OFFSET(E77,0,0,-i_Eve_ECG,1)))</f>
        <v>#VALUE!</v>
      </c>
      <c r="AH77" s="30" t="str">
        <f t="shared" si="12"/>
        <v>#VALUE!</v>
      </c>
      <c r="AI77" s="30" t="str">
        <f t="shared" si="13"/>
        <v>#VALUE!</v>
      </c>
      <c r="AJ77" s="30" t="str">
        <f>(AH77*(i_Adv_Fals/i_Adv_Alar))*AJ$25</f>
        <v>#VALUE!</v>
      </c>
      <c r="AK77" s="30" t="str">
        <f>(AH77*(i_Adv_Lead/i_Adv_Alar))*AK$25</f>
        <v>#VALUE!</v>
      </c>
      <c r="AL77" s="30">
        <f>((SUM(F76:J76)-((I76+J76)*(1-i_Bac_ICU)))+(SUM(F77:J77)-((I77+J77)*(1-i_Bac_ICU))))/2*(C77-C76)</f>
        <v>0.0008930442894</v>
      </c>
      <c r="AM77" s="30">
        <f>(((I76+J76)*(1-i_Bac_ICU))+((I77+J77)*(1-i_Bac_ICU))+K76+E76+E77+K77)/2*(C77-C76)</f>
        <v>0.004339725128</v>
      </c>
      <c r="AN77" s="6"/>
      <c r="AO77" s="6"/>
      <c r="AP77" s="6"/>
      <c r="AQ77" s="6"/>
      <c r="AR77" s="6"/>
      <c r="AS77" s="6"/>
      <c r="AT77" s="6"/>
      <c r="AU77" s="6"/>
    </row>
    <row r="78" ht="14.25" customHeight="1">
      <c r="B78" s="26">
        <f t="shared" ref="B78:C78" si="183">B77+1</f>
        <v>52</v>
      </c>
      <c r="C78" s="26">
        <f t="shared" si="183"/>
        <v>52</v>
      </c>
      <c r="D78" s="26">
        <f t="shared" si="7"/>
        <v>0.1</v>
      </c>
      <c r="E78" s="28">
        <f t="shared" si="15"/>
        <v>0.0001352896044</v>
      </c>
      <c r="F78" s="28">
        <f t="shared" si="16"/>
        <v>0.000120239762</v>
      </c>
      <c r="G78" s="28">
        <f t="shared" si="17"/>
        <v>0.00003830278219</v>
      </c>
      <c r="H78" s="28">
        <f t="shared" si="18"/>
        <v>0.0001959836391</v>
      </c>
      <c r="I78" s="28">
        <f t="shared" si="19"/>
        <v>0.000713282094</v>
      </c>
      <c r="J78" s="28">
        <f t="shared" si="20"/>
        <v>0.002053604715</v>
      </c>
      <c r="K78" s="28">
        <f t="shared" si="21"/>
        <v>0.001714137063</v>
      </c>
      <c r="L78" s="28">
        <f t="shared" si="22"/>
        <v>0.9068478111</v>
      </c>
      <c r="M78" s="28">
        <f t="shared" si="23"/>
        <v>0.05161456942</v>
      </c>
      <c r="N78" s="28">
        <f t="shared" si="24"/>
        <v>0.004821108944</v>
      </c>
      <c r="O78" s="28">
        <f t="shared" si="25"/>
        <v>0.003800006049</v>
      </c>
      <c r="P78" s="28">
        <f t="shared" si="26"/>
        <v>0.02794566478</v>
      </c>
      <c r="R78" s="26">
        <f t="shared" si="27"/>
        <v>1</v>
      </c>
      <c r="S78" s="30">
        <f t="shared" si="8"/>
        <v>1.385913472</v>
      </c>
      <c r="T78" s="30">
        <f t="shared" ref="T78:U78" si="184">((F77+F78)/2)*T$25*($C78-$C77)</f>
        <v>0.3957720658</v>
      </c>
      <c r="U78" s="30">
        <f t="shared" si="184"/>
        <v>0.1260749496</v>
      </c>
      <c r="V78" s="30">
        <f t="shared" si="29"/>
        <v>0.5000405842</v>
      </c>
      <c r="W78" s="30">
        <f t="shared" ref="W78:X78" si="185">((I77+I78)/2)*W$25*($C78-$C77)</f>
        <v>1.639429966</v>
      </c>
      <c r="X78" s="30">
        <f t="shared" si="185"/>
        <v>4.658725366</v>
      </c>
      <c r="Y78" s="30">
        <f t="shared" si="31"/>
        <v>4.110407679</v>
      </c>
      <c r="Z78" s="30">
        <f>(L78-OFFSET(L78,-IF(C78-C77&gt;i_Cos_Days,1,MIN(B78,i_Cos_Days)),0))*MIN(i_Cos_Days,($C78-$C77))</f>
        <v>0</v>
      </c>
      <c r="AA78" s="30">
        <f t="shared" si="32"/>
        <v>22.09013721</v>
      </c>
      <c r="AB78" s="30">
        <f t="shared" si="33"/>
        <v>5.692322637</v>
      </c>
      <c r="AC78" s="30">
        <f t="shared" si="34"/>
        <v>0.6943894248</v>
      </c>
      <c r="AD78" s="30">
        <f t="shared" si="35"/>
        <v>0</v>
      </c>
      <c r="AE78" s="6"/>
      <c r="AF78" s="30">
        <f t="shared" si="11"/>
        <v>0.9434145909</v>
      </c>
      <c r="AG78" s="30" t="str">
        <f>MIN(1,SUM(OFFSET(E78,0,0,-i_Eve_ECG,1)))</f>
        <v>#VALUE!</v>
      </c>
      <c r="AH78" s="30" t="str">
        <f t="shared" si="12"/>
        <v>#VALUE!</v>
      </c>
      <c r="AI78" s="30" t="str">
        <f t="shared" si="13"/>
        <v>#VALUE!</v>
      </c>
      <c r="AJ78" s="30" t="str">
        <f>(AH78*(i_Adv_Fals/i_Adv_Alar))*AJ$25</f>
        <v>#VALUE!</v>
      </c>
      <c r="AK78" s="30" t="str">
        <f>(AH78*(i_Adv_Lead/i_Adv_Alar))*AK$25</f>
        <v>#VALUE!</v>
      </c>
      <c r="AL78" s="30">
        <f>((SUM(F77:J77)-((I77+J77)*(1-i_Bac_ICU)))+(SUM(F78:J78)-((I78+J78)*(1-i_Bac_ICU))))/2*(C78-C77)</f>
        <v>0.0008701468929</v>
      </c>
      <c r="AM78" s="30">
        <f>(((I77+J77)*(1-i_Bac_ICU))+((I78+J78)*(1-i_Bac_ICU))+K77+E77+E78+K78)/2*(C78-C77)</f>
        <v>0.004186128454</v>
      </c>
      <c r="AN78" s="6"/>
      <c r="AO78" s="6"/>
      <c r="AP78" s="6"/>
      <c r="AQ78" s="6"/>
      <c r="AR78" s="6"/>
      <c r="AS78" s="6"/>
      <c r="AT78" s="6"/>
      <c r="AU78" s="6"/>
    </row>
    <row r="79" ht="14.25" customHeight="1">
      <c r="B79" s="26">
        <f t="shared" ref="B79:C79" si="186">B78+1</f>
        <v>53</v>
      </c>
      <c r="C79" s="26">
        <f t="shared" si="186"/>
        <v>53</v>
      </c>
      <c r="D79" s="26">
        <f t="shared" si="7"/>
        <v>0.1</v>
      </c>
      <c r="E79" s="28">
        <f t="shared" si="15"/>
        <v>0.0001352696921</v>
      </c>
      <c r="F79" s="28">
        <f t="shared" si="16"/>
        <v>0.0001202216447</v>
      </c>
      <c r="G79" s="28">
        <f t="shared" si="17"/>
        <v>0.00003829676852</v>
      </c>
      <c r="H79" s="28">
        <f t="shared" si="18"/>
        <v>0.000193634967</v>
      </c>
      <c r="I79" s="28">
        <f t="shared" si="19"/>
        <v>0.0006733890327</v>
      </c>
      <c r="J79" s="28">
        <f t="shared" si="20"/>
        <v>0.001988803202</v>
      </c>
      <c r="K79" s="28">
        <f t="shared" si="21"/>
        <v>0.001660519847</v>
      </c>
      <c r="L79" s="28">
        <f t="shared" si="22"/>
        <v>0.9086561047</v>
      </c>
      <c r="M79" s="28">
        <f t="shared" si="23"/>
        <v>0.04982835425</v>
      </c>
      <c r="N79" s="28">
        <f t="shared" si="24"/>
        <v>0.004861224262</v>
      </c>
      <c r="O79" s="28">
        <f t="shared" si="25"/>
        <v>0.003815372038</v>
      </c>
      <c r="P79" s="28">
        <f t="shared" si="26"/>
        <v>0.02802880958</v>
      </c>
      <c r="R79" s="26">
        <f t="shared" si="27"/>
        <v>1</v>
      </c>
      <c r="S79" s="30">
        <f t="shared" si="8"/>
        <v>1.385709489</v>
      </c>
      <c r="T79" s="30">
        <f t="shared" ref="T79:U79" si="187">((F78+F79)/2)*T$25*($C79-$C78)</f>
        <v>0.3957117071</v>
      </c>
      <c r="U79" s="30">
        <f t="shared" si="187"/>
        <v>0.1260549016</v>
      </c>
      <c r="V79" s="30">
        <f t="shared" si="29"/>
        <v>0.4939428841</v>
      </c>
      <c r="W79" s="30">
        <f t="shared" ref="W79:X79" si="188">((I78+I79)/2)*W$25*($C79-$C78)</f>
        <v>1.547657064</v>
      </c>
      <c r="X79" s="30">
        <f t="shared" si="188"/>
        <v>4.511712294</v>
      </c>
      <c r="Y79" s="30">
        <f t="shared" si="31"/>
        <v>3.977539367</v>
      </c>
      <c r="Z79" s="30">
        <f>(L79-OFFSET(L79,-IF(C79-C78&gt;i_Cos_Days,1,MIN(B79,i_Cos_Days)),0))*MIN(i_Cos_Days,($C79-$C78))</f>
        <v>0</v>
      </c>
      <c r="AA79" s="30">
        <f t="shared" si="32"/>
        <v>21.3248242</v>
      </c>
      <c r="AB79" s="30">
        <f t="shared" si="33"/>
        <v>5.692495165</v>
      </c>
      <c r="AC79" s="30">
        <f t="shared" si="34"/>
        <v>0.694410471</v>
      </c>
      <c r="AD79" s="30">
        <f t="shared" si="35"/>
        <v>0</v>
      </c>
      <c r="AE79" s="6"/>
      <c r="AF79" s="30">
        <f t="shared" si="11"/>
        <v>0.9453615106</v>
      </c>
      <c r="AG79" s="30" t="str">
        <f>MIN(1,SUM(OFFSET(E79,0,0,-i_Eve_ECG,1)))</f>
        <v>#VALUE!</v>
      </c>
      <c r="AH79" s="30" t="str">
        <f t="shared" si="12"/>
        <v>#VALUE!</v>
      </c>
      <c r="AI79" s="30" t="str">
        <f t="shared" si="13"/>
        <v>#VALUE!</v>
      </c>
      <c r="AJ79" s="30" t="str">
        <f>(AH79*(i_Adv_Fals/i_Adv_Alar))*AJ$25</f>
        <v>#VALUE!</v>
      </c>
      <c r="AK79" s="30" t="str">
        <f>(AH79*(i_Adv_Lead/i_Adv_Alar))*AK$25</f>
        <v>#VALUE!</v>
      </c>
      <c r="AL79" s="30">
        <f>((SUM(F78:J78)-((I78+J78)*(1-i_Bac_ICU)))+(SUM(F79:J79)-((I79+J79)*(1-i_Bac_ICU))))/2*(C79-C78)</f>
        <v>0.0008482156196</v>
      </c>
      <c r="AM79" s="30">
        <f>(((I78+J78)*(1-i_Bac_ICU))+((I79+J79)*(1-i_Bac_ICU))+K78+E78+E79+K79)/2*(C79-C78)</f>
        <v>0.004042271787</v>
      </c>
      <c r="AN79" s="6"/>
      <c r="AO79" s="6"/>
      <c r="AP79" s="6"/>
      <c r="AQ79" s="6"/>
      <c r="AR79" s="6"/>
      <c r="AS79" s="6"/>
      <c r="AT79" s="6"/>
      <c r="AU79" s="6"/>
    </row>
    <row r="80" ht="14.25" customHeight="1">
      <c r="B80" s="26">
        <f t="shared" ref="B80:C80" si="189">B79+1</f>
        <v>54</v>
      </c>
      <c r="C80" s="26">
        <f t="shared" si="189"/>
        <v>54</v>
      </c>
      <c r="D80" s="26">
        <f t="shared" si="7"/>
        <v>0.1</v>
      </c>
      <c r="E80" s="28">
        <f t="shared" si="15"/>
        <v>0.0001352502285</v>
      </c>
      <c r="F80" s="28">
        <f t="shared" si="16"/>
        <v>0.0001202039479</v>
      </c>
      <c r="G80" s="28">
        <f t="shared" si="17"/>
        <v>0.00003829090175</v>
      </c>
      <c r="H80" s="28">
        <f t="shared" si="18"/>
        <v>0.0001913933656</v>
      </c>
      <c r="I80" s="28">
        <f t="shared" si="19"/>
        <v>0.0006357983575</v>
      </c>
      <c r="J80" s="28">
        <f t="shared" si="20"/>
        <v>0.001926056461</v>
      </c>
      <c r="K80" s="28">
        <f t="shared" si="21"/>
        <v>0.001611671076</v>
      </c>
      <c r="L80" s="28">
        <f t="shared" si="22"/>
        <v>0.9103923822</v>
      </c>
      <c r="M80" s="28">
        <f t="shared" si="23"/>
        <v>0.0481079546</v>
      </c>
      <c r="N80" s="28">
        <f t="shared" si="24"/>
        <v>0.004899670692</v>
      </c>
      <c r="O80" s="28">
        <f t="shared" si="25"/>
        <v>0.00382971909</v>
      </c>
      <c r="P80" s="28">
        <f t="shared" si="26"/>
        <v>0.0281116091</v>
      </c>
      <c r="R80" s="26">
        <f t="shared" si="27"/>
        <v>1</v>
      </c>
      <c r="S80" s="30">
        <f t="shared" si="8"/>
        <v>1.385510104</v>
      </c>
      <c r="T80" s="30">
        <f t="shared" ref="T80:U80" si="190">((F79+F80)/2)*T$25*($C80-$C79)</f>
        <v>0.39565277</v>
      </c>
      <c r="U80" s="30">
        <f t="shared" si="190"/>
        <v>0.1260353508</v>
      </c>
      <c r="V80" s="30">
        <f t="shared" si="29"/>
        <v>0.488123519</v>
      </c>
      <c r="W80" s="30">
        <f t="shared" ref="W80:X80" si="191">((I79+I80)/2)*W$25*($C80-$C79)</f>
        <v>1.461177834</v>
      </c>
      <c r="X80" s="30">
        <f t="shared" si="191"/>
        <v>4.369356293</v>
      </c>
      <c r="Y80" s="30">
        <f t="shared" si="31"/>
        <v>3.856767831</v>
      </c>
      <c r="Z80" s="30">
        <f>(L80-OFFSET(L80,-IF(C80-C79&gt;i_Cos_Days,1,MIN(B80,i_Cos_Days)),0))*MIN(i_Cos_Days,($C80-$C79))</f>
        <v>0</v>
      </c>
      <c r="AA80" s="30">
        <f t="shared" si="32"/>
        <v>20.58768116</v>
      </c>
      <c r="AB80" s="30">
        <f t="shared" si="33"/>
        <v>5.692626293</v>
      </c>
      <c r="AC80" s="30">
        <f t="shared" si="34"/>
        <v>0.6944264669</v>
      </c>
      <c r="AD80" s="30">
        <f t="shared" si="35"/>
        <v>0</v>
      </c>
      <c r="AE80" s="6"/>
      <c r="AF80" s="30">
        <f t="shared" si="11"/>
        <v>0.9472333811</v>
      </c>
      <c r="AG80" s="30" t="str">
        <f>MIN(1,SUM(OFFSET(E80,0,0,-i_Eve_ECG,1)))</f>
        <v>#VALUE!</v>
      </c>
      <c r="AH80" s="30" t="str">
        <f t="shared" si="12"/>
        <v>#VALUE!</v>
      </c>
      <c r="AI80" s="30" t="str">
        <f t="shared" si="13"/>
        <v>#VALUE!</v>
      </c>
      <c r="AJ80" s="30" t="str">
        <f>(AH80*(i_Adv_Fals/i_Adv_Alar))*AJ$25</f>
        <v>#VALUE!</v>
      </c>
      <c r="AK80" s="30" t="str">
        <f>(AH80*(i_Adv_Lead/i_Adv_Alar))*AK$25</f>
        <v>#VALUE!</v>
      </c>
      <c r="AL80" s="30">
        <f>((SUM(F79:J79)-((I79+J79)*(1-i_Bac_ICU)))+(SUM(F80:J80)-((I80+J80)*(1-i_Bac_ICU))))/2*(C80-C79)</f>
        <v>0.0008272073924</v>
      </c>
      <c r="AM80" s="30">
        <f>(((I79+J79)*(1-i_Bac_ICU))+((I80+J80)*(1-i_Bac_ICU))+K79+E79+E80+K80)/2*(C80-C79)</f>
        <v>0.003907192354</v>
      </c>
      <c r="AN80" s="6"/>
      <c r="AO80" s="6"/>
      <c r="AP80" s="6"/>
      <c r="AQ80" s="6"/>
      <c r="AR80" s="6"/>
      <c r="AS80" s="6"/>
      <c r="AT80" s="6"/>
      <c r="AU80" s="6"/>
    </row>
    <row r="81" ht="14.25" customHeight="1">
      <c r="B81" s="26">
        <f t="shared" ref="B81:C81" si="192">B80+1</f>
        <v>55</v>
      </c>
      <c r="C81" s="26">
        <f t="shared" si="192"/>
        <v>55</v>
      </c>
      <c r="D81" s="26">
        <f t="shared" si="7"/>
        <v>0.2</v>
      </c>
      <c r="E81" s="28">
        <f t="shared" si="15"/>
        <v>0.0001352311908</v>
      </c>
      <c r="F81" s="28">
        <f t="shared" si="16"/>
        <v>0.0001201866499</v>
      </c>
      <c r="G81" s="28">
        <f t="shared" si="17"/>
        <v>0.00003828517415</v>
      </c>
      <c r="H81" s="28">
        <f t="shared" si="18"/>
        <v>0.0001892536751</v>
      </c>
      <c r="I81" s="28">
        <f t="shared" si="19"/>
        <v>0.00060037915</v>
      </c>
      <c r="J81" s="28">
        <f t="shared" si="20"/>
        <v>0.001865302661</v>
      </c>
      <c r="K81" s="28">
        <f t="shared" si="21"/>
        <v>0.001566977969</v>
      </c>
      <c r="L81" s="28">
        <f t="shared" si="22"/>
        <v>0.9120596144</v>
      </c>
      <c r="M81" s="28">
        <f t="shared" si="23"/>
        <v>0.04645105649</v>
      </c>
      <c r="N81" s="28">
        <f t="shared" si="24"/>
        <v>0.004936516334</v>
      </c>
      <c r="O81" s="28">
        <f t="shared" si="25"/>
        <v>0.003843113445</v>
      </c>
      <c r="P81" s="28">
        <f t="shared" si="26"/>
        <v>0.02819408287</v>
      </c>
      <c r="R81" s="26">
        <f t="shared" si="27"/>
        <v>1</v>
      </c>
      <c r="S81" s="30">
        <f t="shared" si="8"/>
        <v>1.38531508</v>
      </c>
      <c r="T81" s="30">
        <f t="shared" ref="T81:U81" si="193">((F80+F81)/2)*T$25*($C81-$C80)</f>
        <v>0.3955951813</v>
      </c>
      <c r="U81" s="30">
        <f t="shared" si="193"/>
        <v>0.1260162707</v>
      </c>
      <c r="V81" s="30">
        <f t="shared" si="29"/>
        <v>0.4825690923</v>
      </c>
      <c r="W81" s="30">
        <f t="shared" ref="W81:X81" si="194">((I80+I81)/2)*W$25*($C81-$C80)</f>
        <v>1.37969185</v>
      </c>
      <c r="X81" s="30">
        <f t="shared" si="194"/>
        <v>4.231517925</v>
      </c>
      <c r="Y81" s="30">
        <f t="shared" si="31"/>
        <v>3.746514696</v>
      </c>
      <c r="Z81" s="30">
        <f>(L81-OFFSET(L81,-IF(C81-C80&gt;i_Cos_Days,1,MIN(B81,i_Cos_Days)),0))*MIN(i_Cos_Days,($C81-$C80))</f>
        <v>0</v>
      </c>
      <c r="AA81" s="30">
        <f t="shared" si="32"/>
        <v>19.87772252</v>
      </c>
      <c r="AB81" s="30">
        <f t="shared" si="33"/>
        <v>5.692720594</v>
      </c>
      <c r="AC81" s="30">
        <f t="shared" si="34"/>
        <v>0.6944379704</v>
      </c>
      <c r="AD81" s="30">
        <f t="shared" si="35"/>
        <v>0</v>
      </c>
      <c r="AE81" s="6"/>
      <c r="AF81" s="30">
        <f t="shared" si="11"/>
        <v>0.949033327</v>
      </c>
      <c r="AG81" s="30" t="str">
        <f>MIN(1,SUM(OFFSET(E81,0,0,-i_Eve_ECG,1)))</f>
        <v>#VALUE!</v>
      </c>
      <c r="AH81" s="30" t="str">
        <f t="shared" si="12"/>
        <v>#VALUE!</v>
      </c>
      <c r="AI81" s="30" t="str">
        <f t="shared" si="13"/>
        <v>#VALUE!</v>
      </c>
      <c r="AJ81" s="30" t="str">
        <f>(AH81*(i_Adv_Fals/i_Adv_Alar))*AJ$25</f>
        <v>#VALUE!</v>
      </c>
      <c r="AK81" s="30" t="str">
        <f>(AH81*(i_Adv_Lead/i_Adv_Alar))*AK$25</f>
        <v>#VALUE!</v>
      </c>
      <c r="AL81" s="30">
        <f>((SUM(F80:J80)-((I80+J80)*(1-i_Bac_ICU)))+(SUM(F81:J81)-((I81+J81)*(1-i_Bac_ICU))))/2*(C81-C80)</f>
        <v>0.0008070809735</v>
      </c>
      <c r="AM81" s="30">
        <f>(((I80+J80)*(1-i_Bac_ICU))+((I81+J81)*(1-i_Bac_ICU))+K80+E80+E81+K81)/2*(C81-C80)</f>
        <v>0.00378005943</v>
      </c>
      <c r="AN81" s="6"/>
      <c r="AO81" s="6"/>
      <c r="AP81" s="6"/>
      <c r="AQ81" s="6"/>
      <c r="AR81" s="6"/>
      <c r="AS81" s="6"/>
      <c r="AT81" s="6"/>
      <c r="AU81" s="6"/>
    </row>
    <row r="82" ht="14.25" customHeight="1">
      <c r="B82" s="26">
        <f t="shared" ref="B82:C82" si="195">B81+1</f>
        <v>56</v>
      </c>
      <c r="C82" s="26">
        <f t="shared" si="195"/>
        <v>56</v>
      </c>
      <c r="D82" s="26">
        <f t="shared" si="7"/>
        <v>0.2</v>
      </c>
      <c r="E82" s="28">
        <f t="shared" si="15"/>
        <v>0.0001352125574</v>
      </c>
      <c r="F82" s="28">
        <f t="shared" si="16"/>
        <v>0.0001201697305</v>
      </c>
      <c r="G82" s="28">
        <f t="shared" si="17"/>
        <v>0.00003827957848</v>
      </c>
      <c r="H82" s="28">
        <f t="shared" si="18"/>
        <v>0.000187210977</v>
      </c>
      <c r="I82" s="28">
        <f t="shared" si="19"/>
        <v>0.00056700753</v>
      </c>
      <c r="J82" s="28">
        <f t="shared" si="20"/>
        <v>0.00180648133</v>
      </c>
      <c r="K82" s="28">
        <f t="shared" si="21"/>
        <v>0.001525922452</v>
      </c>
      <c r="L82" s="28">
        <f t="shared" si="22"/>
        <v>0.9136606145</v>
      </c>
      <c r="M82" s="28">
        <f t="shared" si="23"/>
        <v>0.04485540897</v>
      </c>
      <c r="N82" s="28">
        <f t="shared" si="24"/>
        <v>0.004971826611</v>
      </c>
      <c r="O82" s="28">
        <f t="shared" si="25"/>
        <v>0.003855617104</v>
      </c>
      <c r="P82" s="28">
        <f t="shared" si="26"/>
        <v>0.02827624867</v>
      </c>
      <c r="R82" s="26">
        <f t="shared" si="27"/>
        <v>1</v>
      </c>
      <c r="S82" s="30">
        <f t="shared" si="8"/>
        <v>1.385124198</v>
      </c>
      <c r="T82" s="30">
        <f t="shared" ref="T82:U82" si="196">((F81+F82)/2)*T$25*($C82-$C81)</f>
        <v>0.395538872</v>
      </c>
      <c r="U82" s="30">
        <f t="shared" si="196"/>
        <v>0.1259976367</v>
      </c>
      <c r="V82" s="30">
        <f t="shared" si="29"/>
        <v>0.4772668273</v>
      </c>
      <c r="W82" s="30">
        <f t="shared" ref="W82:X82" si="197">((I81+I82)/2)*W$25*($C82-$C81)</f>
        <v>1.302914734</v>
      </c>
      <c r="X82" s="30">
        <f t="shared" si="197"/>
        <v>4.098060689</v>
      </c>
      <c r="Y82" s="30">
        <f t="shared" si="31"/>
        <v>3.645447081</v>
      </c>
      <c r="Z82" s="30">
        <f>(L82-OFFSET(L82,-IF(C82-C81&gt;i_Cos_Days,1,MIN(B82,i_Cos_Days)),0))*MIN(i_Cos_Days,($C82-$C81))</f>
        <v>0</v>
      </c>
      <c r="AA82" s="30">
        <f t="shared" si="32"/>
        <v>19.19398864</v>
      </c>
      <c r="AB82" s="30">
        <f t="shared" si="33"/>
        <v>5.692781971</v>
      </c>
      <c r="AC82" s="30">
        <f t="shared" si="34"/>
        <v>0.6944454576</v>
      </c>
      <c r="AD82" s="30">
        <f t="shared" si="35"/>
        <v>0</v>
      </c>
      <c r="AE82" s="6"/>
      <c r="AF82" s="30">
        <f t="shared" si="11"/>
        <v>0.9507643069</v>
      </c>
      <c r="AG82" s="30" t="str">
        <f>MIN(1,SUM(OFFSET(E82,0,0,-i_Eve_ECG,1)))</f>
        <v>#VALUE!</v>
      </c>
      <c r="AH82" s="30" t="str">
        <f t="shared" si="12"/>
        <v>#VALUE!</v>
      </c>
      <c r="AI82" s="30" t="str">
        <f t="shared" si="13"/>
        <v>#VALUE!</v>
      </c>
      <c r="AJ82" s="30" t="str">
        <f>(AH82*(i_Adv_Fals/i_Adv_Alar))*AJ$25</f>
        <v>#VALUE!</v>
      </c>
      <c r="AK82" s="30" t="str">
        <f>(AH82*(i_Adv_Lead/i_Adv_Alar))*AK$25</f>
        <v>#VALUE!</v>
      </c>
      <c r="AL82" s="30">
        <f>((SUM(F81:J81)-((I81+J81)*(1-i_Bac_ICU)))+(SUM(F82:J82)-((I82+J82)*(1-i_Bac_ICU))))/2*(C82-C81)</f>
        <v>0.0007877969215</v>
      </c>
      <c r="AM82" s="30">
        <f>(((I81+J81)*(1-i_Bac_ICU))+((I82+J82)*(1-i_Bac_ICU))+K81+E81+E82+K82)/2*(C82-C81)</f>
        <v>0.003660153391</v>
      </c>
      <c r="AN82" s="6"/>
      <c r="AO82" s="6"/>
      <c r="AP82" s="6"/>
      <c r="AQ82" s="6"/>
      <c r="AR82" s="6"/>
      <c r="AS82" s="6"/>
      <c r="AT82" s="6"/>
      <c r="AU82" s="6"/>
    </row>
    <row r="83" ht="14.25" customHeight="1">
      <c r="B83" s="26">
        <f t="shared" ref="B83:C83" si="198">B82+1</f>
        <v>57</v>
      </c>
      <c r="C83" s="26">
        <f t="shared" si="198"/>
        <v>57</v>
      </c>
      <c r="D83" s="26">
        <f t="shared" si="7"/>
        <v>0.2</v>
      </c>
      <c r="E83" s="28">
        <f t="shared" si="15"/>
        <v>0.0001351943078</v>
      </c>
      <c r="F83" s="28">
        <f t="shared" si="16"/>
        <v>0.0001201531704</v>
      </c>
      <c r="G83" s="28">
        <f t="shared" si="17"/>
        <v>0.00003827410793</v>
      </c>
      <c r="H83" s="28">
        <f t="shared" si="18"/>
        <v>0.0001852605856</v>
      </c>
      <c r="I83" s="28">
        <f t="shared" si="19"/>
        <v>0.0005355663504</v>
      </c>
      <c r="J83" s="28">
        <f t="shared" si="20"/>
        <v>0.001749533406</v>
      </c>
      <c r="K83" s="28">
        <f t="shared" si="21"/>
        <v>0.001488065493</v>
      </c>
      <c r="L83" s="28">
        <f t="shared" si="22"/>
        <v>0.9151980518</v>
      </c>
      <c r="M83" s="28">
        <f t="shared" si="23"/>
        <v>0.04331882557</v>
      </c>
      <c r="N83" s="28">
        <f t="shared" si="24"/>
        <v>0.005005664355</v>
      </c>
      <c r="O83" s="28">
        <f t="shared" si="25"/>
        <v>0.003867288094</v>
      </c>
      <c r="P83" s="28">
        <f t="shared" si="26"/>
        <v>0.02835812281</v>
      </c>
      <c r="R83" s="26">
        <f t="shared" si="27"/>
        <v>1</v>
      </c>
      <c r="S83" s="30">
        <f t="shared" si="8"/>
        <v>1.384937248</v>
      </c>
      <c r="T83" s="30">
        <f t="shared" ref="T83:U83" si="199">((F82+F83)/2)*T$25*($C83-$C82)</f>
        <v>0.3954837769</v>
      </c>
      <c r="U83" s="30">
        <f t="shared" si="199"/>
        <v>0.1259794257</v>
      </c>
      <c r="V83" s="30">
        <f t="shared" si="29"/>
        <v>0.4722045482</v>
      </c>
      <c r="W83" s="30">
        <f t="shared" ref="W83:X83" si="200">((I82+I83)/2)*W$25*($C83-$C82)</f>
        <v>1.230577476</v>
      </c>
      <c r="X83" s="30">
        <f t="shared" si="200"/>
        <v>3.968851172</v>
      </c>
      <c r="Y83" s="30">
        <f t="shared" si="31"/>
        <v>3.552436892</v>
      </c>
      <c r="Z83" s="30">
        <f>(L83-OFFSET(L83,-IF(C83-C82&gt;i_Cos_Days,1,MIN(B83,i_Cos_Days)),0))*MIN(i_Cos_Days,($C83-$C82))</f>
        <v>0</v>
      </c>
      <c r="AA83" s="30">
        <f t="shared" si="32"/>
        <v>18.53554671</v>
      </c>
      <c r="AB83" s="30">
        <f t="shared" si="33"/>
        <v>5.692813761</v>
      </c>
      <c r="AC83" s="30">
        <f t="shared" si="34"/>
        <v>0.6944493355</v>
      </c>
      <c r="AD83" s="30">
        <f t="shared" si="35"/>
        <v>0</v>
      </c>
      <c r="AE83" s="6"/>
      <c r="AF83" s="30">
        <f t="shared" si="11"/>
        <v>0.952429127</v>
      </c>
      <c r="AG83" s="30" t="str">
        <f>MIN(1,SUM(OFFSET(E83,0,0,-i_Eve_ECG,1)))</f>
        <v>#VALUE!</v>
      </c>
      <c r="AH83" s="30" t="str">
        <f t="shared" si="12"/>
        <v>#VALUE!</v>
      </c>
      <c r="AI83" s="30" t="str">
        <f t="shared" si="13"/>
        <v>#VALUE!</v>
      </c>
      <c r="AJ83" s="30" t="str">
        <f>(AH83*(i_Adv_Fals/i_Adv_Alar))*AJ$25</f>
        <v>#VALUE!</v>
      </c>
      <c r="AK83" s="30" t="str">
        <f>(AH83*(i_Adv_Lead/i_Adv_Alar))*AK$25</f>
        <v>#VALUE!</v>
      </c>
      <c r="AL83" s="30">
        <f>((SUM(F82:J82)-((I82+J82)*(1-i_Bac_ICU)))+(SUM(F83:J83)-((I83+J83)*(1-i_Bac_ICU))))/2*(C83-C82)</f>
        <v>0.0007693175413</v>
      </c>
      <c r="AM83" s="30">
        <f>(((I82+J82)*(1-i_Bac_ICU))+((I83+J83)*(1-i_Bac_ICU))+K82+E82+E83+K83)/2*(C83-C82)</f>
        <v>0.003546848247</v>
      </c>
      <c r="AN83" s="6"/>
      <c r="AO83" s="6"/>
      <c r="AP83" s="6"/>
      <c r="AQ83" s="6"/>
      <c r="AR83" s="6"/>
      <c r="AS83" s="6"/>
      <c r="AT83" s="6"/>
      <c r="AU83" s="6"/>
    </row>
    <row r="84" ht="14.25" customHeight="1">
      <c r="B84" s="26">
        <f t="shared" ref="B84:C84" si="201">B83+1</f>
        <v>58</v>
      </c>
      <c r="C84" s="26">
        <f t="shared" si="201"/>
        <v>58</v>
      </c>
      <c r="D84" s="26">
        <f t="shared" si="7"/>
        <v>0.2</v>
      </c>
      <c r="E84" s="28">
        <f t="shared" si="15"/>
        <v>0.0001351764228</v>
      </c>
      <c r="F84" s="28">
        <f t="shared" si="16"/>
        <v>0.0001201369515</v>
      </c>
      <c r="G84" s="28">
        <f t="shared" si="17"/>
        <v>0.00003826875612</v>
      </c>
      <c r="H84" s="28">
        <f t="shared" si="18"/>
        <v>0.0001833980404</v>
      </c>
      <c r="I84" s="28">
        <f t="shared" si="19"/>
        <v>0.000505944892</v>
      </c>
      <c r="J84" s="28">
        <f t="shared" si="20"/>
        <v>0.001694401279</v>
      </c>
      <c r="K84" s="28">
        <f t="shared" si="21"/>
        <v>0.001453034084</v>
      </c>
      <c r="L84" s="28">
        <f t="shared" si="22"/>
        <v>0.9166744635</v>
      </c>
      <c r="M84" s="28">
        <f t="shared" si="23"/>
        <v>0.04183918521</v>
      </c>
      <c r="N84" s="28">
        <f t="shared" si="24"/>
        <v>0.005038089898</v>
      </c>
      <c r="O84" s="28">
        <f t="shared" si="25"/>
        <v>0.003878180702</v>
      </c>
      <c r="P84" s="28">
        <f t="shared" si="26"/>
        <v>0.02843972027</v>
      </c>
      <c r="R84" s="26">
        <f t="shared" si="27"/>
        <v>1</v>
      </c>
      <c r="S84" s="30">
        <f t="shared" si="8"/>
        <v>1.384754034</v>
      </c>
      <c r="T84" s="30">
        <f t="shared" ref="T84:U84" si="202">((F83+F84)/2)*T$25*($C84-$C83)</f>
        <v>0.3954298347</v>
      </c>
      <c r="U84" s="30">
        <f t="shared" si="202"/>
        <v>0.1259616161</v>
      </c>
      <c r="V84" s="30">
        <f t="shared" si="29"/>
        <v>0.4673706597</v>
      </c>
      <c r="W84" s="30">
        <f t="shared" ref="W84:X84" si="203">((I83+I84)/2)*W$25*($C84-$C83)</f>
        <v>1.162425755</v>
      </c>
      <c r="X84" s="30">
        <f t="shared" si="203"/>
        <v>3.84375916</v>
      </c>
      <c r="Y84" s="30">
        <f t="shared" si="31"/>
        <v>3.466527017</v>
      </c>
      <c r="Z84" s="30">
        <f>(L84-OFFSET(L84,-IF(C84-C83&gt;i_Cos_Days,1,MIN(B84,i_Cos_Days)),0))*MIN(i_Cos_Days,($C84-$C83))</f>
        <v>0</v>
      </c>
      <c r="AA84" s="30">
        <f t="shared" si="32"/>
        <v>17.90149124</v>
      </c>
      <c r="AB84" s="30">
        <f t="shared" si="33"/>
        <v>5.692818832</v>
      </c>
      <c r="AC84" s="30">
        <f t="shared" si="34"/>
        <v>0.6944499542</v>
      </c>
      <c r="AD84" s="30">
        <f t="shared" si="35"/>
        <v>0</v>
      </c>
      <c r="AE84" s="6"/>
      <c r="AF84" s="30">
        <f t="shared" si="11"/>
        <v>0.9540304544</v>
      </c>
      <c r="AG84" s="30" t="str">
        <f>MIN(1,SUM(OFFSET(E84,0,0,-i_Eve_ECG,1)))</f>
        <v>#VALUE!</v>
      </c>
      <c r="AH84" s="30" t="str">
        <f t="shared" si="12"/>
        <v>#VALUE!</v>
      </c>
      <c r="AI84" s="30" t="str">
        <f t="shared" si="13"/>
        <v>#VALUE!</v>
      </c>
      <c r="AJ84" s="30" t="str">
        <f>(AH84*(i_Adv_Fals/i_Adv_Alar))*AJ$25</f>
        <v>#VALUE!</v>
      </c>
      <c r="AK84" s="30" t="str">
        <f>(AH84*(i_Adv_Lead/i_Adv_Alar))*AK$25</f>
        <v>#VALUE!</v>
      </c>
      <c r="AL84" s="30">
        <f>((SUM(F83:J83)-((I83+J83)*(1-i_Bac_ICU)))+(SUM(F84:J84)-((I84+J84)*(1-i_Bac_ICU))))/2*(C84-C83)</f>
        <v>0.0007516068289</v>
      </c>
      <c r="AM84" s="30">
        <f>(((I83+J83)*(1-i_Bac_ICU))+((I84+J84)*(1-i_Bac_ICU))+K83+E83+E84+K84)/2*(C84-C83)</f>
        <v>0.003439597095</v>
      </c>
      <c r="AN84" s="6"/>
      <c r="AO84" s="6"/>
      <c r="AP84" s="6"/>
      <c r="AQ84" s="6"/>
      <c r="AR84" s="6"/>
      <c r="AS84" s="6"/>
      <c r="AT84" s="6"/>
      <c r="AU84" s="6"/>
    </row>
    <row r="85" ht="14.25" customHeight="1">
      <c r="B85" s="26">
        <f t="shared" ref="B85:C85" si="204">B84+1</f>
        <v>59</v>
      </c>
      <c r="C85" s="26">
        <f t="shared" si="204"/>
        <v>59</v>
      </c>
      <c r="D85" s="26">
        <f t="shared" si="7"/>
        <v>0.2</v>
      </c>
      <c r="E85" s="28">
        <f t="shared" si="15"/>
        <v>0.0001351588842</v>
      </c>
      <c r="F85" s="28">
        <f t="shared" si="16"/>
        <v>0.0001201210567</v>
      </c>
      <c r="G85" s="28">
        <f t="shared" si="17"/>
        <v>0.000038263517</v>
      </c>
      <c r="H85" s="28">
        <f t="shared" si="18"/>
        <v>0.0001816190967</v>
      </c>
      <c r="I85" s="28">
        <f t="shared" si="19"/>
        <v>0.0004780385607</v>
      </c>
      <c r="J85" s="28">
        <f t="shared" si="20"/>
        <v>0.001641028816</v>
      </c>
      <c r="K85" s="28">
        <f t="shared" si="21"/>
        <v>0.001420510419</v>
      </c>
      <c r="L85" s="28">
        <f t="shared" si="22"/>
        <v>0.9180922655</v>
      </c>
      <c r="M85" s="28">
        <f t="shared" si="23"/>
        <v>0.0404144324</v>
      </c>
      <c r="N85" s="28">
        <f t="shared" si="24"/>
        <v>0.005069161159</v>
      </c>
      <c r="O85" s="28">
        <f t="shared" si="25"/>
        <v>0.003888345713</v>
      </c>
      <c r="P85" s="28">
        <f t="shared" si="26"/>
        <v>0.0285210549</v>
      </c>
      <c r="R85" s="26">
        <f t="shared" si="27"/>
        <v>1</v>
      </c>
      <c r="S85" s="30">
        <f t="shared" si="8"/>
        <v>1.384574368</v>
      </c>
      <c r="T85" s="30">
        <f t="shared" ref="T85:U85" si="205">((F84+F85)/2)*T$25*($C85-$C84)</f>
        <v>0.3953769873</v>
      </c>
      <c r="U85" s="30">
        <f t="shared" si="205"/>
        <v>0.1259441873</v>
      </c>
      <c r="V85" s="30">
        <f t="shared" si="29"/>
        <v>0.4627541257</v>
      </c>
      <c r="W85" s="30">
        <f t="shared" ref="W85:X85" si="206">((I84+I85)/2)*W$25*($C85-$C84)</f>
        <v>1.098219262</v>
      </c>
      <c r="X85" s="30">
        <f t="shared" si="206"/>
        <v>3.722657702</v>
      </c>
      <c r="Y85" s="30">
        <f t="shared" si="31"/>
        <v>3.386903227</v>
      </c>
      <c r="Z85" s="30">
        <f>(L85-OFFSET(L85,-IF(C85-C84&gt;i_Cos_Days,1,MIN(B85,i_Cos_Days)),0))*MIN(i_Cos_Days,($C85-$C84))</f>
        <v>0</v>
      </c>
      <c r="AA85" s="30">
        <f t="shared" si="32"/>
        <v>17.29094423</v>
      </c>
      <c r="AB85" s="30">
        <f t="shared" si="33"/>
        <v>5.692799656</v>
      </c>
      <c r="AC85" s="30">
        <f t="shared" si="34"/>
        <v>0.694447615</v>
      </c>
      <c r="AD85" s="30">
        <f t="shared" si="35"/>
        <v>0</v>
      </c>
      <c r="AE85" s="6"/>
      <c r="AF85" s="30">
        <f t="shared" si="11"/>
        <v>0.9555708272</v>
      </c>
      <c r="AG85" s="30" t="str">
        <f>MIN(1,SUM(OFFSET(E85,0,0,-i_Eve_ECG,1)))</f>
        <v>#VALUE!</v>
      </c>
      <c r="AH85" s="30" t="str">
        <f t="shared" si="12"/>
        <v>#VALUE!</v>
      </c>
      <c r="AI85" s="30" t="str">
        <f t="shared" si="13"/>
        <v>#VALUE!</v>
      </c>
      <c r="AJ85" s="30" t="str">
        <f>(AH85*(i_Adv_Fals/i_Adv_Alar))*AJ$25</f>
        <v>#VALUE!</v>
      </c>
      <c r="AK85" s="30" t="str">
        <f>(AH85*(i_Adv_Lead/i_Adv_Alar))*AK$25</f>
        <v>#VALUE!</v>
      </c>
      <c r="AL85" s="30">
        <f>((SUM(F84:J84)-((I84+J84)*(1-i_Bac_ICU)))+(SUM(F85:J85)-((I85+J85)*(1-i_Bac_ICU))))/2*(C85-C84)</f>
        <v>0.0007346304134</v>
      </c>
      <c r="AM85" s="30">
        <f>(((I84+J84)*(1-i_Bac_ICU))+((I85+J85)*(1-i_Bac_ICU))+K84+E84+E85+K85)/2*(C85-C84)</f>
        <v>0.003337919975</v>
      </c>
      <c r="AN85" s="6"/>
      <c r="AO85" s="6"/>
      <c r="AP85" s="6"/>
      <c r="AQ85" s="6"/>
      <c r="AR85" s="6"/>
      <c r="AS85" s="6"/>
      <c r="AT85" s="6"/>
      <c r="AU85" s="6"/>
    </row>
    <row r="86" ht="14.25" customHeight="1">
      <c r="B86" s="26">
        <f t="shared" ref="B86:C86" si="207">B85+1</f>
        <v>60</v>
      </c>
      <c r="C86" s="26">
        <f t="shared" si="207"/>
        <v>60</v>
      </c>
      <c r="D86" s="26">
        <f t="shared" si="7"/>
        <v>0.2</v>
      </c>
      <c r="E86" s="28">
        <f t="shared" si="15"/>
        <v>0.0001351416748</v>
      </c>
      <c r="F86" s="28">
        <f t="shared" si="16"/>
        <v>0.0001201054698</v>
      </c>
      <c r="G86" s="28">
        <f t="shared" si="17"/>
        <v>0.00003825838488</v>
      </c>
      <c r="H86" s="28">
        <f t="shared" si="18"/>
        <v>0.0001799197179</v>
      </c>
      <c r="I86" s="28">
        <f t="shared" si="19"/>
        <v>0.0004517485898</v>
      </c>
      <c r="J86" s="28">
        <f t="shared" si="20"/>
        <v>0.001589361369</v>
      </c>
      <c r="K86" s="28">
        <f t="shared" si="21"/>
        <v>0.001390222907</v>
      </c>
      <c r="L86" s="28">
        <f t="shared" si="22"/>
        <v>0.919453761</v>
      </c>
      <c r="M86" s="28">
        <f t="shared" si="23"/>
        <v>0.03904257706</v>
      </c>
      <c r="N86" s="28">
        <f t="shared" si="24"/>
        <v>0.005098933729</v>
      </c>
      <c r="O86" s="28">
        <f t="shared" si="25"/>
        <v>0.003897830623</v>
      </c>
      <c r="P86" s="28">
        <f t="shared" si="26"/>
        <v>0.02860213951</v>
      </c>
      <c r="R86" s="26">
        <f t="shared" si="27"/>
        <v>1</v>
      </c>
      <c r="S86" s="30">
        <f t="shared" si="8"/>
        <v>1.384398074</v>
      </c>
      <c r="T86" s="30">
        <f t="shared" ref="T86:U86" si="208">((F85+F86)/2)*T$25*($C86-$C85)</f>
        <v>0.39532518</v>
      </c>
      <c r="U86" s="30">
        <f t="shared" si="208"/>
        <v>0.12592712</v>
      </c>
      <c r="V86" s="30">
        <f t="shared" si="29"/>
        <v>0.4583444477</v>
      </c>
      <c r="W86" s="30">
        <f t="shared" ref="W86:X86" si="209">((I85+I86)/2)*W$25*($C86-$C85)</f>
        <v>1.037731027</v>
      </c>
      <c r="X86" s="30">
        <f t="shared" si="209"/>
        <v>3.605423157</v>
      </c>
      <c r="Y86" s="30">
        <f t="shared" si="31"/>
        <v>3.312870834</v>
      </c>
      <c r="Z86" s="30">
        <f>(L86-OFFSET(L86,-IF(C86-C85&gt;i_Cos_Days,1,MIN(B86,i_Cos_Days)),0))*MIN(i_Cos_Days,($C86-$C85))</f>
        <v>0</v>
      </c>
      <c r="AA86" s="30">
        <f t="shared" si="32"/>
        <v>16.70305524</v>
      </c>
      <c r="AB86" s="30">
        <f t="shared" si="33"/>
        <v>5.692758374</v>
      </c>
      <c r="AC86" s="30">
        <f t="shared" si="34"/>
        <v>0.6944425791</v>
      </c>
      <c r="AD86" s="30">
        <f t="shared" si="35"/>
        <v>0</v>
      </c>
      <c r="AE86" s="6"/>
      <c r="AF86" s="30">
        <f t="shared" si="11"/>
        <v>0.9570526648</v>
      </c>
      <c r="AG86" s="30" t="str">
        <f>MIN(1,SUM(OFFSET(E86,0,0,-i_Eve_ECG,1)))</f>
        <v>#VALUE!</v>
      </c>
      <c r="AH86" s="30" t="str">
        <f t="shared" si="12"/>
        <v>#VALUE!</v>
      </c>
      <c r="AI86" s="30" t="str">
        <f t="shared" si="13"/>
        <v>#VALUE!</v>
      </c>
      <c r="AJ86" s="30" t="str">
        <f>(AH86*(i_Adv_Fals/i_Adv_Alar))*AJ$25</f>
        <v>#VALUE!</v>
      </c>
      <c r="AK86" s="30" t="str">
        <f>(AH86*(i_Adv_Lead/i_Adv_Alar))*AK$25</f>
        <v>#VALUE!</v>
      </c>
      <c r="AL86" s="30">
        <f>((SUM(F85:J85)-((I85+J85)*(1-i_Bac_ICU)))+(SUM(F86:J86)-((I86+J86)*(1-i_Bac_ICU))))/2*(C86-C85)</f>
        <v>0.0007183554967</v>
      </c>
      <c r="AM86" s="30">
        <f>(((I85+J85)*(1-i_Bac_ICU))+((I86+J86)*(1-i_Bac_ICU))+K85+E85+E86+K86)/2*(C86-C85)</f>
        <v>0.003241393735</v>
      </c>
      <c r="AN86" s="6"/>
      <c r="AO86" s="6"/>
      <c r="AP86" s="6"/>
      <c r="AQ86" s="6"/>
      <c r="AR86" s="6"/>
      <c r="AS86" s="6"/>
      <c r="AT86" s="6"/>
      <c r="AU86" s="6"/>
    </row>
    <row r="87" ht="14.25" customHeight="1">
      <c r="B87" s="26">
        <f t="shared" ref="B87:C87" si="210">B86+1</f>
        <v>61</v>
      </c>
      <c r="C87" s="26">
        <f t="shared" si="210"/>
        <v>61</v>
      </c>
      <c r="D87" s="26">
        <f t="shared" si="7"/>
        <v>0.2</v>
      </c>
      <c r="E87" s="28">
        <f t="shared" si="15"/>
        <v>0.0001351247784</v>
      </c>
      <c r="F87" s="28">
        <f t="shared" si="16"/>
        <v>0.0001200901756</v>
      </c>
      <c r="G87" s="28">
        <f t="shared" si="17"/>
        <v>0.00003825335439</v>
      </c>
      <c r="H87" s="28">
        <f t="shared" si="18"/>
        <v>0.0001782960658</v>
      </c>
      <c r="I87" s="28">
        <f t="shared" si="19"/>
        <v>0.0004269817496</v>
      </c>
      <c r="J87" s="28">
        <f t="shared" si="20"/>
        <v>0.001539345778</v>
      </c>
      <c r="K87" s="28">
        <f t="shared" si="21"/>
        <v>0.001361938692</v>
      </c>
      <c r="L87" s="28">
        <f t="shared" si="22"/>
        <v>0.9207611487</v>
      </c>
      <c r="M87" s="28">
        <f t="shared" si="23"/>
        <v>0.03772169391</v>
      </c>
      <c r="N87" s="28">
        <f t="shared" si="24"/>
        <v>0.005127460959</v>
      </c>
      <c r="O87" s="28">
        <f t="shared" si="25"/>
        <v>0.003906679849</v>
      </c>
      <c r="P87" s="28">
        <f t="shared" si="26"/>
        <v>0.02868298602</v>
      </c>
      <c r="R87" s="26">
        <f t="shared" si="27"/>
        <v>1</v>
      </c>
      <c r="S87" s="30">
        <f t="shared" si="8"/>
        <v>1.384224986</v>
      </c>
      <c r="T87" s="30">
        <f t="shared" ref="T87:U87" si="211">((F86+F87)/2)*T$25*($C87-$C86)</f>
        <v>0.395274361</v>
      </c>
      <c r="U87" s="30">
        <f t="shared" si="211"/>
        <v>0.125910396</v>
      </c>
      <c r="V87" s="30">
        <f t="shared" si="29"/>
        <v>0.454131642</v>
      </c>
      <c r="W87" s="30">
        <f t="shared" ref="W87:X87" si="212">((I86+I87)/2)*W$25*($C87-$C86)</f>
        <v>0.980746762</v>
      </c>
      <c r="X87" s="30">
        <f t="shared" si="212"/>
        <v>3.4919352</v>
      </c>
      <c r="Y87" s="30">
        <f t="shared" si="31"/>
        <v>3.243835268</v>
      </c>
      <c r="Z87" s="30">
        <f>(L87-OFFSET(L87,-IF(C87-C86&gt;i_Cos_Days,1,MIN(B87,i_Cos_Days)),0))*MIN(i_Cos_Days,($C87-$C86))</f>
        <v>0</v>
      </c>
      <c r="AA87" s="30">
        <f t="shared" si="32"/>
        <v>16.13700122</v>
      </c>
      <c r="AB87" s="30">
        <f t="shared" si="33"/>
        <v>5.692696845</v>
      </c>
      <c r="AC87" s="30">
        <f t="shared" si="34"/>
        <v>0.6944350733</v>
      </c>
      <c r="AD87" s="30">
        <f t="shared" si="35"/>
        <v>0</v>
      </c>
      <c r="AE87" s="6"/>
      <c r="AF87" s="30">
        <f t="shared" si="11"/>
        <v>0.9584782755</v>
      </c>
      <c r="AG87" s="30" t="str">
        <f>MIN(1,SUM(OFFSET(E87,0,0,-i_Eve_ECG,1)))</f>
        <v>#VALUE!</v>
      </c>
      <c r="AH87" s="30" t="str">
        <f t="shared" si="12"/>
        <v>#VALUE!</v>
      </c>
      <c r="AI87" s="30" t="str">
        <f t="shared" si="13"/>
        <v>#VALUE!</v>
      </c>
      <c r="AJ87" s="30" t="str">
        <f>(AH87*(i_Adv_Fals/i_Adv_Alar))*AJ$25</f>
        <v>#VALUE!</v>
      </c>
      <c r="AK87" s="30" t="str">
        <f>(AH87*(i_Adv_Lead/i_Adv_Alar))*AK$25</f>
        <v>#VALUE!</v>
      </c>
      <c r="AL87" s="30">
        <f>((SUM(F86:J86)-((I86+J86)*(1-i_Bac_ICU)))+(SUM(F87:J87)-((I87+J87)*(1-i_Bac_ICU))))/2*(C87-C86)</f>
        <v>0.0007027507921</v>
      </c>
      <c r="AM87" s="30">
        <f>(((I86+J86)*(1-i_Bac_ICU))+((I87+J87)*(1-i_Bac_ICU))+K86+E86+E87+K87)/2*(C87-C86)</f>
        <v>0.003149643561</v>
      </c>
      <c r="AN87" s="6"/>
      <c r="AO87" s="6"/>
      <c r="AP87" s="6"/>
      <c r="AQ87" s="6"/>
      <c r="AR87" s="6"/>
      <c r="AS87" s="6"/>
      <c r="AT87" s="6"/>
      <c r="AU87" s="6"/>
    </row>
    <row r="88" ht="14.25" customHeight="1">
      <c r="B88" s="26">
        <f t="shared" ref="B88:C88" si="213">B87+1</f>
        <v>62</v>
      </c>
      <c r="C88" s="26">
        <f t="shared" si="213"/>
        <v>62</v>
      </c>
      <c r="D88" s="26">
        <f t="shared" si="7"/>
        <v>0.2</v>
      </c>
      <c r="E88" s="28">
        <f t="shared" si="15"/>
        <v>0.0001351081795</v>
      </c>
      <c r="F88" s="28">
        <f t="shared" si="16"/>
        <v>0.0001200751595</v>
      </c>
      <c r="G88" s="28">
        <f t="shared" si="17"/>
        <v>0.00003824842046</v>
      </c>
      <c r="H88" s="28">
        <f t="shared" si="18"/>
        <v>0.0001767444925</v>
      </c>
      <c r="I88" s="28">
        <f t="shared" si="19"/>
        <v>0.0004036500647</v>
      </c>
      <c r="J88" s="28">
        <f t="shared" si="20"/>
        <v>0.001490930363</v>
      </c>
      <c r="K88" s="28">
        <f t="shared" si="21"/>
        <v>0.001335457427</v>
      </c>
      <c r="L88" s="28">
        <f t="shared" si="22"/>
        <v>0.9220165298</v>
      </c>
      <c r="M88" s="28">
        <f t="shared" si="23"/>
        <v>0.03644992165</v>
      </c>
      <c r="N88" s="28">
        <f t="shared" si="24"/>
        <v>0.005154794039</v>
      </c>
      <c r="O88" s="28">
        <f t="shared" si="25"/>
        <v>0.003914934919</v>
      </c>
      <c r="P88" s="28">
        <f t="shared" si="26"/>
        <v>0.02876360553</v>
      </c>
      <c r="R88" s="26">
        <f t="shared" si="27"/>
        <v>1</v>
      </c>
      <c r="S88" s="30">
        <f t="shared" si="8"/>
        <v>1.384054946</v>
      </c>
      <c r="T88" s="30">
        <f t="shared" ref="T88:U88" si="214">((F87+F88)/2)*T$25*($C88-$C87)</f>
        <v>0.3952244812</v>
      </c>
      <c r="U88" s="30">
        <f t="shared" si="214"/>
        <v>0.1258939982</v>
      </c>
      <c r="V88" s="30">
        <f t="shared" si="29"/>
        <v>0.4501062183</v>
      </c>
      <c r="W88" s="30">
        <f t="shared" ref="W88:X88" si="215">((I87+I88)/2)*W$25*($C88-$C87)</f>
        <v>0.9270642264</v>
      </c>
      <c r="X88" s="30">
        <f t="shared" si="215"/>
        <v>3.382076821</v>
      </c>
      <c r="Y88" s="30">
        <f t="shared" si="31"/>
        <v>3.179285935</v>
      </c>
      <c r="Z88" s="30">
        <f>(L88-OFFSET(L88,-IF(C88-C87&gt;i_Cos_Days,1,MIN(B88,i_Cos_Days)),0))*MIN(i_Cos_Days,($C88-$C87))</f>
        <v>0</v>
      </c>
      <c r="AA88" s="30">
        <f t="shared" si="32"/>
        <v>15.59198616</v>
      </c>
      <c r="AB88" s="30">
        <f t="shared" si="33"/>
        <v>5.692616693</v>
      </c>
      <c r="AC88" s="30">
        <f t="shared" si="34"/>
        <v>0.6944252958</v>
      </c>
      <c r="AD88" s="30">
        <f t="shared" si="35"/>
        <v>0</v>
      </c>
      <c r="AE88" s="6"/>
      <c r="AF88" s="30">
        <f t="shared" si="11"/>
        <v>0.9598498642</v>
      </c>
      <c r="AG88" s="30" t="str">
        <f>MIN(1,SUM(OFFSET(E88,0,0,-i_Eve_ECG,1)))</f>
        <v>#VALUE!</v>
      </c>
      <c r="AH88" s="30" t="str">
        <f t="shared" si="12"/>
        <v>#VALUE!</v>
      </c>
      <c r="AI88" s="30" t="str">
        <f t="shared" si="13"/>
        <v>#VALUE!</v>
      </c>
      <c r="AJ88" s="30" t="str">
        <f>(AH88*(i_Adv_Fals/i_Adv_Alar))*AJ$25</f>
        <v>#VALUE!</v>
      </c>
      <c r="AK88" s="30" t="str">
        <f>(AH88*(i_Adv_Lead/i_Adv_Alar))*AK$25</f>
        <v>#VALUE!</v>
      </c>
      <c r="AL88" s="30">
        <f>((SUM(F87:J87)-((I87+J87)*(1-i_Bac_ICU)))+(SUM(F88:J88)-((I88+J88)*(1-i_Bac_ICU))))/2*(C88-C87)</f>
        <v>0.0006877864628</v>
      </c>
      <c r="AM88" s="30">
        <f>(((I87+J87)*(1-i_Bac_ICU))+((I88+J88)*(1-i_Bac_ICU))+K87+E87+E88+K88)/2*(C88-C87)</f>
        <v>0.003062335887</v>
      </c>
      <c r="AN88" s="6"/>
      <c r="AO88" s="6"/>
      <c r="AP88" s="6"/>
      <c r="AQ88" s="6"/>
      <c r="AR88" s="6"/>
      <c r="AS88" s="6"/>
      <c r="AT88" s="6"/>
      <c r="AU88" s="6"/>
    </row>
    <row r="89" ht="14.25" customHeight="1">
      <c r="B89" s="26">
        <f t="shared" ref="B89:C89" si="216">B88+1</f>
        <v>63</v>
      </c>
      <c r="C89" s="26">
        <f t="shared" si="216"/>
        <v>63</v>
      </c>
      <c r="D89" s="26">
        <f t="shared" si="7"/>
        <v>0.2</v>
      </c>
      <c r="E89" s="28">
        <f t="shared" si="15"/>
        <v>0.0001350918635</v>
      </c>
      <c r="F89" s="28">
        <f t="shared" si="16"/>
        <v>0.0001200604079</v>
      </c>
      <c r="G89" s="28">
        <f t="shared" si="17"/>
        <v>0.00003824357829</v>
      </c>
      <c r="H89" s="28">
        <f t="shared" si="18"/>
        <v>0.0001752615314</v>
      </c>
      <c r="I89" s="28">
        <f t="shared" si="19"/>
        <v>0.000381670541</v>
      </c>
      <c r="J89" s="28">
        <f t="shared" si="20"/>
        <v>0.001444064915</v>
      </c>
      <c r="K89" s="28">
        <f t="shared" si="21"/>
        <v>0.001310606097</v>
      </c>
      <c r="L89" s="28">
        <f t="shared" si="22"/>
        <v>0.9232219141</v>
      </c>
      <c r="M89" s="28">
        <f t="shared" si="23"/>
        <v>0.0352254618</v>
      </c>
      <c r="N89" s="28">
        <f t="shared" si="24"/>
        <v>0.005180982087</v>
      </c>
      <c r="O89" s="28">
        <f t="shared" si="25"/>
        <v>0.003922634661</v>
      </c>
      <c r="P89" s="28">
        <f t="shared" si="26"/>
        <v>0.02884400843</v>
      </c>
      <c r="R89" s="26">
        <f t="shared" si="27"/>
        <v>1</v>
      </c>
      <c r="S89" s="30">
        <f t="shared" si="8"/>
        <v>1.383887804</v>
      </c>
      <c r="T89" s="30">
        <f t="shared" ref="T89:U89" si="217">((F88+F89)/2)*T$25*($C89-$C88)</f>
        <v>0.3951754944</v>
      </c>
      <c r="U89" s="30">
        <f t="shared" si="217"/>
        <v>0.1258779104</v>
      </c>
      <c r="V89" s="30">
        <f t="shared" si="29"/>
        <v>0.4462591569</v>
      </c>
      <c r="W89" s="30">
        <f t="shared" ref="W89:X89" si="218">((I88+I89)/2)*W$25*($C89-$C88)</f>
        <v>0.8764926015</v>
      </c>
      <c r="X89" s="30">
        <f t="shared" si="218"/>
        <v>3.275734302</v>
      </c>
      <c r="Y89" s="30">
        <f t="shared" si="31"/>
        <v>3.118782772</v>
      </c>
      <c r="Z89" s="30">
        <f>(L89-OFFSET(L89,-IF(C89-C88&gt;i_Cos_Days,1,MIN(B89,i_Cos_Days)),0))*MIN(i_Cos_Days,($C89-$C88))</f>
        <v>0</v>
      </c>
      <c r="AA89" s="30">
        <f t="shared" si="32"/>
        <v>15.06724073</v>
      </c>
      <c r="AB89" s="30">
        <f t="shared" si="33"/>
        <v>5.692519342</v>
      </c>
      <c r="AC89" s="30">
        <f t="shared" si="34"/>
        <v>0.6944134203</v>
      </c>
      <c r="AD89" s="30">
        <f t="shared" si="35"/>
        <v>0</v>
      </c>
      <c r="AE89" s="6"/>
      <c r="AF89" s="30">
        <f t="shared" si="11"/>
        <v>0.9611695393</v>
      </c>
      <c r="AG89" s="30" t="str">
        <f>MIN(1,SUM(OFFSET(E89,0,0,-i_Eve_ECG,1)))</f>
        <v>#VALUE!</v>
      </c>
      <c r="AH89" s="30" t="str">
        <f t="shared" si="12"/>
        <v>#VALUE!</v>
      </c>
      <c r="AI89" s="30" t="str">
        <f t="shared" si="13"/>
        <v>#VALUE!</v>
      </c>
      <c r="AJ89" s="30" t="str">
        <f>(AH89*(i_Adv_Fals/i_Adv_Alar))*AJ$25</f>
        <v>#VALUE!</v>
      </c>
      <c r="AK89" s="30" t="str">
        <f>(AH89*(i_Adv_Lead/i_Adv_Alar))*AK$25</f>
        <v>#VALUE!</v>
      </c>
      <c r="AL89" s="30">
        <f>((SUM(F88:J88)-((I88+J88)*(1-i_Bac_ICU)))+(SUM(F89:J89)-((I89+J89)*(1-i_Bac_ICU))))/2*(C89-C88)</f>
        <v>0.0006734340606</v>
      </c>
      <c r="AM89" s="30">
        <f>(((I88+J88)*(1-i_Bac_ICU))+((I89+J89)*(1-i_Bac_ICU))+K88+E88+E89+K89)/2*(C89-C88)</f>
        <v>0.00297917246</v>
      </c>
      <c r="AN89" s="6"/>
      <c r="AO89" s="6"/>
      <c r="AP89" s="6"/>
      <c r="AQ89" s="6"/>
      <c r="AR89" s="6"/>
      <c r="AS89" s="6"/>
      <c r="AT89" s="6"/>
      <c r="AU89" s="6"/>
    </row>
    <row r="90" ht="14.25" customHeight="1">
      <c r="B90" s="26">
        <f t="shared" ref="B90:C90" si="219">B89+1</f>
        <v>64</v>
      </c>
      <c r="C90" s="26">
        <f t="shared" si="219"/>
        <v>64</v>
      </c>
      <c r="D90" s="26">
        <f t="shared" si="7"/>
        <v>0.2</v>
      </c>
      <c r="E90" s="28">
        <f t="shared" si="15"/>
        <v>0.0001350758167</v>
      </c>
      <c r="F90" s="28">
        <f t="shared" si="16"/>
        <v>0.0001200459078</v>
      </c>
      <c r="G90" s="28">
        <f t="shared" si="17"/>
        <v>0.00003823882335</v>
      </c>
      <c r="H90" s="28">
        <f t="shared" si="18"/>
        <v>0.0001738438891</v>
      </c>
      <c r="I90" s="28">
        <f t="shared" si="19"/>
        <v>0.0003609649027</v>
      </c>
      <c r="J90" s="28">
        <f t="shared" si="20"/>
        <v>0.001398700671</v>
      </c>
      <c r="K90" s="28">
        <f t="shared" si="21"/>
        <v>0.001287234704</v>
      </c>
      <c r="L90" s="28">
        <f t="shared" si="22"/>
        <v>0.9243792258</v>
      </c>
      <c r="M90" s="28">
        <f t="shared" si="23"/>
        <v>0.03404657748</v>
      </c>
      <c r="N90" s="28">
        <f t="shared" si="24"/>
        <v>0.00520607222</v>
      </c>
      <c r="O90" s="28">
        <f t="shared" si="25"/>
        <v>0.00392981537</v>
      </c>
      <c r="P90" s="28">
        <f t="shared" si="26"/>
        <v>0.02892420443</v>
      </c>
      <c r="R90" s="26">
        <f t="shared" si="27"/>
        <v>1</v>
      </c>
      <c r="S90" s="30">
        <f t="shared" si="8"/>
        <v>1.38372342</v>
      </c>
      <c r="T90" s="30">
        <f t="shared" ref="T90:U90" si="220">((F89+F90)/2)*T$25*($C90-$C89)</f>
        <v>0.3951273567</v>
      </c>
      <c r="U90" s="30">
        <f t="shared" si="220"/>
        <v>0.125862117</v>
      </c>
      <c r="V90" s="30">
        <f t="shared" si="29"/>
        <v>0.442581888</v>
      </c>
      <c r="W90" s="30">
        <f t="shared" ref="W90:X90" si="221">((I89+I90)/2)*W$25*($C90-$C89)</f>
        <v>0.8288518947</v>
      </c>
      <c r="X90" s="30">
        <f t="shared" si="221"/>
        <v>3.17279718</v>
      </c>
      <c r="Y90" s="30">
        <f t="shared" si="31"/>
        <v>3.06194506</v>
      </c>
      <c r="Z90" s="30">
        <f>(L90-OFFSET(L90,-IF(C90-C89&gt;i_Cos_Days,1,MIN(B90,i_Cos_Days)),0))*MIN(i_Cos_Days,($C90-$C89))</f>
        <v>0</v>
      </c>
      <c r="AA90" s="30">
        <f t="shared" si="32"/>
        <v>14.56202174</v>
      </c>
      <c r="AB90" s="30">
        <f t="shared" si="33"/>
        <v>5.692406049</v>
      </c>
      <c r="AC90" s="30">
        <f t="shared" si="34"/>
        <v>0.6943996</v>
      </c>
      <c r="AD90" s="30">
        <f t="shared" si="35"/>
        <v>0</v>
      </c>
      <c r="AE90" s="6"/>
      <c r="AF90" s="30">
        <f t="shared" si="11"/>
        <v>0.9624393178</v>
      </c>
      <c r="AG90" s="30" t="str">
        <f>MIN(1,SUM(OFFSET(E90,0,0,-i_Eve_ECG,1)))</f>
        <v>#VALUE!</v>
      </c>
      <c r="AH90" s="30" t="str">
        <f t="shared" si="12"/>
        <v>#VALUE!</v>
      </c>
      <c r="AI90" s="30" t="str">
        <f t="shared" si="13"/>
        <v>#VALUE!</v>
      </c>
      <c r="AJ90" s="30" t="str">
        <f>(AH90*(i_Adv_Fals/i_Adv_Alar))*AJ$25</f>
        <v>#VALUE!</v>
      </c>
      <c r="AK90" s="30" t="str">
        <f>(AH90*(i_Adv_Lead/i_Adv_Alar))*AK$25</f>
        <v>#VALUE!</v>
      </c>
      <c r="AL90" s="30">
        <f>((SUM(F89:J89)-((I89+J89)*(1-i_Bac_ICU)))+(SUM(F90:J90)-((I90+J90)*(1-i_Bac_ICU))))/2*(C90-C89)</f>
        <v>0.0006596664657</v>
      </c>
      <c r="AM90" s="30">
        <f>(((I89+J89)*(1-i_Bac_ICU))+((I90+J90)*(1-i_Bac_ICU))+K89+E89+E90+K90)/2*(C90-C89)</f>
        <v>0.002899885358</v>
      </c>
      <c r="AN90" s="6"/>
      <c r="AO90" s="6"/>
      <c r="AP90" s="6"/>
      <c r="AQ90" s="6"/>
      <c r="AR90" s="6"/>
      <c r="AS90" s="6"/>
      <c r="AT90" s="6"/>
      <c r="AU90" s="6"/>
    </row>
    <row r="91" ht="14.25" customHeight="1">
      <c r="B91" s="26">
        <f t="shared" ref="B91:C91" si="222">B90+1</f>
        <v>65</v>
      </c>
      <c r="C91" s="26">
        <f t="shared" si="222"/>
        <v>65</v>
      </c>
      <c r="D91" s="26">
        <f t="shared" si="7"/>
        <v>0.2</v>
      </c>
      <c r="E91" s="28">
        <f t="shared" si="15"/>
        <v>0.000135060026</v>
      </c>
      <c r="F91" s="28">
        <f t="shared" si="16"/>
        <v>0.0001200316469</v>
      </c>
      <c r="G91" s="28">
        <f t="shared" si="17"/>
        <v>0.00003823415134</v>
      </c>
      <c r="H91" s="28">
        <f t="shared" si="18"/>
        <v>0.000172488437</v>
      </c>
      <c r="I91" s="28">
        <f t="shared" si="19"/>
        <v>0.00034145934</v>
      </c>
      <c r="J91" s="28">
        <f t="shared" si="20"/>
        <v>0.001354790296</v>
      </c>
      <c r="K91" s="28">
        <f t="shared" si="21"/>
        <v>0.00126521267</v>
      </c>
      <c r="L91" s="28">
        <f t="shared" si="22"/>
        <v>0.9254903082</v>
      </c>
      <c r="M91" s="28">
        <f t="shared" si="23"/>
        <v>0.03291159199</v>
      </c>
      <c r="N91" s="28">
        <f t="shared" si="24"/>
        <v>0.005230109638</v>
      </c>
      <c r="O91" s="28">
        <f t="shared" si="25"/>
        <v>0.003936510971</v>
      </c>
      <c r="P91" s="28">
        <f t="shared" si="26"/>
        <v>0.02900420266</v>
      </c>
      <c r="R91" s="26">
        <f t="shared" si="27"/>
        <v>1</v>
      </c>
      <c r="S91" s="30">
        <f t="shared" si="8"/>
        <v>1.383561659</v>
      </c>
      <c r="T91" s="30">
        <f t="shared" ref="T91:U91" si="223">((F90+F91)/2)*T$25*($C91-$C90)</f>
        <v>0.3950800266</v>
      </c>
      <c r="U91" s="30">
        <f t="shared" si="223"/>
        <v>0.1258466037</v>
      </c>
      <c r="V91" s="30">
        <f t="shared" si="29"/>
        <v>0.4390662697</v>
      </c>
      <c r="W91" s="30">
        <f t="shared" ref="W91:X91" si="224">((I90+I91)/2)*W$25*($C91-$C90)</f>
        <v>0.7839723641</v>
      </c>
      <c r="X91" s="30">
        <f t="shared" si="224"/>
        <v>3.073158202</v>
      </c>
      <c r="Y91" s="30">
        <f t="shared" si="31"/>
        <v>3.008442098</v>
      </c>
      <c r="Z91" s="30">
        <f>(L91-OFFSET(L91,-IF(C91-C90&gt;i_Cos_Days,1,MIN(B91,i_Cos_Days)),0))*MIN(i_Cos_Days,($C91-$C90))</f>
        <v>0</v>
      </c>
      <c r="AA91" s="30">
        <f t="shared" si="32"/>
        <v>14.0756116</v>
      </c>
      <c r="AB91" s="30">
        <f t="shared" si="33"/>
        <v>5.692277925</v>
      </c>
      <c r="AC91" s="30">
        <f t="shared" si="34"/>
        <v>0.6943839706</v>
      </c>
      <c r="AD91" s="30">
        <f t="shared" si="35"/>
        <v>0</v>
      </c>
      <c r="AE91" s="6"/>
      <c r="AF91" s="30">
        <f t="shared" si="11"/>
        <v>0.9636611314</v>
      </c>
      <c r="AG91" s="30" t="str">
        <f>MIN(1,SUM(OFFSET(E91,0,0,-i_Eve_ECG,1)))</f>
        <v>#VALUE!</v>
      </c>
      <c r="AH91" s="30" t="str">
        <f t="shared" si="12"/>
        <v>#VALUE!</v>
      </c>
      <c r="AI91" s="30" t="str">
        <f t="shared" si="13"/>
        <v>#VALUE!</v>
      </c>
      <c r="AJ91" s="30" t="str">
        <f>(AH91*(i_Adv_Fals/i_Adv_Alar))*AJ$25</f>
        <v>#VALUE!</v>
      </c>
      <c r="AK91" s="30" t="str">
        <f>(AH91*(i_Adv_Lead/i_Adv_Alar))*AK$25</f>
        <v>#VALUE!</v>
      </c>
      <c r="AL91" s="30">
        <f>((SUM(F90:J90)-((I90+J90)*(1-i_Bac_ICU)))+(SUM(F91:J91)-((I91+J91)*(1-i_Bac_ICU))))/2*(C91-C90)</f>
        <v>0.0006464578275</v>
      </c>
      <c r="AM91" s="30">
        <f>(((I90+J90)*(1-i_Bac_ICU))+((I91+J91)*(1-i_Bac_ICU))+K90+E90+E91+K91)/2*(C91-C90)</f>
        <v>0.002824232814</v>
      </c>
      <c r="AN91" s="6"/>
      <c r="AO91" s="6"/>
      <c r="AP91" s="6"/>
      <c r="AQ91" s="6"/>
      <c r="AR91" s="6"/>
      <c r="AS91" s="6"/>
      <c r="AT91" s="6"/>
      <c r="AU91" s="6"/>
    </row>
    <row r="92" ht="14.25" customHeight="1">
      <c r="B92" s="26">
        <f t="shared" ref="B92:C92" si="225">B91+1</f>
        <v>66</v>
      </c>
      <c r="C92" s="26">
        <f t="shared" si="225"/>
        <v>66</v>
      </c>
      <c r="D92" s="26">
        <f t="shared" si="7"/>
        <v>0.2</v>
      </c>
      <c r="E92" s="28">
        <f t="shared" si="15"/>
        <v>0.0001350444789</v>
      </c>
      <c r="F92" s="28">
        <f t="shared" si="16"/>
        <v>0.0001200176136</v>
      </c>
      <c r="G92" s="28">
        <f t="shared" si="17"/>
        <v>0.0000382295582</v>
      </c>
      <c r="H92" s="28">
        <f t="shared" si="18"/>
        <v>0.0001711922033</v>
      </c>
      <c r="I92" s="28">
        <f t="shared" si="19"/>
        <v>0.0003230842667</v>
      </c>
      <c r="J92" s="28">
        <f t="shared" si="20"/>
        <v>0.001312287858</v>
      </c>
      <c r="K92" s="28">
        <f t="shared" si="21"/>
        <v>0.00124442584</v>
      </c>
      <c r="L92" s="28">
        <f t="shared" si="22"/>
        <v>0.9265569283</v>
      </c>
      <c r="M92" s="28">
        <f t="shared" si="23"/>
        <v>0.03181888729</v>
      </c>
      <c r="N92" s="28">
        <f t="shared" si="24"/>
        <v>0.005253137694</v>
      </c>
      <c r="O92" s="28">
        <f t="shared" si="25"/>
        <v>0.003942753175</v>
      </c>
      <c r="P92" s="28">
        <f t="shared" si="26"/>
        <v>0.02908401173</v>
      </c>
      <c r="R92" s="26">
        <f t="shared" si="27"/>
        <v>1</v>
      </c>
      <c r="S92" s="30">
        <f t="shared" si="8"/>
        <v>1.383402394</v>
      </c>
      <c r="T92" s="30">
        <f t="shared" ref="T92:U92" si="226">((F91+F92)/2)*T$25*($C92-$C91)</f>
        <v>0.3950334648</v>
      </c>
      <c r="U92" s="30">
        <f t="shared" si="226"/>
        <v>0.1258313567</v>
      </c>
      <c r="V92" s="30">
        <f t="shared" si="29"/>
        <v>0.4357045685</v>
      </c>
      <c r="W92" s="30">
        <f t="shared" ref="W92:X92" si="227">((I91+I92)/2)*W$25*($C92-$C91)</f>
        <v>0.741693966</v>
      </c>
      <c r="X92" s="30">
        <f t="shared" si="227"/>
        <v>2.976713272</v>
      </c>
      <c r="Y92" s="30">
        <f t="shared" si="31"/>
        <v>2.95798543</v>
      </c>
      <c r="Z92" s="30">
        <f>(L92-OFFSET(L92,-IF(C92-C91&gt;i_Cos_Days,1,MIN(B92,i_Cos_Days)),0))*MIN(i_Cos_Days,($C92-$C91))</f>
        <v>0</v>
      </c>
      <c r="AA92" s="30">
        <f t="shared" si="32"/>
        <v>13.6073177</v>
      </c>
      <c r="AB92" s="30">
        <f t="shared" si="33"/>
        <v>5.69213596</v>
      </c>
      <c r="AC92" s="30">
        <f t="shared" si="34"/>
        <v>0.6943666527</v>
      </c>
      <c r="AD92" s="30">
        <f t="shared" si="35"/>
        <v>0</v>
      </c>
      <c r="AE92" s="6"/>
      <c r="AF92" s="30">
        <f t="shared" si="11"/>
        <v>0.9648368309</v>
      </c>
      <c r="AG92" s="30" t="str">
        <f>MIN(1,SUM(OFFSET(E92,0,0,-i_Eve_ECG,1)))</f>
        <v>#VALUE!</v>
      </c>
      <c r="AH92" s="30" t="str">
        <f t="shared" si="12"/>
        <v>#VALUE!</v>
      </c>
      <c r="AI92" s="30" t="str">
        <f t="shared" si="13"/>
        <v>#VALUE!</v>
      </c>
      <c r="AJ92" s="30" t="str">
        <f>(AH92*(i_Adv_Fals/i_Adv_Alar))*AJ$25</f>
        <v>#VALUE!</v>
      </c>
      <c r="AK92" s="30" t="str">
        <f>(AH92*(i_Adv_Lead/i_Adv_Alar))*AK$25</f>
        <v>#VALUE!</v>
      </c>
      <c r="AL92" s="30">
        <f>((SUM(F91:J91)-((I91+J91)*(1-i_Bac_ICU)))+(SUM(F92:J92)-((I92+J92)*(1-i_Bac_ICU))))/2*(C92-C91)</f>
        <v>0.0006337835073</v>
      </c>
      <c r="AM92" s="30">
        <f>(((I91+J91)*(1-i_Bac_ICU))+((I92+J92)*(1-i_Bac_ICU))+K91+E91+E92+K92)/2*(C92-C91)</f>
        <v>0.002751995686</v>
      </c>
      <c r="AN92" s="6"/>
      <c r="AO92" s="6"/>
      <c r="AP92" s="6"/>
      <c r="AQ92" s="6"/>
      <c r="AR92" s="6"/>
      <c r="AS92" s="6"/>
      <c r="AT92" s="6"/>
      <c r="AU92" s="6"/>
    </row>
    <row r="93" ht="14.25" customHeight="1">
      <c r="B93" s="26">
        <f t="shared" ref="B93:C93" si="228">B92+1</f>
        <v>67</v>
      </c>
      <c r="C93" s="26">
        <f t="shared" si="228"/>
        <v>67</v>
      </c>
      <c r="D93" s="26">
        <f t="shared" si="7"/>
        <v>0.2</v>
      </c>
      <c r="E93" s="28">
        <f t="shared" si="15"/>
        <v>0.0001350291638</v>
      </c>
      <c r="F93" s="28">
        <f t="shared" si="16"/>
        <v>0.000120003797</v>
      </c>
      <c r="G93" s="28">
        <f t="shared" si="17"/>
        <v>0.00003822504009</v>
      </c>
      <c r="H93" s="28">
        <f t="shared" si="18"/>
        <v>0.0001699523657</v>
      </c>
      <c r="I93" s="28">
        <f t="shared" si="19"/>
        <v>0.0003057740898</v>
      </c>
      <c r="J93" s="28">
        <f t="shared" si="20"/>
        <v>0.001271148797</v>
      </c>
      <c r="K93" s="28">
        <f t="shared" si="21"/>
        <v>0.001224773973</v>
      </c>
      <c r="L93" s="28">
        <f t="shared" si="22"/>
        <v>0.927580781</v>
      </c>
      <c r="M93" s="28">
        <f t="shared" si="23"/>
        <v>0.03076690248</v>
      </c>
      <c r="N93" s="28">
        <f t="shared" si="24"/>
        <v>0.005275197972</v>
      </c>
      <c r="O93" s="28">
        <f t="shared" si="25"/>
        <v>0.003948571618</v>
      </c>
      <c r="P93" s="28">
        <f t="shared" si="26"/>
        <v>0.02916363973</v>
      </c>
      <c r="R93" s="26">
        <f t="shared" si="27"/>
        <v>1</v>
      </c>
      <c r="S93" s="30">
        <f t="shared" si="8"/>
        <v>1.383245505</v>
      </c>
      <c r="T93" s="30">
        <f t="shared" ref="T93:U93" si="229">((F92+F93)/2)*T$25*($C93-$C92)</f>
        <v>0.394987634</v>
      </c>
      <c r="U93" s="30">
        <f t="shared" si="229"/>
        <v>0.1258163629</v>
      </c>
      <c r="V93" s="30">
        <f t="shared" si="29"/>
        <v>0.4324894387</v>
      </c>
      <c r="W93" s="30">
        <f t="shared" ref="W93:X93" si="230">((I92+I93)/2)*W$25*($C93-$C92)</f>
        <v>0.7018658276</v>
      </c>
      <c r="X93" s="30">
        <f t="shared" si="230"/>
        <v>2.883361392</v>
      </c>
      <c r="Y93" s="30">
        <f t="shared" si="31"/>
        <v>2.910322359</v>
      </c>
      <c r="Z93" s="30">
        <f>(L93-OFFSET(L93,-IF(C93-C92&gt;i_Cos_Days,1,MIN(B93,i_Cos_Days)),0))*MIN(i_Cos_Days,($C93-$C92))</f>
        <v>0</v>
      </c>
      <c r="AA93" s="30">
        <f t="shared" si="32"/>
        <v>13.1564718</v>
      </c>
      <c r="AB93" s="30">
        <f t="shared" si="33"/>
        <v>5.691981039</v>
      </c>
      <c r="AC93" s="30">
        <f t="shared" si="34"/>
        <v>0.6943477543</v>
      </c>
      <c r="AD93" s="30">
        <f t="shared" si="35"/>
        <v>0</v>
      </c>
      <c r="AE93" s="6"/>
      <c r="AF93" s="30">
        <f t="shared" si="11"/>
        <v>0.9659681903</v>
      </c>
      <c r="AG93" s="30" t="str">
        <f>MIN(1,SUM(OFFSET(E93,0,0,-i_Eve_ECG,1)))</f>
        <v>#VALUE!</v>
      </c>
      <c r="AH93" s="30" t="str">
        <f t="shared" si="12"/>
        <v>#VALUE!</v>
      </c>
      <c r="AI93" s="30" t="str">
        <f t="shared" si="13"/>
        <v>#VALUE!</v>
      </c>
      <c r="AJ93" s="30" t="str">
        <f>(AH93*(i_Adv_Fals/i_Adv_Alar))*AJ$25</f>
        <v>#VALUE!</v>
      </c>
      <c r="AK93" s="30" t="str">
        <f>(AH93*(i_Adv_Lead/i_Adv_Alar))*AK$25</f>
        <v>#VALUE!</v>
      </c>
      <c r="AL93" s="30">
        <f>((SUM(F92:J92)-((I92+J92)*(1-i_Bac_ICU)))+(SUM(F93:J93)-((I93+J93)*(1-i_Bac_ICU))))/2*(C93-C92)</f>
        <v>0.0006216200219</v>
      </c>
      <c r="AM93" s="30">
        <f>(((I92+J92)*(1-i_Bac_ICU))+((I93+J93)*(1-i_Bac_ICU))+K92+E92+E93+K93)/2*(C93-C92)</f>
        <v>0.002682974501</v>
      </c>
      <c r="AN93" s="6"/>
      <c r="AO93" s="6"/>
      <c r="AP93" s="6"/>
      <c r="AQ93" s="6"/>
      <c r="AR93" s="6"/>
      <c r="AS93" s="6"/>
      <c r="AT93" s="6"/>
      <c r="AU93" s="6"/>
    </row>
    <row r="94" ht="14.25" customHeight="1">
      <c r="B94" s="26">
        <f t="shared" ref="B94:C94" si="231">B93+1</f>
        <v>68</v>
      </c>
      <c r="C94" s="26">
        <f t="shared" si="231"/>
        <v>68</v>
      </c>
      <c r="D94" s="26">
        <f t="shared" si="7"/>
        <v>0.2</v>
      </c>
      <c r="E94" s="28">
        <f t="shared" si="15"/>
        <v>0.0001350140695</v>
      </c>
      <c r="F94" s="28">
        <f t="shared" si="16"/>
        <v>0.0001199901865</v>
      </c>
      <c r="G94" s="28">
        <f t="shared" si="17"/>
        <v>0.00003822059336</v>
      </c>
      <c r="H94" s="28">
        <f t="shared" si="18"/>
        <v>0.0001687662434</v>
      </c>
      <c r="I94" s="28">
        <f t="shared" si="19"/>
        <v>0.0002894669885</v>
      </c>
      <c r="J94" s="28">
        <f t="shared" si="20"/>
        <v>0.001231329895</v>
      </c>
      <c r="K94" s="28">
        <f t="shared" si="21"/>
        <v>0.001206168657</v>
      </c>
      <c r="L94" s="28">
        <f t="shared" si="22"/>
        <v>0.9285634926</v>
      </c>
      <c r="M94" s="28">
        <f t="shared" si="23"/>
        <v>0.02975413214</v>
      </c>
      <c r="N94" s="28">
        <f t="shared" si="24"/>
        <v>0.005296330352</v>
      </c>
      <c r="O94" s="28">
        <f t="shared" si="25"/>
        <v>0.003953993996</v>
      </c>
      <c r="P94" s="28">
        <f t="shared" si="26"/>
        <v>0.02924309431</v>
      </c>
      <c r="R94" s="26">
        <f t="shared" si="27"/>
        <v>1</v>
      </c>
      <c r="S94" s="30">
        <f t="shared" si="8"/>
        <v>1.383090878</v>
      </c>
      <c r="T94" s="30">
        <f t="shared" ref="T94:U94" si="232">((F93+F94)/2)*T$25*($C94-$C93)</f>
        <v>0.3949424989</v>
      </c>
      <c r="U94" s="30">
        <f t="shared" si="232"/>
        <v>0.12580161</v>
      </c>
      <c r="V94" s="30">
        <f t="shared" si="29"/>
        <v>0.4294139038</v>
      </c>
      <c r="W94" s="30">
        <f t="shared" ref="W94:X94" si="233">((I93+I94)/2)*W$25*($C94-$C93)</f>
        <v>0.6643457428</v>
      </c>
      <c r="X94" s="30">
        <f t="shared" si="233"/>
        <v>2.793004593</v>
      </c>
      <c r="Y94" s="30">
        <f t="shared" si="31"/>
        <v>2.865230531</v>
      </c>
      <c r="Z94" s="30">
        <f>(L94-OFFSET(L94,-IF(C94-C93&gt;i_Cos_Days,1,MIN(B94,i_Cos_Days)),0))*MIN(i_Cos_Days,($C94-$C93))</f>
        <v>0</v>
      </c>
      <c r="AA94" s="30">
        <f t="shared" si="32"/>
        <v>12.72242929</v>
      </c>
      <c r="AB94" s="30">
        <f t="shared" si="33"/>
        <v>5.691813956</v>
      </c>
      <c r="AC94" s="30">
        <f t="shared" si="34"/>
        <v>0.6943273724</v>
      </c>
      <c r="AD94" s="30">
        <f t="shared" si="35"/>
        <v>0</v>
      </c>
      <c r="AE94" s="6"/>
      <c r="AF94" s="30">
        <f t="shared" si="11"/>
        <v>0.9670569112</v>
      </c>
      <c r="AG94" s="30" t="str">
        <f>MIN(1,SUM(OFFSET(E94,0,0,-i_Eve_ECG,1)))</f>
        <v>#VALUE!</v>
      </c>
      <c r="AH94" s="30" t="str">
        <f t="shared" si="12"/>
        <v>#VALUE!</v>
      </c>
      <c r="AI94" s="30" t="str">
        <f t="shared" si="13"/>
        <v>#VALUE!</v>
      </c>
      <c r="AJ94" s="30" t="str">
        <f>(AH94*(i_Adv_Fals/i_Adv_Alar))*AJ$25</f>
        <v>#VALUE!</v>
      </c>
      <c r="AK94" s="30" t="str">
        <f>(AH94*(i_Adv_Lead/i_Adv_Alar))*AK$25</f>
        <v>#VALUE!</v>
      </c>
      <c r="AL94" s="30">
        <f>((SUM(F93:J93)-((I93+J93)*(1-i_Bac_ICU)))+(SUM(F94:J94)-((I94+J94)*(1-i_Bac_ICU))))/2*(C94-C93)</f>
        <v>0.0006099449901</v>
      </c>
      <c r="AM94" s="30">
        <f>(((I93+J93)*(1-i_Bac_ICU))+((I94+J94)*(1-i_Bac_ICU))+K93+E93+E94+K94)/2*(C94-C93)</f>
        <v>0.00261698694</v>
      </c>
      <c r="AN94" s="6"/>
      <c r="AO94" s="6"/>
      <c r="AP94" s="6"/>
      <c r="AQ94" s="6"/>
      <c r="AR94" s="6"/>
      <c r="AS94" s="6"/>
      <c r="AT94" s="6"/>
      <c r="AU94" s="6"/>
    </row>
    <row r="95" ht="14.25" customHeight="1">
      <c r="B95" s="26">
        <f t="shared" ref="B95:C95" si="234">B94+1</f>
        <v>69</v>
      </c>
      <c r="C95" s="26">
        <f t="shared" si="234"/>
        <v>69</v>
      </c>
      <c r="D95" s="26">
        <f t="shared" si="7"/>
        <v>0.2</v>
      </c>
      <c r="E95" s="28">
        <f t="shared" si="15"/>
        <v>0.0001349991854</v>
      </c>
      <c r="F95" s="28">
        <f t="shared" si="16"/>
        <v>0.0001199767722</v>
      </c>
      <c r="G95" s="28">
        <f t="shared" si="17"/>
        <v>0.00003821621456</v>
      </c>
      <c r="H95" s="28">
        <f t="shared" si="18"/>
        <v>0.0001676312906</v>
      </c>
      <c r="I95" s="28">
        <f t="shared" si="19"/>
        <v>0.0002741047049</v>
      </c>
      <c r="J95" s="28">
        <f t="shared" si="20"/>
        <v>0.00119278925</v>
      </c>
      <c r="K95" s="28">
        <f t="shared" si="21"/>
        <v>0.001188531556</v>
      </c>
      <c r="L95" s="28">
        <f t="shared" si="22"/>
        <v>0.9295066243</v>
      </c>
      <c r="M95" s="28">
        <f t="shared" si="23"/>
        <v>0.02877912471</v>
      </c>
      <c r="N95" s="28">
        <f t="shared" si="24"/>
        <v>0.005316573079</v>
      </c>
      <c r="O95" s="28">
        <f t="shared" si="25"/>
        <v>0.003959046191</v>
      </c>
      <c r="P95" s="28">
        <f t="shared" si="26"/>
        <v>0.02932238271</v>
      </c>
      <c r="R95" s="26">
        <f t="shared" si="27"/>
        <v>1</v>
      </c>
      <c r="S95" s="30">
        <f t="shared" si="8"/>
        <v>1.382938405</v>
      </c>
      <c r="T95" s="30">
        <f t="shared" ref="T95:U95" si="235">((F94+F95)/2)*T$25*($C95-$C94)</f>
        <v>0.394898026</v>
      </c>
      <c r="U95" s="30">
        <f t="shared" si="235"/>
        <v>0.1257870864</v>
      </c>
      <c r="V95" s="30">
        <f t="shared" si="29"/>
        <v>0.4264713377</v>
      </c>
      <c r="W95" s="30">
        <f t="shared" ref="W95:X95" si="236">((I94+I95)/2)*W$25*($C95-$C94)</f>
        <v>0.6289996926</v>
      </c>
      <c r="X95" s="30">
        <f t="shared" si="236"/>
        <v>2.705547875</v>
      </c>
      <c r="Y95" s="30">
        <f t="shared" si="31"/>
        <v>2.822513406</v>
      </c>
      <c r="Z95" s="30">
        <f>(L95-OFFSET(L95,-IF(C95-C94&gt;i_Cos_Days,1,MIN(B95,i_Cos_Days)),0))*MIN(i_Cos_Days,($C95-$C94))</f>
        <v>0</v>
      </c>
      <c r="AA95" s="30">
        <f t="shared" si="32"/>
        <v>12.30456859</v>
      </c>
      <c r="AB95" s="30">
        <f t="shared" si="33"/>
        <v>5.691635432</v>
      </c>
      <c r="AC95" s="30">
        <f t="shared" si="34"/>
        <v>0.6943055947</v>
      </c>
      <c r="AD95" s="30">
        <f t="shared" si="35"/>
        <v>0</v>
      </c>
      <c r="AE95" s="6"/>
      <c r="AF95" s="30">
        <f t="shared" si="11"/>
        <v>0.9681046263</v>
      </c>
      <c r="AG95" s="30" t="str">
        <f>MIN(1,SUM(OFFSET(E95,0,0,-i_Eve_ECG,1)))</f>
        <v>#VALUE!</v>
      </c>
      <c r="AH95" s="30" t="str">
        <f t="shared" si="12"/>
        <v>#VALUE!</v>
      </c>
      <c r="AI95" s="30" t="str">
        <f t="shared" si="13"/>
        <v>#VALUE!</v>
      </c>
      <c r="AJ95" s="30" t="str">
        <f>(AH95*(i_Adv_Fals/i_Adv_Alar))*AJ$25</f>
        <v>#VALUE!</v>
      </c>
      <c r="AK95" s="30" t="str">
        <f>(AH95*(i_Adv_Lead/i_Adv_Alar))*AK$25</f>
        <v>#VALUE!</v>
      </c>
      <c r="AL95" s="30">
        <f>((SUM(F94:J94)-((I94+J94)*(1-i_Bac_ICU)))+(SUM(F95:J95)-((I95+J95)*(1-i_Bac_ICU))))/2*(C95-C94)</f>
        <v>0.0005987370807</v>
      </c>
      <c r="AM95" s="30">
        <f>(((I94+J94)*(1-i_Bac_ICU))+((I95+J95)*(1-i_Bac_ICU))+K94+E94+E95+K95)/2*(C95-C94)</f>
        <v>0.002553865723</v>
      </c>
      <c r="AN95" s="6"/>
      <c r="AO95" s="6"/>
      <c r="AP95" s="6"/>
      <c r="AQ95" s="6"/>
      <c r="AR95" s="6"/>
      <c r="AS95" s="6"/>
      <c r="AT95" s="6"/>
      <c r="AU95" s="6"/>
    </row>
    <row r="96" ht="14.25" customHeight="1">
      <c r="B96" s="26">
        <f t="shared" ref="B96:C96" si="237">B95+1</f>
        <v>70</v>
      </c>
      <c r="C96" s="26">
        <f t="shared" si="237"/>
        <v>70</v>
      </c>
      <c r="D96" s="26">
        <f t="shared" si="7"/>
        <v>0.2</v>
      </c>
      <c r="E96" s="28">
        <f t="shared" si="15"/>
        <v>0.0001349845015</v>
      </c>
      <c r="F96" s="28">
        <f t="shared" si="16"/>
        <v>0.0001199635449</v>
      </c>
      <c r="G96" s="28">
        <f t="shared" si="17"/>
        <v>0.00003821190042</v>
      </c>
      <c r="H96" s="28">
        <f t="shared" si="18"/>
        <v>0.0001665450895</v>
      </c>
      <c r="I96" s="28">
        <f t="shared" si="19"/>
        <v>0.0002596323444</v>
      </c>
      <c r="J96" s="28">
        <f t="shared" si="20"/>
        <v>0.001155486239</v>
      </c>
      <c r="K96" s="28">
        <f t="shared" si="21"/>
        <v>0.001171792942</v>
      </c>
      <c r="L96" s="28">
        <f t="shared" si="22"/>
        <v>0.9304116755</v>
      </c>
      <c r="M96" s="28">
        <f t="shared" si="23"/>
        <v>0.02784048088</v>
      </c>
      <c r="N96" s="28">
        <f t="shared" si="24"/>
        <v>0.005335962831</v>
      </c>
      <c r="O96" s="28">
        <f t="shared" si="25"/>
        <v>0.003963752392</v>
      </c>
      <c r="P96" s="28">
        <f t="shared" si="26"/>
        <v>0.02940151178</v>
      </c>
      <c r="R96" s="26">
        <f t="shared" si="27"/>
        <v>1</v>
      </c>
      <c r="S96" s="30">
        <f t="shared" si="8"/>
        <v>1.382787983</v>
      </c>
      <c r="T96" s="30">
        <f t="shared" ref="T96:U96" si="238">((F95+F96)/2)*T$25*($C96-$C95)</f>
        <v>0.3948541837</v>
      </c>
      <c r="U96" s="30">
        <f t="shared" si="238"/>
        <v>0.125772781</v>
      </c>
      <c r="V96" s="30">
        <f t="shared" si="29"/>
        <v>0.4236554477</v>
      </c>
      <c r="W96" s="30">
        <f t="shared" ref="W96:X96" si="239">((I95+I96)/2)*W$25*($C96-$C95)</f>
        <v>0.595701388</v>
      </c>
      <c r="X96" s="30">
        <f t="shared" si="239"/>
        <v>2.620899131</v>
      </c>
      <c r="Y96" s="30">
        <f t="shared" si="31"/>
        <v>2.781996469</v>
      </c>
      <c r="Z96" s="30">
        <f>(L96-OFFSET(L96,-IF(C96-C95&gt;i_Cos_Days,1,MIN(B96,i_Cos_Days)),0))*MIN(i_Cos_Days,($C96-$C95))</f>
        <v>0</v>
      </c>
      <c r="AA96" s="30">
        <f t="shared" si="32"/>
        <v>11.90229039</v>
      </c>
      <c r="AB96" s="30">
        <f t="shared" si="33"/>
        <v>5.691446116</v>
      </c>
      <c r="AC96" s="30">
        <f t="shared" si="34"/>
        <v>0.6942825006</v>
      </c>
      <c r="AD96" s="30">
        <f t="shared" si="35"/>
        <v>0</v>
      </c>
      <c r="AE96" s="6"/>
      <c r="AF96" s="30">
        <f t="shared" si="11"/>
        <v>0.9691129026</v>
      </c>
      <c r="AG96" s="30" t="str">
        <f>MIN(1,SUM(OFFSET(E96,0,0,-i_Eve_ECG,1)))</f>
        <v>#VALUE!</v>
      </c>
      <c r="AH96" s="30" t="str">
        <f t="shared" si="12"/>
        <v>#VALUE!</v>
      </c>
      <c r="AI96" s="30" t="str">
        <f t="shared" si="13"/>
        <v>#VALUE!</v>
      </c>
      <c r="AJ96" s="30" t="str">
        <f>(AH96*(i_Adv_Fals/i_Adv_Alar))*AJ$25</f>
        <v>#VALUE!</v>
      </c>
      <c r="AK96" s="30" t="str">
        <f>(AH96*(i_Adv_Lead/i_Adv_Alar))*AK$25</f>
        <v>#VALUE!</v>
      </c>
      <c r="AL96" s="30">
        <f>((SUM(F95:J95)-((I95+J95)*(1-i_Bac_ICU)))+(SUM(F96:J96)-((I96+J96)*(1-i_Bac_ICU))))/2*(C96-C95)</f>
        <v>0.0005879759619</v>
      </c>
      <c r="AM96" s="30">
        <f>(((I95+J95)*(1-i_Bac_ICU))+((I96+J96)*(1-i_Bac_ICU))+K95+E95+E96+K96)/2*(C96-C95)</f>
        <v>0.002493456806</v>
      </c>
      <c r="AN96" s="6"/>
      <c r="AO96" s="6"/>
      <c r="AP96" s="6"/>
      <c r="AQ96" s="6"/>
      <c r="AR96" s="6"/>
      <c r="AS96" s="6"/>
      <c r="AT96" s="6"/>
      <c r="AU96" s="6"/>
    </row>
    <row r="97" ht="14.25" customHeight="1">
      <c r="B97" s="26">
        <f t="shared" ref="B97:C97" si="240">B96+1</f>
        <v>71</v>
      </c>
      <c r="C97" s="26">
        <f t="shared" si="240"/>
        <v>71</v>
      </c>
      <c r="D97" s="26">
        <f t="shared" si="7"/>
        <v>0.2</v>
      </c>
      <c r="E97" s="28">
        <f t="shared" si="15"/>
        <v>0.0001349700083</v>
      </c>
      <c r="F97" s="28">
        <f t="shared" si="16"/>
        <v>0.0001199504954</v>
      </c>
      <c r="G97" s="28">
        <f t="shared" si="17"/>
        <v>0.00003820764783</v>
      </c>
      <c r="H97" s="28">
        <f t="shared" si="18"/>
        <v>0.0001655053435</v>
      </c>
      <c r="I97" s="28">
        <f t="shared" si="19"/>
        <v>0.0002459981864</v>
      </c>
      <c r="J97" s="28">
        <f t="shared" si="20"/>
        <v>0.001119381488</v>
      </c>
      <c r="K97" s="28">
        <f t="shared" si="21"/>
        <v>0.001155890473</v>
      </c>
      <c r="L97" s="28">
        <f t="shared" si="22"/>
        <v>0.9312800865</v>
      </c>
      <c r="M97" s="28">
        <f t="shared" si="23"/>
        <v>0.02693685188</v>
      </c>
      <c r="N97" s="28">
        <f t="shared" si="24"/>
        <v>0.00535453478</v>
      </c>
      <c r="O97" s="28">
        <f t="shared" si="25"/>
        <v>0.003968135198</v>
      </c>
      <c r="P97" s="28">
        <f t="shared" si="26"/>
        <v>0.02948048804</v>
      </c>
      <c r="R97" s="26">
        <f t="shared" si="27"/>
        <v>1</v>
      </c>
      <c r="S97" s="30">
        <f t="shared" si="8"/>
        <v>1.382639514</v>
      </c>
      <c r="T97" s="30">
        <f t="shared" ref="T97:U97" si="241">((F96+F97)/2)*T$25*($C97-$C96)</f>
        <v>0.3948109417</v>
      </c>
      <c r="U97" s="30">
        <f t="shared" si="241"/>
        <v>0.1257586833</v>
      </c>
      <c r="V97" s="30">
        <f t="shared" si="29"/>
        <v>0.4209602569</v>
      </c>
      <c r="W97" s="30">
        <f t="shared" ref="W97:X97" si="242">((I96+I97)/2)*W$25*($C97-$C96)</f>
        <v>0.5643318361</v>
      </c>
      <c r="X97" s="30">
        <f t="shared" si="242"/>
        <v>2.538969075</v>
      </c>
      <c r="Y97" s="30">
        <f t="shared" si="31"/>
        <v>2.743524057</v>
      </c>
      <c r="Z97" s="30">
        <f>(L97-OFFSET(L97,-IF(C97-C96&gt;i_Cos_Days,1,MIN(B97,i_Cos_Days)),0))*MIN(i_Cos_Days,($C97-$C96))</f>
        <v>0</v>
      </c>
      <c r="AA97" s="30">
        <f t="shared" si="32"/>
        <v>11.51501701</v>
      </c>
      <c r="AB97" s="30">
        <f t="shared" si="33"/>
        <v>5.691246603</v>
      </c>
      <c r="AC97" s="30">
        <f t="shared" si="34"/>
        <v>0.6942581626</v>
      </c>
      <c r="AD97" s="30">
        <f t="shared" si="35"/>
        <v>0</v>
      </c>
      <c r="AE97" s="6"/>
      <c r="AF97" s="30">
        <f t="shared" si="11"/>
        <v>0.9700832445</v>
      </c>
      <c r="AG97" s="30" t="str">
        <f>MIN(1,SUM(OFFSET(E97,0,0,-i_Eve_ECG,1)))</f>
        <v>#VALUE!</v>
      </c>
      <c r="AH97" s="30" t="str">
        <f t="shared" si="12"/>
        <v>#VALUE!</v>
      </c>
      <c r="AI97" s="30" t="str">
        <f t="shared" si="13"/>
        <v>#VALUE!</v>
      </c>
      <c r="AJ97" s="30" t="str">
        <f>(AH97*(i_Adv_Fals/i_Adv_Alar))*AJ$25</f>
        <v>#VALUE!</v>
      </c>
      <c r="AK97" s="30" t="str">
        <f>(AH97*(i_Adv_Lead/i_Adv_Alar))*AK$25</f>
        <v>#VALUE!</v>
      </c>
      <c r="AL97" s="30">
        <f>((SUM(F96:J96)-((I96+J96)*(1-i_Bac_ICU)))+(SUM(F97:J97)-((I97+J97)*(1-i_Bac_ICU))))/2*(C97-C96)</f>
        <v>0.0005776422541</v>
      </c>
      <c r="AM97" s="30">
        <f>(((I96+J96)*(1-i_Bac_ICU))+((I97+J97)*(1-i_Bac_ICU))+K96+E96+E97+K97)/2*(C97-C96)</f>
        <v>0.002435617848</v>
      </c>
      <c r="AN97" s="6"/>
      <c r="AO97" s="6"/>
      <c r="AP97" s="6"/>
      <c r="AQ97" s="6"/>
      <c r="AR97" s="6"/>
      <c r="AS97" s="6"/>
      <c r="AT97" s="6"/>
      <c r="AU97" s="6"/>
    </row>
    <row r="98" ht="14.25" customHeight="1">
      <c r="B98" s="26">
        <f t="shared" ref="B98:C98" si="243">B97+1</f>
        <v>72</v>
      </c>
      <c r="C98" s="26">
        <f t="shared" si="243"/>
        <v>72</v>
      </c>
      <c r="D98" s="26">
        <f t="shared" si="7"/>
        <v>0.2</v>
      </c>
      <c r="E98" s="28">
        <f t="shared" si="15"/>
        <v>0.0001349556969</v>
      </c>
      <c r="F98" s="28">
        <f t="shared" si="16"/>
        <v>0.0001199376156</v>
      </c>
      <c r="G98" s="28">
        <f t="shared" si="17"/>
        <v>0.00003820345385</v>
      </c>
      <c r="H98" s="28">
        <f t="shared" si="18"/>
        <v>0.0001645098714</v>
      </c>
      <c r="I98" s="28">
        <f t="shared" si="19"/>
        <v>0.0002331535049</v>
      </c>
      <c r="J98" s="28">
        <f t="shared" si="20"/>
        <v>0.001084436837</v>
      </c>
      <c r="K98" s="28">
        <f t="shared" si="21"/>
        <v>0.001140768156</v>
      </c>
      <c r="L98" s="28">
        <f t="shared" si="22"/>
        <v>0.932113241</v>
      </c>
      <c r="M98" s="28">
        <f t="shared" si="23"/>
        <v>0.0260669379</v>
      </c>
      <c r="N98" s="28">
        <f t="shared" si="24"/>
        <v>0.005372322651</v>
      </c>
      <c r="O98" s="28">
        <f t="shared" si="25"/>
        <v>0.003972215729</v>
      </c>
      <c r="P98" s="28">
        <f t="shared" si="26"/>
        <v>0.02955931763</v>
      </c>
      <c r="R98" s="26">
        <f t="shared" si="27"/>
        <v>1</v>
      </c>
      <c r="S98" s="30">
        <f t="shared" si="8"/>
        <v>1.382492907</v>
      </c>
      <c r="T98" s="30">
        <f t="shared" ref="T98:U98" si="244">((F97+F98)/2)*T$25*($C98-$C97)</f>
        <v>0.3947682716</v>
      </c>
      <c r="U98" s="30">
        <f t="shared" si="244"/>
        <v>0.1257447833</v>
      </c>
      <c r="V98" s="30">
        <f t="shared" si="29"/>
        <v>0.4183800888</v>
      </c>
      <c r="W98" s="30">
        <f t="shared" ref="W98:X98" si="245">((I97+I98)/2)*W$25*($C98-$C97)</f>
        <v>0.534778929</v>
      </c>
      <c r="X98" s="30">
        <f t="shared" si="245"/>
        <v>2.459671174</v>
      </c>
      <c r="Y98" s="30">
        <f t="shared" si="31"/>
        <v>2.706956692</v>
      </c>
      <c r="Z98" s="30">
        <f>(L98-OFFSET(L98,-IF(C98-C97&gt;i_Cos_Days,1,MIN(B98,i_Cos_Days)),0))*MIN(i_Cos_Days,($C98-$C97))</f>
        <v>0</v>
      </c>
      <c r="AA98" s="30">
        <f t="shared" si="32"/>
        <v>11.14219167</v>
      </c>
      <c r="AB98" s="30">
        <f t="shared" si="33"/>
        <v>5.691037436</v>
      </c>
      <c r="AC98" s="30">
        <f t="shared" si="34"/>
        <v>0.694232647</v>
      </c>
      <c r="AD98" s="30">
        <f t="shared" si="35"/>
        <v>0</v>
      </c>
      <c r="AE98" s="6"/>
      <c r="AF98" s="30">
        <f t="shared" si="11"/>
        <v>0.971017097</v>
      </c>
      <c r="AG98" s="30" t="str">
        <f>MIN(1,SUM(OFFSET(E98,0,0,-i_Eve_ECG,1)))</f>
        <v>#VALUE!</v>
      </c>
      <c r="AH98" s="30" t="str">
        <f t="shared" si="12"/>
        <v>#VALUE!</v>
      </c>
      <c r="AI98" s="30" t="str">
        <f t="shared" si="13"/>
        <v>#VALUE!</v>
      </c>
      <c r="AJ98" s="30" t="str">
        <f>(AH98*(i_Adv_Fals/i_Adv_Alar))*AJ$25</f>
        <v>#VALUE!</v>
      </c>
      <c r="AK98" s="30" t="str">
        <f>(AH98*(i_Adv_Lead/i_Adv_Alar))*AK$25</f>
        <v>#VALUE!</v>
      </c>
      <c r="AL98" s="30">
        <f>((SUM(F97:J97)-((I97+J97)*(1-i_Bac_ICU)))+(SUM(F98:J98)-((I98+J98)*(1-i_Bac_ICU))))/2*(C98-C97)</f>
        <v>0.0005677174833</v>
      </c>
      <c r="AM98" s="30">
        <f>(((I97+J97)*(1-i_Bac_ICU))+((I98+J98)*(1-i_Bac_ICU))+K97+E97+E98+K98)/2*(C98-C97)</f>
        <v>0.002380216905</v>
      </c>
      <c r="AN98" s="6"/>
      <c r="AO98" s="6"/>
      <c r="AP98" s="6"/>
      <c r="AQ98" s="6"/>
      <c r="AR98" s="6"/>
      <c r="AS98" s="6"/>
      <c r="AT98" s="6"/>
      <c r="AU98" s="6"/>
    </row>
    <row r="99" ht="14.25" customHeight="1">
      <c r="B99" s="26">
        <f t="shared" ref="B99:C99" si="246">B98+1</f>
        <v>73</v>
      </c>
      <c r="C99" s="26">
        <f t="shared" si="246"/>
        <v>73</v>
      </c>
      <c r="D99" s="26">
        <f t="shared" si="7"/>
        <v>0.2</v>
      </c>
      <c r="E99" s="28">
        <f t="shared" si="15"/>
        <v>0.0001349415585</v>
      </c>
      <c r="F99" s="28">
        <f t="shared" si="16"/>
        <v>0.0001199248972</v>
      </c>
      <c r="G99" s="28">
        <f t="shared" si="17"/>
        <v>0.00003819931569</v>
      </c>
      <c r="H99" s="28">
        <f t="shared" si="18"/>
        <v>0.0001635566013</v>
      </c>
      <c r="I99" s="28">
        <f t="shared" si="19"/>
        <v>0.0002210523979</v>
      </c>
      <c r="J99" s="28">
        <f t="shared" si="20"/>
        <v>0.001050615311</v>
      </c>
      <c r="K99" s="28">
        <f t="shared" si="21"/>
        <v>0.001126375483</v>
      </c>
      <c r="L99" s="28">
        <f t="shared" si="22"/>
        <v>0.932912469</v>
      </c>
      <c r="M99" s="28">
        <f t="shared" si="23"/>
        <v>0.02522948645</v>
      </c>
      <c r="N99" s="28">
        <f t="shared" si="24"/>
        <v>0.005389358785</v>
      </c>
      <c r="O99" s="28">
        <f t="shared" si="25"/>
        <v>0.003976013718</v>
      </c>
      <c r="P99" s="28">
        <f t="shared" si="26"/>
        <v>0.02963800644</v>
      </c>
      <c r="R99" s="26">
        <f t="shared" si="27"/>
        <v>1</v>
      </c>
      <c r="S99" s="30">
        <f t="shared" si="8"/>
        <v>1.382348072</v>
      </c>
      <c r="T99" s="30">
        <f t="shared" ref="T99:U99" si="247">((F98+F99)/2)*T$25*($C99-$C98)</f>
        <v>0.3947261461</v>
      </c>
      <c r="U99" s="30">
        <f t="shared" si="247"/>
        <v>0.1257310716</v>
      </c>
      <c r="V99" s="30">
        <f t="shared" si="29"/>
        <v>0.4159095515</v>
      </c>
      <c r="W99" s="30">
        <f t="shared" ref="W99:X99" si="248">((I98+I99)/2)*W$25*($C99-$C98)</f>
        <v>0.5069370528</v>
      </c>
      <c r="X99" s="30">
        <f t="shared" si="248"/>
        <v>2.38292157</v>
      </c>
      <c r="Y99" s="30">
        <f t="shared" si="31"/>
        <v>2.672168849</v>
      </c>
      <c r="Z99" s="30">
        <f>(L99-OFFSET(L99,-IF(C99-C98&gt;i_Cos_Days,1,MIN(B99,i_Cos_Days)),0))*MIN(i_Cos_Days,($C99-$C98))</f>
        <v>0</v>
      </c>
      <c r="AA99" s="30">
        <f t="shared" si="32"/>
        <v>10.78327784</v>
      </c>
      <c r="AB99" s="30">
        <f t="shared" si="33"/>
        <v>5.690819114</v>
      </c>
      <c r="AC99" s="30">
        <f t="shared" si="34"/>
        <v>0.6942060145</v>
      </c>
      <c r="AD99" s="30">
        <f t="shared" si="35"/>
        <v>0</v>
      </c>
      <c r="AE99" s="6"/>
      <c r="AF99" s="30">
        <f t="shared" si="11"/>
        <v>0.971915848</v>
      </c>
      <c r="AG99" s="30" t="str">
        <f>MIN(1,SUM(OFFSET(E99,0,0,-i_Eve_ECG,1)))</f>
        <v>#VALUE!</v>
      </c>
      <c r="AH99" s="30" t="str">
        <f t="shared" si="12"/>
        <v>#VALUE!</v>
      </c>
      <c r="AI99" s="30" t="str">
        <f t="shared" si="13"/>
        <v>#VALUE!</v>
      </c>
      <c r="AJ99" s="30" t="str">
        <f>(AH99*(i_Adv_Fals/i_Adv_Alar))*AJ$25</f>
        <v>#VALUE!</v>
      </c>
      <c r="AK99" s="30" t="str">
        <f>(AH99*(i_Adv_Lead/i_Adv_Alar))*AK$25</f>
        <v>#VALUE!</v>
      </c>
      <c r="AL99" s="30">
        <f>((SUM(F98:J98)-((I98+J98)*(1-i_Bac_ICU)))+(SUM(F99:J99)-((I99+J99)*(1-i_Bac_ICU))))/2*(C99-C98)</f>
        <v>0.0005581840376</v>
      </c>
      <c r="AM99" s="30">
        <f>(((I98+J98)*(1-i_Bac_ICU))+((I99+J99)*(1-i_Bac_ICU))+K98+E98+E99+K99)/2*(C99-C98)</f>
        <v>0.002327131312</v>
      </c>
      <c r="AN99" s="6"/>
      <c r="AO99" s="6"/>
      <c r="AP99" s="6"/>
      <c r="AQ99" s="6"/>
      <c r="AR99" s="6"/>
      <c r="AS99" s="6"/>
      <c r="AT99" s="6"/>
      <c r="AU99" s="6"/>
    </row>
    <row r="100" ht="14.25" customHeight="1">
      <c r="B100" s="26">
        <f t="shared" ref="B100:C100" si="249">B99+1</f>
        <v>74</v>
      </c>
      <c r="C100" s="26">
        <f t="shared" si="249"/>
        <v>74</v>
      </c>
      <c r="D100" s="26">
        <f t="shared" si="7"/>
        <v>0.2</v>
      </c>
      <c r="E100" s="28">
        <f t="shared" si="15"/>
        <v>0.0001349275851</v>
      </c>
      <c r="F100" s="28">
        <f t="shared" si="16"/>
        <v>0.0001199123326</v>
      </c>
      <c r="G100" s="28">
        <f t="shared" si="17"/>
        <v>0.00003819523069</v>
      </c>
      <c r="H100" s="28">
        <f t="shared" si="18"/>
        <v>0.0001626435651</v>
      </c>
      <c r="I100" s="28">
        <f t="shared" si="19"/>
        <v>0.0002096516271</v>
      </c>
      <c r="J100" s="28">
        <f t="shared" si="20"/>
        <v>0.001017881084</v>
      </c>
      <c r="K100" s="28">
        <f t="shared" si="21"/>
        <v>0.001112666699</v>
      </c>
      <c r="L100" s="28">
        <f t="shared" si="22"/>
        <v>0.9336790492</v>
      </c>
      <c r="M100" s="28">
        <f t="shared" si="23"/>
        <v>0.0244232908</v>
      </c>
      <c r="N100" s="28">
        <f t="shared" si="24"/>
        <v>0.005405674192</v>
      </c>
      <c r="O100" s="28">
        <f t="shared" si="25"/>
        <v>0.003979547604</v>
      </c>
      <c r="P100" s="28">
        <f t="shared" si="26"/>
        <v>0.02971656004</v>
      </c>
      <c r="R100" s="26">
        <f t="shared" si="27"/>
        <v>1</v>
      </c>
      <c r="S100" s="30">
        <f t="shared" si="8"/>
        <v>1.382204929</v>
      </c>
      <c r="T100" s="30">
        <f t="shared" ref="T100:U100" si="250">((F99+F100)/2)*T$25*($C100-$C99)</f>
        <v>0.3946845397</v>
      </c>
      <c r="U100" s="30">
        <f t="shared" si="250"/>
        <v>0.1257175393</v>
      </c>
      <c r="V100" s="30">
        <f t="shared" si="29"/>
        <v>0.413543523</v>
      </c>
      <c r="W100" s="30">
        <f t="shared" ref="W100:X100" si="251">((I99+I100)/2)*W$25*($C100-$C99)</f>
        <v>0.4807067185</v>
      </c>
      <c r="X100" s="30">
        <f t="shared" si="251"/>
        <v>2.30863901</v>
      </c>
      <c r="Y100" s="30">
        <f t="shared" si="31"/>
        <v>2.639047067</v>
      </c>
      <c r="Z100" s="30">
        <f>(L100-OFFSET(L100,-IF(C100-C99&gt;i_Cos_Days,1,MIN(B100,i_Cos_Days)),0))*MIN(i_Cos_Days,($C100-$C99))</f>
        <v>0</v>
      </c>
      <c r="AA100" s="30">
        <f t="shared" si="32"/>
        <v>10.43775857</v>
      </c>
      <c r="AB100" s="30">
        <f t="shared" si="33"/>
        <v>5.690592098</v>
      </c>
      <c r="AC100" s="30">
        <f t="shared" si="34"/>
        <v>0.6941783215</v>
      </c>
      <c r="AD100" s="30">
        <f t="shared" si="35"/>
        <v>0</v>
      </c>
      <c r="AE100" s="6"/>
      <c r="AF100" s="30">
        <f t="shared" si="11"/>
        <v>0.9727808311</v>
      </c>
      <c r="AG100" s="30" t="str">
        <f>MIN(1,SUM(OFFSET(E100,0,0,-i_Eve_ECG,1)))</f>
        <v>#VALUE!</v>
      </c>
      <c r="AH100" s="30" t="str">
        <f t="shared" si="12"/>
        <v>#VALUE!</v>
      </c>
      <c r="AI100" s="30" t="str">
        <f t="shared" si="13"/>
        <v>#VALUE!</v>
      </c>
      <c r="AJ100" s="30" t="str">
        <f>(AH100*(i_Adv_Fals/i_Adv_Alar))*AJ$25</f>
        <v>#VALUE!</v>
      </c>
      <c r="AK100" s="30" t="str">
        <f>(AH100*(i_Adv_Lead/i_Adv_Alar))*AK$25</f>
        <v>#VALUE!</v>
      </c>
      <c r="AL100" s="30">
        <f>((SUM(F99:J99)-((I99+J99)*(1-i_Bac_ICU)))+(SUM(F100:J100)-((I100+J100)*(1-i_Bac_ICU))))/2*(C100-C99)</f>
        <v>0.0005490251248</v>
      </c>
      <c r="AM100" s="30">
        <f>(((I99+J99)*(1-i_Bac_ICU))+((I100+J100)*(1-i_Bac_ICU))+K99+E99+E100+K100)/2*(C100-C99)</f>
        <v>0.002276246719</v>
      </c>
      <c r="AN100" s="6"/>
      <c r="AO100" s="6"/>
      <c r="AP100" s="6"/>
      <c r="AQ100" s="6"/>
      <c r="AR100" s="6"/>
      <c r="AS100" s="6"/>
      <c r="AT100" s="6"/>
      <c r="AU100" s="6"/>
    </row>
    <row r="101" ht="14.25" customHeight="1">
      <c r="B101" s="26">
        <f t="shared" ref="B101:C101" si="252">B100+1</f>
        <v>75</v>
      </c>
      <c r="C101" s="26">
        <f t="shared" si="252"/>
        <v>75</v>
      </c>
      <c r="D101" s="26">
        <f t="shared" si="7"/>
        <v>0.2</v>
      </c>
      <c r="E101" s="28">
        <f t="shared" si="15"/>
        <v>0.000134913769</v>
      </c>
      <c r="F101" s="28">
        <f t="shared" si="16"/>
        <v>0.0001198999148</v>
      </c>
      <c r="G101" s="28">
        <f t="shared" si="17"/>
        <v>0.00003819119635</v>
      </c>
      <c r="H101" s="28">
        <f t="shared" si="18"/>
        <v>0.0001617688929</v>
      </c>
      <c r="I101" s="28">
        <f t="shared" si="19"/>
        <v>0.0001989104649</v>
      </c>
      <c r="J101" s="28">
        <f t="shared" si="20"/>
        <v>0.0009861994488</v>
      </c>
      <c r="K101" s="28">
        <f t="shared" si="21"/>
        <v>0.001099600185</v>
      </c>
      <c r="L101" s="28">
        <f t="shared" si="22"/>
        <v>0.9344142108</v>
      </c>
      <c r="M101" s="28">
        <f t="shared" si="23"/>
        <v>0.02364718839</v>
      </c>
      <c r="N101" s="28">
        <f t="shared" si="24"/>
        <v>0.005421298605</v>
      </c>
      <c r="O101" s="28">
        <f t="shared" si="25"/>
        <v>0.003982834617</v>
      </c>
      <c r="P101" s="28">
        <f t="shared" si="26"/>
        <v>0.02979498374</v>
      </c>
      <c r="R101" s="26">
        <f t="shared" si="27"/>
        <v>1</v>
      </c>
      <c r="S101" s="30">
        <f t="shared" si="8"/>
        <v>1.382063396</v>
      </c>
      <c r="T101" s="30">
        <f t="shared" ref="T101:U101" si="253">((F100+F101)/2)*T$25*($C101-$C100)</f>
        <v>0.3946434278</v>
      </c>
      <c r="U101" s="30">
        <f t="shared" si="253"/>
        <v>0.1257041779</v>
      </c>
      <c r="V101" s="30">
        <f t="shared" si="29"/>
        <v>0.4112771377</v>
      </c>
      <c r="W101" s="30">
        <f t="shared" ref="W101:X101" si="254">((I100+I101)/2)*W$25*($C101-$C100)</f>
        <v>0.4559942121</v>
      </c>
      <c r="X101" s="30">
        <f t="shared" si="254"/>
        <v>2.236744772</v>
      </c>
      <c r="Y101" s="30">
        <f t="shared" si="31"/>
        <v>2.607488362</v>
      </c>
      <c r="Z101" s="30">
        <f>(L101-OFFSET(L101,-IF(C101-C100&gt;i_Cos_Days,1,MIN(B101,i_Cos_Days)),0))*MIN(i_Cos_Days,($C101-$C100))</f>
        <v>0</v>
      </c>
      <c r="AA101" s="30">
        <f t="shared" si="32"/>
        <v>10.10513578</v>
      </c>
      <c r="AB101" s="30">
        <f t="shared" si="33"/>
        <v>5.690356814</v>
      </c>
      <c r="AC101" s="30">
        <f t="shared" si="34"/>
        <v>0.69414962</v>
      </c>
      <c r="AD101" s="30">
        <f t="shared" si="35"/>
        <v>0</v>
      </c>
      <c r="AE101" s="6"/>
      <c r="AF101" s="30">
        <f t="shared" si="11"/>
        <v>0.9736133277</v>
      </c>
      <c r="AG101" s="30" t="str">
        <f>MIN(1,SUM(OFFSET(E101,0,0,-i_Eve_ECG,1)))</f>
        <v>#VALUE!</v>
      </c>
      <c r="AH101" s="30" t="str">
        <f t="shared" si="12"/>
        <v>#VALUE!</v>
      </c>
      <c r="AI101" s="30" t="str">
        <f t="shared" si="13"/>
        <v>#VALUE!</v>
      </c>
      <c r="AJ101" s="30" t="str">
        <f>(AH101*(i_Adv_Fals/i_Adv_Alar))*AJ$25</f>
        <v>#VALUE!</v>
      </c>
      <c r="AK101" s="30" t="str">
        <f>(AH101*(i_Adv_Lead/i_Adv_Alar))*AK$25</f>
        <v>#VALUE!</v>
      </c>
      <c r="AL101" s="30">
        <f>((SUM(F100:J100)-((I100+J100)*(1-i_Bac_ICU)))+(SUM(F101:J101)-((I101+J101)*(1-i_Bac_ICU))))/2*(C101-C100)</f>
        <v>0.0005402247331</v>
      </c>
      <c r="AM101" s="30">
        <f>(((I100+J100)*(1-i_Bac_ICU))+((I101+J101)*(1-i_Bac_ICU))+K100+E100+E101+K101)/2*(C101-C100)</f>
        <v>0.002227456264</v>
      </c>
      <c r="AN101" s="6"/>
      <c r="AO101" s="6"/>
      <c r="AP101" s="6"/>
      <c r="AQ101" s="6"/>
      <c r="AR101" s="6"/>
      <c r="AS101" s="6"/>
      <c r="AT101" s="6"/>
      <c r="AU101" s="6"/>
    </row>
    <row r="102" ht="14.25" customHeight="1">
      <c r="B102" s="26">
        <f t="shared" ref="B102:C102" si="255">B101+1</f>
        <v>76</v>
      </c>
      <c r="C102" s="26">
        <f t="shared" si="255"/>
        <v>76</v>
      </c>
      <c r="D102" s="26">
        <f t="shared" si="7"/>
        <v>0.2</v>
      </c>
      <c r="E102" s="28">
        <f t="shared" si="15"/>
        <v>0.0001349001028</v>
      </c>
      <c r="F102" s="28">
        <f t="shared" si="16"/>
        <v>0.0001198876367</v>
      </c>
      <c r="G102" s="28">
        <f t="shared" si="17"/>
        <v>0.00003818721028</v>
      </c>
      <c r="H102" s="28">
        <f t="shared" si="18"/>
        <v>0.000160930808</v>
      </c>
      <c r="I102" s="28">
        <f t="shared" si="19"/>
        <v>0.0001887905504</v>
      </c>
      <c r="J102" s="28">
        <f t="shared" si="20"/>
        <v>0.000955536784</v>
      </c>
      <c r="K102" s="28">
        <f t="shared" si="21"/>
        <v>0.001087137937</v>
      </c>
      <c r="L102" s="28">
        <f t="shared" si="22"/>
        <v>0.9351191357</v>
      </c>
      <c r="M102" s="28">
        <f t="shared" si="23"/>
        <v>0.02290005934</v>
      </c>
      <c r="N102" s="28">
        <f t="shared" si="24"/>
        <v>0.005436260532</v>
      </c>
      <c r="O102" s="28">
        <f t="shared" si="25"/>
        <v>0.003985890854</v>
      </c>
      <c r="P102" s="28">
        <f t="shared" si="26"/>
        <v>0.02987328259</v>
      </c>
      <c r="R102" s="26">
        <f t="shared" si="27"/>
        <v>1</v>
      </c>
      <c r="S102" s="30">
        <f t="shared" si="8"/>
        <v>1.381923398</v>
      </c>
      <c r="T102" s="30">
        <f t="shared" ref="T102:U102" si="256">((F101+F102)/2)*T$25*($C102-$C101)</f>
        <v>0.3946027873</v>
      </c>
      <c r="U102" s="30">
        <f t="shared" si="256"/>
        <v>0.1256909792</v>
      </c>
      <c r="V102" s="30">
        <f t="shared" si="29"/>
        <v>0.4091057727</v>
      </c>
      <c r="W102" s="30">
        <f t="shared" ref="W102:X102" si="257">((I101+I102)/2)*W$25*($C102-$C101)</f>
        <v>0.4327112634</v>
      </c>
      <c r="X102" s="30">
        <f t="shared" si="257"/>
        <v>2.167162595</v>
      </c>
      <c r="Y102" s="30">
        <f t="shared" si="31"/>
        <v>2.577398887</v>
      </c>
      <c r="Z102" s="30">
        <f>(L102-OFFSET(L102,-IF(C102-C101&gt;i_Cos_Days,1,MIN(B102,i_Cos_Days)),0))*MIN(i_Cos_Days,($C102-$C101))</f>
        <v>0</v>
      </c>
      <c r="AA102" s="30">
        <f t="shared" si="32"/>
        <v>9.784929682</v>
      </c>
      <c r="AB102" s="30">
        <f t="shared" si="33"/>
        <v>5.690113658</v>
      </c>
      <c r="AC102" s="30">
        <f t="shared" si="34"/>
        <v>0.6941199581</v>
      </c>
      <c r="AD102" s="30">
        <f t="shared" si="35"/>
        <v>0</v>
      </c>
      <c r="AE102" s="6"/>
      <c r="AF102" s="30">
        <f t="shared" si="11"/>
        <v>0.9744145696</v>
      </c>
      <c r="AG102" s="30" t="str">
        <f>MIN(1,SUM(OFFSET(E102,0,0,-i_Eve_ECG,1)))</f>
        <v>#VALUE!</v>
      </c>
      <c r="AH102" s="30" t="str">
        <f t="shared" si="12"/>
        <v>#VALUE!</v>
      </c>
      <c r="AI102" s="30" t="str">
        <f t="shared" si="13"/>
        <v>#VALUE!</v>
      </c>
      <c r="AJ102" s="30" t="str">
        <f>(AH102*(i_Adv_Fals/i_Adv_Alar))*AJ$25</f>
        <v>#VALUE!</v>
      </c>
      <c r="AK102" s="30" t="str">
        <f>(AH102*(i_Adv_Lead/i_Adv_Alar))*AK$25</f>
        <v>#VALUE!</v>
      </c>
      <c r="AL102" s="30">
        <f>((SUM(F101:J101)-((I101+J101)*(1-i_Bac_ICU)))+(SUM(F102:J102)-((I102+J102)*(1-i_Bac_ICU))))/2*(C102-C101)</f>
        <v>0.000531767592</v>
      </c>
      <c r="AM102" s="30">
        <f>(((I101+J101)*(1-i_Bac_ICU))+((I102+J102)*(1-i_Bac_ICU))+K101+E101+E102+K102)/2*(C102-C101)</f>
        <v>0.002180659858</v>
      </c>
      <c r="AN102" s="6"/>
      <c r="AO102" s="6"/>
      <c r="AP102" s="6"/>
      <c r="AQ102" s="6"/>
      <c r="AR102" s="6"/>
      <c r="AS102" s="6"/>
      <c r="AT102" s="6"/>
      <c r="AU102" s="6"/>
    </row>
    <row r="103" ht="14.25" customHeight="1">
      <c r="B103" s="26">
        <f t="shared" ref="B103:C103" si="258">B102+1</f>
        <v>77</v>
      </c>
      <c r="C103" s="26">
        <f t="shared" si="258"/>
        <v>77</v>
      </c>
      <c r="D103" s="26">
        <f t="shared" si="7"/>
        <v>0.2</v>
      </c>
      <c r="E103" s="28">
        <f t="shared" si="15"/>
        <v>0.0001348865796</v>
      </c>
      <c r="F103" s="28">
        <f t="shared" si="16"/>
        <v>0.0001198754919</v>
      </c>
      <c r="G103" s="28">
        <f t="shared" si="17"/>
        <v>0.0000381832702</v>
      </c>
      <c r="H103" s="28">
        <f t="shared" si="18"/>
        <v>0.0001601276223</v>
      </c>
      <c r="I103" s="28">
        <f t="shared" si="19"/>
        <v>0.0001792557537</v>
      </c>
      <c r="J103" s="28">
        <f t="shared" si="20"/>
        <v>0.0009258605226</v>
      </c>
      <c r="K103" s="28">
        <f t="shared" si="21"/>
        <v>0.001075245123</v>
      </c>
      <c r="L103" s="28">
        <f t="shared" si="22"/>
        <v>0.9357949606</v>
      </c>
      <c r="M103" s="28">
        <f t="shared" si="23"/>
        <v>0.02218082496</v>
      </c>
      <c r="N103" s="28">
        <f t="shared" si="24"/>
        <v>0.005450587308</v>
      </c>
      <c r="O103" s="28">
        <f t="shared" si="25"/>
        <v>0.003988731357</v>
      </c>
      <c r="P103" s="28">
        <f t="shared" si="26"/>
        <v>0.02995146142</v>
      </c>
      <c r="R103" s="26">
        <f t="shared" si="27"/>
        <v>1</v>
      </c>
      <c r="S103" s="30">
        <f t="shared" si="8"/>
        <v>1.381784865</v>
      </c>
      <c r="T103" s="30">
        <f t="shared" ref="T103:U103" si="259">((F102+F103)/2)*T$25*($C103-$C102)</f>
        <v>0.394562596</v>
      </c>
      <c r="U103" s="30">
        <f t="shared" si="259"/>
        <v>0.1256779356</v>
      </c>
      <c r="V103" s="30">
        <f t="shared" si="29"/>
        <v>0.4070250356</v>
      </c>
      <c r="W103" s="30">
        <f t="shared" ref="W103:X103" si="260">((I102+I103)/2)*W$25*($C103-$C102)</f>
        <v>0.4107747336</v>
      </c>
      <c r="X103" s="30">
        <f t="shared" si="260"/>
        <v>2.099818606</v>
      </c>
      <c r="Y103" s="30">
        <f t="shared" si="31"/>
        <v>2.548692794</v>
      </c>
      <c r="Z103" s="30">
        <f>(L103-OFFSET(L103,-IF(C103-C102&gt;i_Cos_Days,1,MIN(B103,i_Cos_Days)),0))*MIN(i_Cos_Days,($C103-$C102))</f>
        <v>0</v>
      </c>
      <c r="AA103" s="30">
        <f t="shared" si="32"/>
        <v>9.476678094</v>
      </c>
      <c r="AB103" s="30">
        <f t="shared" si="33"/>
        <v>5.689862999</v>
      </c>
      <c r="AC103" s="30">
        <f t="shared" si="34"/>
        <v>0.694089381</v>
      </c>
      <c r="AD103" s="30">
        <f t="shared" si="35"/>
        <v>0</v>
      </c>
      <c r="AE103" s="6"/>
      <c r="AF103" s="30">
        <f t="shared" si="11"/>
        <v>0.9751857407</v>
      </c>
      <c r="AG103" s="30" t="str">
        <f>MIN(1,SUM(OFFSET(E103,0,0,-i_Eve_ECG,1)))</f>
        <v>#VALUE!</v>
      </c>
      <c r="AH103" s="30" t="str">
        <f t="shared" si="12"/>
        <v>#VALUE!</v>
      </c>
      <c r="AI103" s="30" t="str">
        <f t="shared" si="13"/>
        <v>#VALUE!</v>
      </c>
      <c r="AJ103" s="30" t="str">
        <f>(AH103*(i_Adv_Fals/i_Adv_Alar))*AJ$25</f>
        <v>#VALUE!</v>
      </c>
      <c r="AK103" s="30" t="str">
        <f>(AH103*(i_Adv_Lead/i_Adv_Alar))*AK$25</f>
        <v>#VALUE!</v>
      </c>
      <c r="AL103" s="30">
        <f>((SUM(F102:J102)-((I102+J102)*(1-i_Bac_ICU)))+(SUM(F103:J103)-((I103+J103)*(1-i_Bac_ICU))))/2*(C103-C102)</f>
        <v>0.000523639137</v>
      </c>
      <c r="AM103" s="30">
        <f>(((I102+J102)*(1-i_Bac_ICU))+((I103+J103)*(1-i_Bac_ICU))+K102+E102+E103+K103)/2*(C103-C102)</f>
        <v>0.002135763559</v>
      </c>
      <c r="AN103" s="6"/>
      <c r="AO103" s="6"/>
      <c r="AP103" s="6"/>
      <c r="AQ103" s="6"/>
      <c r="AR103" s="6"/>
      <c r="AS103" s="6"/>
      <c r="AT103" s="6"/>
      <c r="AU103" s="6"/>
    </row>
    <row r="104" ht="14.25" customHeight="1">
      <c r="B104" s="26">
        <f t="shared" ref="B104:C104" si="261">B103+1</f>
        <v>78</v>
      </c>
      <c r="C104" s="26">
        <f t="shared" si="261"/>
        <v>78</v>
      </c>
      <c r="D104" s="26">
        <f t="shared" si="7"/>
        <v>0.2</v>
      </c>
      <c r="E104" s="28">
        <f t="shared" si="15"/>
        <v>0.0001348731926</v>
      </c>
      <c r="F104" s="28">
        <f t="shared" si="16"/>
        <v>0.0001198634741</v>
      </c>
      <c r="G104" s="28">
        <f t="shared" si="17"/>
        <v>0.00003817937398</v>
      </c>
      <c r="H104" s="28">
        <f t="shared" si="18"/>
        <v>0.0001593577314</v>
      </c>
      <c r="I104" s="28">
        <f t="shared" si="19"/>
        <v>0.000170272047</v>
      </c>
      <c r="J104" s="28">
        <f t="shared" si="20"/>
        <v>0.0008971391213</v>
      </c>
      <c r="K104" s="28">
        <f t="shared" si="21"/>
        <v>0.001063889708</v>
      </c>
      <c r="L104" s="28">
        <f t="shared" si="22"/>
        <v>0.9364427789</v>
      </c>
      <c r="M104" s="28">
        <f t="shared" si="23"/>
        <v>0.02148844627</v>
      </c>
      <c r="N104" s="28">
        <f t="shared" si="24"/>
        <v>0.005464305141</v>
      </c>
      <c r="O104" s="28">
        <f t="shared" si="25"/>
        <v>0.00399137018</v>
      </c>
      <c r="P104" s="28">
        <f t="shared" si="26"/>
        <v>0.03002952484</v>
      </c>
      <c r="R104" s="26">
        <f t="shared" si="27"/>
        <v>1</v>
      </c>
      <c r="S104" s="30">
        <f t="shared" si="8"/>
        <v>1.381647729</v>
      </c>
      <c r="T104" s="30">
        <f t="shared" ref="T104:U104" si="262">((F103+F104)/2)*T$25*($C104-$C103)</f>
        <v>0.3945228332</v>
      </c>
      <c r="U104" s="30">
        <f t="shared" si="262"/>
        <v>0.12566504</v>
      </c>
      <c r="V104" s="30">
        <f t="shared" si="29"/>
        <v>0.405030752</v>
      </c>
      <c r="W104" s="30">
        <f t="shared" ref="W104:X104" si="263">((I103+I104)/2)*W$25*($C104-$C103)</f>
        <v>0.3901063198</v>
      </c>
      <c r="X104" s="30">
        <f t="shared" si="263"/>
        <v>2.034641252</v>
      </c>
      <c r="Y104" s="30">
        <f t="shared" si="31"/>
        <v>2.52129127</v>
      </c>
      <c r="Z104" s="30">
        <f>(L104-OFFSET(L104,-IF(C104-C103&gt;i_Cos_Days,1,MIN(B104,i_Cos_Days)),0))*MIN(i_Cos_Days,($C104-$C103))</f>
        <v>0</v>
      </c>
      <c r="AA104" s="30">
        <f t="shared" si="32"/>
        <v>9.179935851</v>
      </c>
      <c r="AB104" s="30">
        <f t="shared" si="33"/>
        <v>5.689605182</v>
      </c>
      <c r="AC104" s="30">
        <f t="shared" si="34"/>
        <v>0.6940579306</v>
      </c>
      <c r="AD104" s="30">
        <f t="shared" si="35"/>
        <v>0</v>
      </c>
      <c r="AE104" s="6"/>
      <c r="AF104" s="30">
        <f t="shared" si="11"/>
        <v>0.9759279791</v>
      </c>
      <c r="AG104" s="30" t="str">
        <f>MIN(1,SUM(OFFSET(E104,0,0,-i_Eve_ECG,1)))</f>
        <v>#VALUE!</v>
      </c>
      <c r="AH104" s="30" t="str">
        <f t="shared" si="12"/>
        <v>#VALUE!</v>
      </c>
      <c r="AI104" s="30" t="str">
        <f t="shared" si="13"/>
        <v>#VALUE!</v>
      </c>
      <c r="AJ104" s="30" t="str">
        <f>(AH104*(i_Adv_Fals/i_Adv_Alar))*AJ$25</f>
        <v>#VALUE!</v>
      </c>
      <c r="AK104" s="30" t="str">
        <f>(AH104*(i_Adv_Lead/i_Adv_Alar))*AK$25</f>
        <v>#VALUE!</v>
      </c>
      <c r="AL104" s="30">
        <f>((SUM(F103:J103)-((I103+J103)*(1-i_Bac_ICU)))+(SUM(F104:J104)-((I104+J104)*(1-i_Bac_ICU))))/2*(C104-C103)</f>
        <v>0.0005158254742</v>
      </c>
      <c r="AM104" s="30">
        <f>(((I103+J103)*(1-i_Bac_ICU))+((I104+J104)*(1-i_Bac_ICU))+K103+E103+E104+K104)/2*(C104-C103)</f>
        <v>0.002092679032</v>
      </c>
      <c r="AN104" s="6"/>
      <c r="AO104" s="6"/>
      <c r="AP104" s="6"/>
      <c r="AQ104" s="6"/>
      <c r="AR104" s="6"/>
      <c r="AS104" s="6"/>
      <c r="AT104" s="6"/>
      <c r="AU104" s="6"/>
    </row>
    <row r="105" ht="14.25" customHeight="1">
      <c r="B105" s="26">
        <f t="shared" ref="B105:C105" si="264">B104+1</f>
        <v>79</v>
      </c>
      <c r="C105" s="26">
        <f t="shared" si="264"/>
        <v>79</v>
      </c>
      <c r="D105" s="26">
        <f t="shared" si="7"/>
        <v>0.2</v>
      </c>
      <c r="E105" s="28">
        <f t="shared" si="15"/>
        <v>0.0001348599357</v>
      </c>
      <c r="F105" s="28">
        <f t="shared" si="16"/>
        <v>0.0001198515775</v>
      </c>
      <c r="G105" s="28">
        <f t="shared" si="17"/>
        <v>0.00003817551955</v>
      </c>
      <c r="H105" s="28">
        <f t="shared" si="18"/>
        <v>0.0001586196104</v>
      </c>
      <c r="I105" s="28">
        <f t="shared" si="19"/>
        <v>0.0001618073828</v>
      </c>
      <c r="J105" s="28">
        <f t="shared" si="20"/>
        <v>0.0008693420302</v>
      </c>
      <c r="K105" s="28">
        <f t="shared" si="21"/>
        <v>0.001053042132</v>
      </c>
      <c r="L105" s="28">
        <f t="shared" si="22"/>
        <v>0.9370636423</v>
      </c>
      <c r="M105" s="28">
        <f t="shared" si="23"/>
        <v>0.02082192264</v>
      </c>
      <c r="N105" s="28">
        <f t="shared" si="24"/>
        <v>0.00547743916</v>
      </c>
      <c r="O105" s="28">
        <f t="shared" si="25"/>
        <v>0.003993820455</v>
      </c>
      <c r="P105" s="28">
        <f t="shared" si="26"/>
        <v>0.03010747723</v>
      </c>
      <c r="R105" s="26">
        <f t="shared" si="27"/>
        <v>1</v>
      </c>
      <c r="S105" s="30">
        <f t="shared" si="8"/>
        <v>1.381511924</v>
      </c>
      <c r="T105" s="30">
        <f t="shared" ref="T105:U105" si="265">((F104+F105)/2)*T$25*($C105-$C104)</f>
        <v>0.3944834788</v>
      </c>
      <c r="U105" s="30">
        <f t="shared" si="265"/>
        <v>0.1256522852</v>
      </c>
      <c r="V105" s="30">
        <f t="shared" si="29"/>
        <v>0.4031189549</v>
      </c>
      <c r="W105" s="30">
        <f t="shared" ref="W105:X105" si="266">((I104+I105)/2)*W$25*($C105-$C104)</f>
        <v>0.3706322758</v>
      </c>
      <c r="X105" s="30">
        <f t="shared" si="266"/>
        <v>1.971561231</v>
      </c>
      <c r="Y105" s="30">
        <f t="shared" si="31"/>
        <v>2.495121713</v>
      </c>
      <c r="Z105" s="30">
        <f>(L105-OFFSET(L105,-IF(C105-C104&gt;i_Cos_Days,1,MIN(B105,i_Cos_Days)),0))*MIN(i_Cos_Days,($C105-$C104))</f>
        <v>0</v>
      </c>
      <c r="AA105" s="30">
        <f t="shared" si="32"/>
        <v>8.8942742</v>
      </c>
      <c r="AB105" s="30">
        <f t="shared" si="33"/>
        <v>5.68934053</v>
      </c>
      <c r="AC105" s="30">
        <f t="shared" si="34"/>
        <v>0.6940256464</v>
      </c>
      <c r="AD105" s="30">
        <f t="shared" si="35"/>
        <v>0</v>
      </c>
      <c r="AE105" s="6"/>
      <c r="AF105" s="30">
        <f t="shared" si="11"/>
        <v>0.9766423792</v>
      </c>
      <c r="AG105" s="30" t="str">
        <f>MIN(1,SUM(OFFSET(E105,0,0,-i_Eve_ECG,1)))</f>
        <v>#VALUE!</v>
      </c>
      <c r="AH105" s="30" t="str">
        <f t="shared" si="12"/>
        <v>#VALUE!</v>
      </c>
      <c r="AI105" s="30" t="str">
        <f t="shared" si="13"/>
        <v>#VALUE!</v>
      </c>
      <c r="AJ105" s="30" t="str">
        <f>(AH105*(i_Adv_Fals/i_Adv_Alar))*AJ$25</f>
        <v>#VALUE!</v>
      </c>
      <c r="AK105" s="30" t="str">
        <f>(AH105*(i_Adv_Lead/i_Adv_Alar))*AK$25</f>
        <v>#VALUE!</v>
      </c>
      <c r="AL105" s="30">
        <f>((SUM(F104:J104)-((I104+J104)*(1-i_Bac_ICU)))+(SUM(F105:J105)-((I105+J105)*(1-i_Bac_ICU))))/2*(C105-C104)</f>
        <v>0.0005083133479</v>
      </c>
      <c r="AM105" s="30">
        <f>(((I104+J104)*(1-i_Bac_ICU))+((I105+J105)*(1-i_Bac_ICU))+K104+E104+E105+K105)/2*(C105-C104)</f>
        <v>0.00205132307</v>
      </c>
      <c r="AN105" s="6"/>
      <c r="AO105" s="6"/>
      <c r="AP105" s="6"/>
      <c r="AQ105" s="6"/>
      <c r="AR105" s="6"/>
      <c r="AS105" s="6"/>
      <c r="AT105" s="6"/>
      <c r="AU105" s="6"/>
    </row>
    <row r="106" ht="14.25" customHeight="1">
      <c r="B106" s="26">
        <f t="shared" ref="B106:C106" si="267">B105+1</f>
        <v>80</v>
      </c>
      <c r="C106" s="26">
        <f t="shared" si="267"/>
        <v>80</v>
      </c>
      <c r="D106" s="26">
        <f t="shared" si="7"/>
        <v>0.2</v>
      </c>
      <c r="E106" s="28">
        <f t="shared" si="15"/>
        <v>0.0001348468028</v>
      </c>
      <c r="F106" s="28">
        <f t="shared" si="16"/>
        <v>0.0001198397964</v>
      </c>
      <c r="G106" s="28">
        <f t="shared" si="17"/>
        <v>0.00003817170499</v>
      </c>
      <c r="H106" s="28">
        <f t="shared" si="18"/>
        <v>0.0001579118098</v>
      </c>
      <c r="I106" s="28">
        <f t="shared" si="19"/>
        <v>0.0001538315803</v>
      </c>
      <c r="J106" s="28">
        <f t="shared" si="20"/>
        <v>0.0008424396631</v>
      </c>
      <c r="K106" s="28">
        <f t="shared" si="21"/>
        <v>0.001042675034</v>
      </c>
      <c r="L106" s="28">
        <f t="shared" si="22"/>
        <v>0.9376585625</v>
      </c>
      <c r="M106" s="28">
        <f t="shared" si="23"/>
        <v>0.02018029041</v>
      </c>
      <c r="N106" s="28">
        <f t="shared" si="24"/>
        <v>0.005490013456</v>
      </c>
      <c r="O106" s="28">
        <f t="shared" si="25"/>
        <v>0.003996094453</v>
      </c>
      <c r="P106" s="28">
        <f t="shared" si="26"/>
        <v>0.03018532278</v>
      </c>
      <c r="R106" s="26">
        <f t="shared" si="27"/>
        <v>1</v>
      </c>
      <c r="S106" s="30">
        <f t="shared" si="8"/>
        <v>1.38137739</v>
      </c>
      <c r="T106" s="30">
        <f t="shared" ref="T106:U106" si="268">((F105+F106)/2)*T$25*($C106-$C105)</f>
        <v>0.3944445141</v>
      </c>
      <c r="U106" s="30">
        <f t="shared" si="268"/>
        <v>0.1256396649</v>
      </c>
      <c r="V106" s="30">
        <f t="shared" si="29"/>
        <v>0.4012858733</v>
      </c>
      <c r="W106" s="30">
        <f t="shared" ref="W106:X106" si="269">((I105+I106)/2)*W$25*($C106-$C105)</f>
        <v>0.352283149</v>
      </c>
      <c r="X106" s="30">
        <f t="shared" si="269"/>
        <v>1.910511425</v>
      </c>
      <c r="Y106" s="30">
        <f t="shared" si="31"/>
        <v>2.470117038</v>
      </c>
      <c r="Z106" s="30">
        <f>(L106-OFFSET(L106,-IF(C106-C105&gt;i_Cos_Days,1,MIN(B106,i_Cos_Days)),0))*MIN(i_Cos_Days,($C106-$C105))</f>
        <v>0</v>
      </c>
      <c r="AA106" s="30">
        <f t="shared" si="32"/>
        <v>8.619280216</v>
      </c>
      <c r="AB106" s="30">
        <f t="shared" si="33"/>
        <v>5.689069345</v>
      </c>
      <c r="AC106" s="30">
        <f t="shared" si="34"/>
        <v>0.6939925654</v>
      </c>
      <c r="AD106" s="30">
        <f t="shared" si="35"/>
        <v>0</v>
      </c>
      <c r="AE106" s="6"/>
      <c r="AF106" s="30">
        <f t="shared" si="11"/>
        <v>0.9773299932</v>
      </c>
      <c r="AG106" s="30" t="str">
        <f>MIN(1,SUM(OFFSET(E106,0,0,-i_Eve_ECG,1)))</f>
        <v>#VALUE!</v>
      </c>
      <c r="AH106" s="30" t="str">
        <f t="shared" si="12"/>
        <v>#VALUE!</v>
      </c>
      <c r="AI106" s="30" t="str">
        <f t="shared" si="13"/>
        <v>#VALUE!</v>
      </c>
      <c r="AJ106" s="30" t="str">
        <f>(AH106*(i_Adv_Fals/i_Adv_Alar))*AJ$25</f>
        <v>#VALUE!</v>
      </c>
      <c r="AK106" s="30" t="str">
        <f>(AH106*(i_Adv_Lead/i_Adv_Alar))*AK$25</f>
        <v>#VALUE!</v>
      </c>
      <c r="AL106" s="30">
        <f>((SUM(F105:J105)-((I105+J105)*(1-i_Bac_ICU)))+(SUM(F106:J106)-((I106+J106)*(1-i_Bac_ICU))))/2*(C106-C105)</f>
        <v>0.0005010901094</v>
      </c>
      <c r="AM106" s="30">
        <f>(((I105+J105)*(1-i_Bac_ICU))+((I106+J106)*(1-i_Bac_ICU))+K105+E105+E106+K106)/2*(C106-C105)</f>
        <v>0.00201161718</v>
      </c>
      <c r="AN106" s="6"/>
      <c r="AO106" s="6"/>
      <c r="AP106" s="6"/>
      <c r="AQ106" s="6"/>
      <c r="AR106" s="6"/>
      <c r="AS106" s="6"/>
      <c r="AT106" s="6"/>
      <c r="AU106" s="6"/>
    </row>
    <row r="107" ht="14.25" customHeight="1">
      <c r="B107" s="26">
        <f t="shared" ref="B107:C107" si="270">B106+1</f>
        <v>81</v>
      </c>
      <c r="C107" s="26">
        <f t="shared" si="270"/>
        <v>81</v>
      </c>
      <c r="D107" s="26">
        <f t="shared" si="7"/>
        <v>0.2</v>
      </c>
      <c r="E107" s="28">
        <f t="shared" si="15"/>
        <v>0.0001348337883</v>
      </c>
      <c r="F107" s="28">
        <f t="shared" si="16"/>
        <v>0.0001198281256</v>
      </c>
      <c r="G107" s="28">
        <f t="shared" si="17"/>
        <v>0.00003816792843</v>
      </c>
      <c r="H107" s="28">
        <f t="shared" si="18"/>
        <v>0.0001572329513</v>
      </c>
      <c r="I107" s="28">
        <f t="shared" si="19"/>
        <v>0.0001463162164</v>
      </c>
      <c r="J107" s="28">
        <f t="shared" si="20"/>
        <v>0.0008164033683</v>
      </c>
      <c r="K107" s="28">
        <f t="shared" si="21"/>
        <v>0.001032763024</v>
      </c>
      <c r="L107" s="28">
        <f t="shared" si="22"/>
        <v>0.9382285128</v>
      </c>
      <c r="M107" s="28">
        <f t="shared" si="23"/>
        <v>0.01956262155</v>
      </c>
      <c r="N107" s="28">
        <f t="shared" si="24"/>
        <v>0.005502051128</v>
      </c>
      <c r="O107" s="28">
        <f t="shared" si="25"/>
        <v>0.003998203639</v>
      </c>
      <c r="P107" s="28">
        <f t="shared" si="26"/>
        <v>0.0302630655</v>
      </c>
      <c r="R107" s="26">
        <f t="shared" si="27"/>
        <v>1</v>
      </c>
      <c r="S107" s="30">
        <f t="shared" si="8"/>
        <v>1.381244069</v>
      </c>
      <c r="T107" s="30">
        <f t="shared" ref="T107:U107" si="271">((F106+F107)/2)*T$25*($C107-$C106)</f>
        <v>0.3944059209</v>
      </c>
      <c r="U107" s="30">
        <f t="shared" si="271"/>
        <v>0.1256271726</v>
      </c>
      <c r="V107" s="30">
        <f t="shared" si="29"/>
        <v>0.3995279223</v>
      </c>
      <c r="W107" s="30">
        <f t="shared" ref="W107:X107" si="272">((I106+I107)/2)*W$25*($C107-$C106)</f>
        <v>0.3349935316</v>
      </c>
      <c r="X107" s="30">
        <f t="shared" si="272"/>
        <v>1.851426836</v>
      </c>
      <c r="Y107" s="30">
        <f t="shared" si="31"/>
        <v>2.446215067</v>
      </c>
      <c r="Z107" s="30">
        <f>(L107-OFFSET(L107,-IF(C107-C106&gt;i_Cos_Days,1,MIN(B107,i_Cos_Days)),0))*MIN(i_Cos_Days,($C107-$C106))</f>
        <v>0</v>
      </c>
      <c r="AA107" s="30">
        <f t="shared" si="32"/>
        <v>8.354556236</v>
      </c>
      <c r="AB107" s="30">
        <f t="shared" si="33"/>
        <v>5.688791913</v>
      </c>
      <c r="AC107" s="30">
        <f t="shared" si="34"/>
        <v>0.6939587223</v>
      </c>
      <c r="AD107" s="30">
        <f t="shared" si="35"/>
        <v>0</v>
      </c>
      <c r="AE107" s="6"/>
      <c r="AF107" s="30">
        <f t="shared" si="11"/>
        <v>0.9779918331</v>
      </c>
      <c r="AG107" s="30" t="str">
        <f>MIN(1,SUM(OFFSET(E107,0,0,-i_Eve_ECG,1)))</f>
        <v>#VALUE!</v>
      </c>
      <c r="AH107" s="30" t="str">
        <f t="shared" si="12"/>
        <v>#VALUE!</v>
      </c>
      <c r="AI107" s="30" t="str">
        <f t="shared" si="13"/>
        <v>#VALUE!</v>
      </c>
      <c r="AJ107" s="30" t="str">
        <f>(AH107*(i_Adv_Fals/i_Adv_Alar))*AJ$25</f>
        <v>#VALUE!</v>
      </c>
      <c r="AK107" s="30" t="str">
        <f>(AH107*(i_Adv_Lead/i_Adv_Alar))*AK$25</f>
        <v>#VALUE!</v>
      </c>
      <c r="AL107" s="30">
        <f>((SUM(F106:J106)-((I106+J106)*(1-i_Bac_ICU)))+(SUM(F107:J107)-((I107+J107)*(1-i_Bac_ICU))))/2*(C107-C106)</f>
        <v>0.0004941436868</v>
      </c>
      <c r="AM107" s="30">
        <f>(((I106+J106)*(1-i_Bac_ICU))+((I107+J107)*(1-i_Bac_ICU))+K106+E106+E107+K107)/2*(C107-C106)</f>
        <v>0.00197348721</v>
      </c>
      <c r="AN107" s="6"/>
      <c r="AO107" s="6"/>
      <c r="AP107" s="6"/>
      <c r="AQ107" s="6"/>
      <c r="AR107" s="6"/>
      <c r="AS107" s="6"/>
      <c r="AT107" s="6"/>
      <c r="AU107" s="6"/>
    </row>
    <row r="108" ht="14.25" customHeight="1">
      <c r="B108" s="26">
        <f t="shared" ref="B108:C108" si="273">B107+1</f>
        <v>82</v>
      </c>
      <c r="C108" s="26">
        <f t="shared" si="273"/>
        <v>82</v>
      </c>
      <c r="D108" s="26">
        <f t="shared" si="7"/>
        <v>0.2</v>
      </c>
      <c r="E108" s="28">
        <f t="shared" si="15"/>
        <v>0.0001348208866</v>
      </c>
      <c r="F108" s="28">
        <f t="shared" si="16"/>
        <v>0.00011981656</v>
      </c>
      <c r="G108" s="28">
        <f t="shared" si="17"/>
        <v>0.00003816418813</v>
      </c>
      <c r="H108" s="28">
        <f t="shared" si="18"/>
        <v>0.0001565817245</v>
      </c>
      <c r="I108" s="28">
        <f t="shared" si="19"/>
        <v>0.000139234524</v>
      </c>
      <c r="J108" s="28">
        <f t="shared" si="20"/>
        <v>0.0007912054005</v>
      </c>
      <c r="K108" s="28">
        <f t="shared" si="21"/>
        <v>0.001023282472</v>
      </c>
      <c r="L108" s="28">
        <f t="shared" si="22"/>
        <v>0.9387744296</v>
      </c>
      <c r="M108" s="28">
        <f t="shared" si="23"/>
        <v>0.01896802239</v>
      </c>
      <c r="N108" s="28">
        <f t="shared" si="24"/>
        <v>0.005513574321</v>
      </c>
      <c r="O108" s="28">
        <f t="shared" si="25"/>
        <v>0.004000158725</v>
      </c>
      <c r="P108" s="28">
        <f t="shared" si="26"/>
        <v>0.03034070922</v>
      </c>
      <c r="R108" s="26">
        <f t="shared" si="27"/>
        <v>1</v>
      </c>
      <c r="S108" s="30">
        <f t="shared" si="8"/>
        <v>1.381111904</v>
      </c>
      <c r="T108" s="30">
        <f t="shared" ref="T108:U108" si="274">((F107+F108)/2)*T$25*($C108-$C107)</f>
        <v>0.3943676823</v>
      </c>
      <c r="U108" s="30">
        <f t="shared" si="274"/>
        <v>0.1256148026</v>
      </c>
      <c r="V108" s="30">
        <f t="shared" si="29"/>
        <v>0.3978416933</v>
      </c>
      <c r="W108" s="30">
        <f t="shared" ref="W108:X108" si="275">((I107+I108)/2)*W$25*($C108-$C107)</f>
        <v>0.3187018264</v>
      </c>
      <c r="X108" s="30">
        <f t="shared" si="275"/>
        <v>1.794244518</v>
      </c>
      <c r="Y108" s="30">
        <f t="shared" si="31"/>
        <v>2.423358024</v>
      </c>
      <c r="Z108" s="30">
        <f>(L108-OFFSET(L108,-IF(C108-C107&gt;i_Cos_Days,1,MIN(B108,i_Cos_Days)),0))*MIN(i_Cos_Days,($C108-$C107))</f>
        <v>0</v>
      </c>
      <c r="AA108" s="30">
        <f t="shared" si="32"/>
        <v>8.099719315</v>
      </c>
      <c r="AB108" s="30">
        <f t="shared" si="33"/>
        <v>5.688508503</v>
      </c>
      <c r="AC108" s="30">
        <f t="shared" si="34"/>
        <v>0.69392415</v>
      </c>
      <c r="AD108" s="30">
        <f t="shared" si="35"/>
        <v>0</v>
      </c>
      <c r="AE108" s="6"/>
      <c r="AF108" s="30">
        <f t="shared" si="11"/>
        <v>0.9786288719</v>
      </c>
      <c r="AG108" s="30" t="str">
        <f>MIN(1,SUM(OFFSET(E108,0,0,-i_Eve_ECG,1)))</f>
        <v>#VALUE!</v>
      </c>
      <c r="AH108" s="30" t="str">
        <f t="shared" si="12"/>
        <v>#VALUE!</v>
      </c>
      <c r="AI108" s="30" t="str">
        <f t="shared" si="13"/>
        <v>#VALUE!</v>
      </c>
      <c r="AJ108" s="30" t="str">
        <f>(AH108*(i_Adv_Fals/i_Adv_Alar))*AJ$25</f>
        <v>#VALUE!</v>
      </c>
      <c r="AK108" s="30" t="str">
        <f>(AH108*(i_Adv_Lead/i_Adv_Alar))*AK$25</f>
        <v>#VALUE!</v>
      </c>
      <c r="AL108" s="30">
        <f>((SUM(F107:J107)-((I107+J107)*(1-i_Bac_ICU)))+(SUM(F108:J108)-((I108+J108)*(1-i_Bac_ICU))))/2*(C108-C107)</f>
        <v>0.0004874625575</v>
      </c>
      <c r="AM108" s="30">
        <f>(((I107+J107)*(1-i_Bac_ICU))+((I108+J108)*(1-i_Bac_ICU))+K107+E107+E108+K108)/2*(C108-C107)</f>
        <v>0.001936863022</v>
      </c>
      <c r="AN108" s="6"/>
      <c r="AO108" s="6"/>
      <c r="AP108" s="6"/>
      <c r="AQ108" s="6"/>
      <c r="AR108" s="6"/>
      <c r="AS108" s="6"/>
      <c r="AT108" s="6"/>
      <c r="AU108" s="6"/>
    </row>
    <row r="109" ht="14.25" customHeight="1">
      <c r="B109" s="26">
        <f t="shared" ref="B109:C109" si="276">B108+1</f>
        <v>83</v>
      </c>
      <c r="C109" s="26">
        <f t="shared" si="276"/>
        <v>83</v>
      </c>
      <c r="D109" s="26">
        <f t="shared" si="7"/>
        <v>0.2</v>
      </c>
      <c r="E109" s="28">
        <f t="shared" si="15"/>
        <v>0.0001348080928</v>
      </c>
      <c r="F109" s="28">
        <f t="shared" si="16"/>
        <v>0.0001198050948</v>
      </c>
      <c r="G109" s="28">
        <f t="shared" si="17"/>
        <v>0.00003816048242</v>
      </c>
      <c r="H109" s="28">
        <f t="shared" si="18"/>
        <v>0.0001559568831</v>
      </c>
      <c r="I109" s="28">
        <f t="shared" si="19"/>
        <v>0.0001325612961</v>
      </c>
      <c r="J109" s="28">
        <f t="shared" si="20"/>
        <v>0.0007668188933</v>
      </c>
      <c r="K109" s="28">
        <f t="shared" si="21"/>
        <v>0.00101421134</v>
      </c>
      <c r="L109" s="28">
        <f t="shared" si="22"/>
        <v>0.9392972139</v>
      </c>
      <c r="M109" s="28">
        <f t="shared" si="23"/>
        <v>0.01839563239</v>
      </c>
      <c r="N109" s="28">
        <f t="shared" si="24"/>
        <v>0.005524604268</v>
      </c>
      <c r="O109" s="28">
        <f t="shared" si="25"/>
        <v>0.004001969723</v>
      </c>
      <c r="P109" s="28">
        <f t="shared" si="26"/>
        <v>0.03041825759</v>
      </c>
      <c r="R109" s="26">
        <f t="shared" si="27"/>
        <v>1</v>
      </c>
      <c r="S109" s="30">
        <f t="shared" si="8"/>
        <v>1.380980843</v>
      </c>
      <c r="T109" s="30">
        <f t="shared" ref="T109:U109" si="277">((F108+F109)/2)*T$25*($C109-$C108)</f>
        <v>0.3943297819</v>
      </c>
      <c r="U109" s="30">
        <f t="shared" si="277"/>
        <v>0.1256025492</v>
      </c>
      <c r="V109" s="30">
        <f t="shared" si="29"/>
        <v>0.3962239451</v>
      </c>
      <c r="W109" s="30">
        <f t="shared" ref="W109:X109" si="278">((I108+I109)/2)*W$25*($C109-$C108)</f>
        <v>0.3033500251</v>
      </c>
      <c r="X109" s="30">
        <f t="shared" si="278"/>
        <v>1.738903521</v>
      </c>
      <c r="Y109" s="30">
        <f t="shared" si="31"/>
        <v>2.401492083</v>
      </c>
      <c r="Z109" s="30">
        <f>(L109-OFFSET(L109,-IF(C109-C108&gt;i_Cos_Days,1,MIN(B109,i_Cos_Days)),0))*MIN(i_Cos_Days,($C109-$C108))</f>
        <v>0</v>
      </c>
      <c r="AA109" s="30">
        <f t="shared" si="32"/>
        <v>7.854400689</v>
      </c>
      <c r="AB109" s="30">
        <f t="shared" si="33"/>
        <v>5.688219369</v>
      </c>
      <c r="AC109" s="30">
        <f t="shared" si="34"/>
        <v>0.6938888794</v>
      </c>
      <c r="AD109" s="30">
        <f t="shared" si="35"/>
        <v>0</v>
      </c>
      <c r="AE109" s="6"/>
      <c r="AF109" s="30">
        <f t="shared" si="11"/>
        <v>0.9792420455</v>
      </c>
      <c r="AG109" s="30" t="str">
        <f>MIN(1,SUM(OFFSET(E109,0,0,-i_Eve_ECG,1)))</f>
        <v>#VALUE!</v>
      </c>
      <c r="AH109" s="30" t="str">
        <f t="shared" si="12"/>
        <v>#VALUE!</v>
      </c>
      <c r="AI109" s="30" t="str">
        <f t="shared" si="13"/>
        <v>#VALUE!</v>
      </c>
      <c r="AJ109" s="30" t="str">
        <f>(AH109*(i_Adv_Fals/i_Adv_Alar))*AJ$25</f>
        <v>#VALUE!</v>
      </c>
      <c r="AK109" s="30" t="str">
        <f>(AH109*(i_Adv_Lead/i_Adv_Alar))*AK$25</f>
        <v>#VALUE!</v>
      </c>
      <c r="AL109" s="30">
        <f>((SUM(F108:J108)-((I108+J108)*(1-i_Bac_ICU)))+(SUM(F109:J109)-((I109+J109)*(1-i_Bac_ICU))))/2*(C109-C108)</f>
        <v>0.0004810357208</v>
      </c>
      <c r="AM109" s="30">
        <f>(((I108+J108)*(1-i_Bac_ICU))+((I109+J109)*(1-i_Bac_ICU))+K108+E108+E109+K109)/2*(C109-C108)</f>
        <v>0.001901678199</v>
      </c>
      <c r="AN109" s="6"/>
      <c r="AO109" s="6"/>
      <c r="AP109" s="6"/>
      <c r="AQ109" s="6"/>
      <c r="AR109" s="6"/>
      <c r="AS109" s="6"/>
      <c r="AT109" s="6"/>
      <c r="AU109" s="6"/>
    </row>
    <row r="110" ht="14.25" customHeight="1">
      <c r="B110" s="26">
        <f t="shared" ref="B110:C110" si="279">B109+1</f>
        <v>84</v>
      </c>
      <c r="C110" s="26">
        <f t="shared" si="279"/>
        <v>84</v>
      </c>
      <c r="D110" s="26">
        <f t="shared" si="7"/>
        <v>0.2</v>
      </c>
      <c r="E110" s="28">
        <f t="shared" si="15"/>
        <v>0.0001347954018</v>
      </c>
      <c r="F110" s="28">
        <f t="shared" si="16"/>
        <v>0.0001197937253</v>
      </c>
      <c r="G110" s="28">
        <f t="shared" si="17"/>
        <v>0.00003815680971</v>
      </c>
      <c r="H110" s="28">
        <f t="shared" si="18"/>
        <v>0.0001553572418</v>
      </c>
      <c r="I110" s="28">
        <f t="shared" si="19"/>
        <v>0.0001262727947</v>
      </c>
      <c r="J110" s="28">
        <f t="shared" si="20"/>
        <v>0.0007432178319</v>
      </c>
      <c r="K110" s="28">
        <f t="shared" si="21"/>
        <v>0.001005529027</v>
      </c>
      <c r="L110" s="28">
        <f t="shared" si="22"/>
        <v>0.9397977328</v>
      </c>
      <c r="M110" s="28">
        <f t="shared" si="23"/>
        <v>0.01784462291</v>
      </c>
      <c r="N110" s="28">
        <f t="shared" si="24"/>
        <v>0.005535161324</v>
      </c>
      <c r="O110" s="28">
        <f t="shared" si="25"/>
        <v>0.004003645985</v>
      </c>
      <c r="P110" s="28">
        <f t="shared" si="26"/>
        <v>0.03049571413</v>
      </c>
      <c r="R110" s="26">
        <f t="shared" si="27"/>
        <v>1</v>
      </c>
      <c r="S110" s="30">
        <f t="shared" si="8"/>
        <v>1.380850836</v>
      </c>
      <c r="T110" s="30">
        <f t="shared" ref="T110:U110" si="280">((F109+F110)/2)*T$25*($C110-$C109)</f>
        <v>0.3942922043</v>
      </c>
      <c r="U110" s="30">
        <f t="shared" si="280"/>
        <v>0.125590407</v>
      </c>
      <c r="V110" s="30">
        <f t="shared" si="29"/>
        <v>0.394671595</v>
      </c>
      <c r="W110" s="30">
        <f t="shared" ref="W110:X110" si="281">((I109+I110)/2)*W$25*($C110-$C109)</f>
        <v>0.2888835005</v>
      </c>
      <c r="X110" s="30">
        <f t="shared" si="281"/>
        <v>1.685344823</v>
      </c>
      <c r="Y110" s="30">
        <f t="shared" si="31"/>
        <v>2.380566984</v>
      </c>
      <c r="Z110" s="30">
        <f>(L110-OFFSET(L110,-IF(C110-C109&gt;i_Cos_Days,1,MIN(B110,i_Cos_Days)),0))*MIN(i_Cos_Days,($C110-$C109))</f>
        <v>0</v>
      </c>
      <c r="AA110" s="30">
        <f t="shared" si="32"/>
        <v>7.618245268</v>
      </c>
      <c r="AB110" s="30">
        <f t="shared" si="33"/>
        <v>5.687924751</v>
      </c>
      <c r="AC110" s="30">
        <f t="shared" si="34"/>
        <v>0.6938529399</v>
      </c>
      <c r="AD110" s="30">
        <f t="shared" si="35"/>
        <v>0</v>
      </c>
      <c r="AE110" s="6"/>
      <c r="AF110" s="30">
        <f t="shared" si="11"/>
        <v>0.9798322543</v>
      </c>
      <c r="AG110" s="30" t="str">
        <f>MIN(1,SUM(OFFSET(E110,0,0,-i_Eve_ECG,1)))</f>
        <v>#VALUE!</v>
      </c>
      <c r="AH110" s="30" t="str">
        <f t="shared" si="12"/>
        <v>#VALUE!</v>
      </c>
      <c r="AI110" s="30" t="str">
        <f t="shared" si="13"/>
        <v>#VALUE!</v>
      </c>
      <c r="AJ110" s="30" t="str">
        <f>(AH110*(i_Adv_Fals/i_Adv_Alar))*AJ$25</f>
        <v>#VALUE!</v>
      </c>
      <c r="AK110" s="30" t="str">
        <f>(AH110*(i_Adv_Lead/i_Adv_Alar))*AK$25</f>
        <v>#VALUE!</v>
      </c>
      <c r="AL110" s="30">
        <f>((SUM(F109:J109)-((I109+J109)*(1-i_Bac_ICU)))+(SUM(F110:J110)-((I110+J110)*(1-i_Bac_ICU))))/2*(C110-C109)</f>
        <v>0.0004748526728</v>
      </c>
      <c r="AM110" s="30">
        <f>(((I109+J109)*(1-i_Bac_ICU))+((I110+J110)*(1-i_Bac_ICU))+K109+E109+E110+K110)/2*(C110-C109)</f>
        <v>0.001867869785</v>
      </c>
      <c r="AN110" s="6"/>
      <c r="AO110" s="6"/>
      <c r="AP110" s="6"/>
      <c r="AQ110" s="6"/>
      <c r="AR110" s="6"/>
      <c r="AS110" s="6"/>
      <c r="AT110" s="6"/>
      <c r="AU110" s="6"/>
    </row>
    <row r="111" ht="14.25" customHeight="1">
      <c r="B111" s="26">
        <f t="shared" ref="B111:C111" si="282">B110+1</f>
        <v>85</v>
      </c>
      <c r="C111" s="26">
        <f t="shared" si="282"/>
        <v>85</v>
      </c>
      <c r="D111" s="26">
        <f t="shared" si="7"/>
        <v>0.2</v>
      </c>
      <c r="E111" s="28">
        <f t="shared" si="15"/>
        <v>0.000134782809</v>
      </c>
      <c r="F111" s="28">
        <f t="shared" si="16"/>
        <v>0.0001197824473</v>
      </c>
      <c r="G111" s="28">
        <f t="shared" si="17"/>
        <v>0.0000381531685</v>
      </c>
      <c r="H111" s="28">
        <f t="shared" si="18"/>
        <v>0.0001547816728</v>
      </c>
      <c r="I111" s="28">
        <f t="shared" si="19"/>
        <v>0.0001203466657</v>
      </c>
      <c r="J111" s="28">
        <f t="shared" si="20"/>
        <v>0.0007203770272</v>
      </c>
      <c r="K111" s="28">
        <f t="shared" si="21"/>
        <v>0.0009972162356</v>
      </c>
      <c r="L111" s="28">
        <f t="shared" si="22"/>
        <v>0.9402768205</v>
      </c>
      <c r="M111" s="28">
        <f t="shared" si="23"/>
        <v>0.01731419609</v>
      </c>
      <c r="N111" s="28">
        <f t="shared" si="24"/>
        <v>0.005545265005</v>
      </c>
      <c r="O111" s="28">
        <f t="shared" si="25"/>
        <v>0.004005196252</v>
      </c>
      <c r="P111" s="28">
        <f t="shared" si="26"/>
        <v>0.03057308217</v>
      </c>
      <c r="R111" s="26">
        <f t="shared" si="27"/>
        <v>1</v>
      </c>
      <c r="S111" s="30">
        <f t="shared" si="8"/>
        <v>1.380721834</v>
      </c>
      <c r="T111" s="30">
        <f t="shared" ref="T111:U111" si="283">((F110+F111)/2)*T$25*($C111-$C110)</f>
        <v>0.3942549349</v>
      </c>
      <c r="U111" s="30">
        <f t="shared" si="283"/>
        <v>0.125578371</v>
      </c>
      <c r="V111" s="30">
        <f t="shared" si="29"/>
        <v>0.3931817103</v>
      </c>
      <c r="W111" s="30">
        <f t="shared" ref="W111:X111" si="284">((I110+I111)/2)*W$25*($C111-$C110)</f>
        <v>0.2752508095</v>
      </c>
      <c r="X111" s="30">
        <f t="shared" si="284"/>
        <v>1.633511277</v>
      </c>
      <c r="Y111" s="30">
        <f t="shared" si="31"/>
        <v>2.360535703</v>
      </c>
      <c r="Z111" s="30">
        <f>(L111-OFFSET(L111,-IF(C111-C110&gt;i_Cos_Days,1,MIN(B111,i_Cos_Days)),0))*MIN(i_Cos_Days,($C111-$C110))</f>
        <v>0</v>
      </c>
      <c r="AA111" s="30">
        <f t="shared" si="32"/>
        <v>7.390911136</v>
      </c>
      <c r="AB111" s="30">
        <f t="shared" si="33"/>
        <v>5.687624877</v>
      </c>
      <c r="AC111" s="30">
        <f t="shared" si="34"/>
        <v>0.6938163592</v>
      </c>
      <c r="AD111" s="30">
        <f t="shared" si="35"/>
        <v>0</v>
      </c>
      <c r="AE111" s="6"/>
      <c r="AF111" s="30">
        <f t="shared" si="11"/>
        <v>0.9804003639</v>
      </c>
      <c r="AG111" s="30" t="str">
        <f>MIN(1,SUM(OFFSET(E111,0,0,-i_Eve_ECG,1)))</f>
        <v>#VALUE!</v>
      </c>
      <c r="AH111" s="30" t="str">
        <f t="shared" si="12"/>
        <v>#VALUE!</v>
      </c>
      <c r="AI111" s="30" t="str">
        <f t="shared" si="13"/>
        <v>#VALUE!</v>
      </c>
      <c r="AJ111" s="30" t="str">
        <f>(AH111*(i_Adv_Fals/i_Adv_Alar))*AJ$25</f>
        <v>#VALUE!</v>
      </c>
      <c r="AK111" s="30" t="str">
        <f>(AH111*(i_Adv_Lead/i_Adv_Alar))*AK$25</f>
        <v>#VALUE!</v>
      </c>
      <c r="AL111" s="30">
        <f>((SUM(F110:J110)-((I110+J110)*(1-i_Bac_ICU)))+(SUM(F111:J111)-((I111+J111)*(1-i_Bac_ICU))))/2*(C111-C110)</f>
        <v>0.0004689033822</v>
      </c>
      <c r="AM111" s="30">
        <f>(((I110+J110)*(1-i_Bac_ICU))+((I111+J111)*(1-i_Bac_ICU))+K110+E110+E111+K111)/2*(C111-C110)</f>
        <v>0.001835378047</v>
      </c>
      <c r="AN111" s="6"/>
      <c r="AO111" s="6"/>
      <c r="AP111" s="6"/>
      <c r="AQ111" s="6"/>
      <c r="AR111" s="6"/>
      <c r="AS111" s="6"/>
      <c r="AT111" s="6"/>
      <c r="AU111" s="6"/>
    </row>
    <row r="112" ht="14.25" customHeight="1">
      <c r="B112" s="26">
        <f t="shared" ref="B112:C112" si="285">B111+1</f>
        <v>86</v>
      </c>
      <c r="C112" s="26">
        <f t="shared" si="285"/>
        <v>86</v>
      </c>
      <c r="D112" s="26">
        <f t="shared" si="7"/>
        <v>0.2</v>
      </c>
      <c r="E112" s="28">
        <f t="shared" si="15"/>
        <v>0.00013477031</v>
      </c>
      <c r="F112" s="28">
        <f t="shared" si="16"/>
        <v>0.0001197712566</v>
      </c>
      <c r="G112" s="28">
        <f t="shared" si="17"/>
        <v>0.00003814955733</v>
      </c>
      <c r="H112" s="28">
        <f t="shared" si="18"/>
        <v>0.0001542291032</v>
      </c>
      <c r="I112" s="28">
        <f t="shared" si="19"/>
        <v>0.0001147618582</v>
      </c>
      <c r="J112" s="28">
        <f t="shared" si="20"/>
        <v>0.0006982720902</v>
      </c>
      <c r="K112" s="28">
        <f t="shared" si="21"/>
        <v>0.0009892548621</v>
      </c>
      <c r="L112" s="28">
        <f t="shared" si="22"/>
        <v>0.9407352797</v>
      </c>
      <c r="M112" s="28">
        <f t="shared" si="23"/>
        <v>0.01680358366</v>
      </c>
      <c r="N112" s="28">
        <f t="shared" si="24"/>
        <v>0.005554934023</v>
      </c>
      <c r="O112" s="28">
        <f t="shared" si="25"/>
        <v>0.004006628693</v>
      </c>
      <c r="P112" s="28">
        <f t="shared" si="26"/>
        <v>0.03065036493</v>
      </c>
      <c r="R112" s="26">
        <f t="shared" si="27"/>
        <v>1</v>
      </c>
      <c r="S112" s="30">
        <f t="shared" si="8"/>
        <v>1.380593794</v>
      </c>
      <c r="T112" s="30">
        <f t="shared" ref="T112:U112" si="286">((F111+F112)/2)*T$25*($C112-$C111)</f>
        <v>0.3942179595</v>
      </c>
      <c r="U112" s="30">
        <f t="shared" si="286"/>
        <v>0.1255664362</v>
      </c>
      <c r="V112" s="30">
        <f t="shared" si="29"/>
        <v>0.3917515014</v>
      </c>
      <c r="W112" s="30">
        <f t="shared" ref="W112:X112" si="287">((I111+I112)/2)*W$25*($C112-$C111)</f>
        <v>0.2624035079</v>
      </c>
      <c r="X112" s="30">
        <f t="shared" si="287"/>
        <v>1.583347548</v>
      </c>
      <c r="Y112" s="30">
        <f t="shared" si="31"/>
        <v>2.341354159</v>
      </c>
      <c r="Z112" s="30">
        <f>(L112-OFFSET(L112,-IF(C112-C111&gt;i_Cos_Days,1,MIN(B112,i_Cos_Days)),0))*MIN(i_Cos_Days,($C112-$C111))</f>
        <v>0</v>
      </c>
      <c r="AA112" s="30">
        <f t="shared" si="32"/>
        <v>7.17206907</v>
      </c>
      <c r="AB112" s="30">
        <f t="shared" si="33"/>
        <v>5.687319964</v>
      </c>
      <c r="AC112" s="30">
        <f t="shared" si="34"/>
        <v>0.6937791637</v>
      </c>
      <c r="AD112" s="30">
        <f t="shared" si="35"/>
        <v>0</v>
      </c>
      <c r="AE112" s="6"/>
      <c r="AF112" s="30">
        <f t="shared" si="11"/>
        <v>0.9809472073</v>
      </c>
      <c r="AG112" s="30" t="str">
        <f>MIN(1,SUM(OFFSET(E112,0,0,-i_Eve_ECG,1)))</f>
        <v>#VALUE!</v>
      </c>
      <c r="AH112" s="30" t="str">
        <f t="shared" si="12"/>
        <v>#VALUE!</v>
      </c>
      <c r="AI112" s="30" t="str">
        <f t="shared" si="13"/>
        <v>#VALUE!</v>
      </c>
      <c r="AJ112" s="30" t="str">
        <f>(AH112*(i_Adv_Fals/i_Adv_Alar))*AJ$25</f>
        <v>#VALUE!</v>
      </c>
      <c r="AK112" s="30" t="str">
        <f>(AH112*(i_Adv_Lead/i_Adv_Alar))*AK$25</f>
        <v>#VALUE!</v>
      </c>
      <c r="AL112" s="30">
        <f>((SUM(F111:J111)-((I111+J111)*(1-i_Bac_ICU)))+(SUM(F112:J112)-((I112+J112)*(1-i_Bac_ICU))))/2*(C112-C111)</f>
        <v>0.0004631782672</v>
      </c>
      <c r="AM112" s="30">
        <f>(((I111+J111)*(1-i_Bac_ICU))+((I112+J112)*(1-i_Bac_ICU))+K111+E111+E112+K112)/2*(C112-C111)</f>
        <v>0.001804146265</v>
      </c>
      <c r="AN112" s="6"/>
      <c r="AO112" s="6"/>
      <c r="AP112" s="6"/>
      <c r="AQ112" s="6"/>
      <c r="AR112" s="6"/>
      <c r="AS112" s="6"/>
      <c r="AT112" s="6"/>
      <c r="AU112" s="6"/>
    </row>
    <row r="113" ht="14.25" customHeight="1">
      <c r="B113" s="26">
        <f t="shared" ref="B113:C113" si="288">B112+1</f>
        <v>87</v>
      </c>
      <c r="C113" s="26">
        <f t="shared" si="288"/>
        <v>87</v>
      </c>
      <c r="D113" s="26">
        <f t="shared" si="7"/>
        <v>0.2</v>
      </c>
      <c r="E113" s="28">
        <f t="shared" si="15"/>
        <v>0.0001347579005</v>
      </c>
      <c r="F113" s="28">
        <f t="shared" si="16"/>
        <v>0.0001197601492</v>
      </c>
      <c r="G113" s="28">
        <f t="shared" si="17"/>
        <v>0.00003814597486</v>
      </c>
      <c r="H113" s="28">
        <f t="shared" si="18"/>
        <v>0.0001536985119</v>
      </c>
      <c r="I113" s="28">
        <f t="shared" si="19"/>
        <v>0.0001094985485</v>
      </c>
      <c r="J113" s="28">
        <f t="shared" si="20"/>
        <v>0.0006768794074</v>
      </c>
      <c r="K113" s="28">
        <f t="shared" si="21"/>
        <v>0.0009816278906</v>
      </c>
      <c r="L113" s="28">
        <f t="shared" si="22"/>
        <v>0.9411738829</v>
      </c>
      <c r="M113" s="28">
        <f t="shared" si="23"/>
        <v>0.01631204595</v>
      </c>
      <c r="N113" s="28">
        <f t="shared" si="24"/>
        <v>0.005564186315</v>
      </c>
      <c r="O113" s="28">
        <f t="shared" si="25"/>
        <v>0.004007950938</v>
      </c>
      <c r="P113" s="28">
        <f t="shared" si="26"/>
        <v>0.03072756547</v>
      </c>
      <c r="R113" s="26">
        <f t="shared" si="27"/>
        <v>1</v>
      </c>
      <c r="S113" s="30">
        <f t="shared" si="8"/>
        <v>1.380466671</v>
      </c>
      <c r="T113" s="30">
        <f t="shared" ref="T113:U113" si="289">((F112+F113)/2)*T$25*($C113-$C112)</f>
        <v>0.394181265</v>
      </c>
      <c r="U113" s="30">
        <f t="shared" si="289"/>
        <v>0.1255545981</v>
      </c>
      <c r="V113" s="30">
        <f t="shared" si="29"/>
        <v>0.3903783133</v>
      </c>
      <c r="W113" s="30">
        <f t="shared" ref="W113:X113" si="290">((I112+I113)/2)*W$25*($C113-$C112)</f>
        <v>0.2502959757</v>
      </c>
      <c r="X113" s="30">
        <f t="shared" si="290"/>
        <v>1.534800061</v>
      </c>
      <c r="Y113" s="30">
        <f t="shared" si="31"/>
        <v>2.322980957</v>
      </c>
      <c r="Z113" s="30">
        <f>(L113-OFFSET(L113,-IF(C113-C112&gt;i_Cos_Days,1,MIN(B113,i_Cos_Days)),0))*MIN(i_Cos_Days,($C113-$C112))</f>
        <v>0</v>
      </c>
      <c r="AA113" s="30">
        <f t="shared" si="32"/>
        <v>6.961402078</v>
      </c>
      <c r="AB113" s="30">
        <f t="shared" si="33"/>
        <v>5.687010216</v>
      </c>
      <c r="AC113" s="30">
        <f t="shared" si="34"/>
        <v>0.6937413784</v>
      </c>
      <c r="AD113" s="30">
        <f t="shared" si="35"/>
        <v>0</v>
      </c>
      <c r="AE113" s="6"/>
      <c r="AF113" s="30">
        <f t="shared" si="11"/>
        <v>0.9814735857</v>
      </c>
      <c r="AG113" s="30" t="str">
        <f>MIN(1,SUM(OFFSET(E113,0,0,-i_Eve_ECG,1)))</f>
        <v>#VALUE!</v>
      </c>
      <c r="AH113" s="30" t="str">
        <f t="shared" si="12"/>
        <v>#VALUE!</v>
      </c>
      <c r="AI113" s="30" t="str">
        <f t="shared" si="13"/>
        <v>#VALUE!</v>
      </c>
      <c r="AJ113" s="30" t="str">
        <f>(AH113*(i_Adv_Fals/i_Adv_Alar))*AJ$25</f>
        <v>#VALUE!</v>
      </c>
      <c r="AK113" s="30" t="str">
        <f>(AH113*(i_Adv_Lead/i_Adv_Alar))*AK$25</f>
        <v>#VALUE!</v>
      </c>
      <c r="AL113" s="30">
        <f>((SUM(F112:J112)-((I112+J112)*(1-i_Bac_ICU)))+(SUM(F113:J113)-((I113+J113)*(1-i_Bac_ICU))))/2*(C113-C112)</f>
        <v>0.000457668174</v>
      </c>
      <c r="AM113" s="30">
        <f>(((I112+J112)*(1-i_Bac_ICU))+((I113+J113)*(1-i_Bac_ICU))+K112+E112+E113+K113)/2*(C113-C112)</f>
        <v>0.001774120536</v>
      </c>
      <c r="AN113" s="6"/>
      <c r="AO113" s="6"/>
      <c r="AP113" s="6"/>
      <c r="AQ113" s="6"/>
      <c r="AR113" s="6"/>
      <c r="AS113" s="6"/>
      <c r="AT113" s="6"/>
      <c r="AU113" s="6"/>
    </row>
    <row r="114" ht="14.25" customHeight="1">
      <c r="B114" s="26">
        <f t="shared" ref="B114:C114" si="291">B113+1</f>
        <v>88</v>
      </c>
      <c r="C114" s="26">
        <f t="shared" si="291"/>
        <v>88</v>
      </c>
      <c r="D114" s="26">
        <f t="shared" si="7"/>
        <v>0.2</v>
      </c>
      <c r="E114" s="28">
        <f t="shared" si="15"/>
        <v>0.0001347455766</v>
      </c>
      <c r="F114" s="28">
        <f t="shared" si="16"/>
        <v>0.0001197491214</v>
      </c>
      <c r="G114" s="28">
        <f t="shared" si="17"/>
        <v>0.00003814241978</v>
      </c>
      <c r="H114" s="28">
        <f t="shared" si="18"/>
        <v>0.0001531889272</v>
      </c>
      <c r="I114" s="28">
        <f t="shared" si="19"/>
        <v>0.0001045380687</v>
      </c>
      <c r="J114" s="28">
        <f t="shared" si="20"/>
        <v>0.0006561761165</v>
      </c>
      <c r="K114" s="28">
        <f t="shared" si="21"/>
        <v>0.0009743193055</v>
      </c>
      <c r="L114" s="28">
        <f t="shared" si="22"/>
        <v>0.9415933738</v>
      </c>
      <c r="M114" s="28">
        <f t="shared" si="23"/>
        <v>0.01583887074</v>
      </c>
      <c r="N114" s="28">
        <f t="shared" si="24"/>
        <v>0.005573039079</v>
      </c>
      <c r="O114" s="28">
        <f t="shared" si="25"/>
        <v>0.004009170121</v>
      </c>
      <c r="P114" s="28">
        <f t="shared" si="26"/>
        <v>0.03080468674</v>
      </c>
      <c r="R114" s="26">
        <f t="shared" si="27"/>
        <v>1</v>
      </c>
      <c r="S114" s="30">
        <f t="shared" si="8"/>
        <v>1.380340424</v>
      </c>
      <c r="T114" s="30">
        <f t="shared" ref="T114:U114" si="292">((F113+F114)/2)*T$25*($C114-$C113)</f>
        <v>0.3941448386</v>
      </c>
      <c r="U114" s="30">
        <f t="shared" si="292"/>
        <v>0.1255428523</v>
      </c>
      <c r="V114" s="30">
        <f t="shared" si="29"/>
        <v>0.3890596198</v>
      </c>
      <c r="W114" s="30">
        <f t="shared" ref="W114:X114" si="293">((I113+I114)/2)*W$25*($C114-$C113)</f>
        <v>0.2388852527</v>
      </c>
      <c r="X114" s="30">
        <f t="shared" si="293"/>
        <v>1.487816944</v>
      </c>
      <c r="Y114" s="30">
        <f t="shared" si="31"/>
        <v>2.305377163</v>
      </c>
      <c r="Z114" s="30">
        <f>(L114-OFFSET(L114,-IF(C114-C113&gt;i_Cos_Days,1,MIN(B114,i_Cos_Days)),0))*MIN(i_Cos_Days,($C114-$C113))</f>
        <v>0</v>
      </c>
      <c r="AA114" s="30">
        <f t="shared" si="32"/>
        <v>6.758604951</v>
      </c>
      <c r="AB114" s="30">
        <f t="shared" si="33"/>
        <v>5.686695828</v>
      </c>
      <c r="AC114" s="30">
        <f t="shared" si="34"/>
        <v>0.6937030272</v>
      </c>
      <c r="AD114" s="30">
        <f t="shared" si="35"/>
        <v>0</v>
      </c>
      <c r="AE114" s="6"/>
      <c r="AF114" s="30">
        <f t="shared" si="11"/>
        <v>0.9819802697</v>
      </c>
      <c r="AG114" s="30" t="str">
        <f>MIN(1,SUM(OFFSET(E114,0,0,-i_Eve_ECG,1)))</f>
        <v>#VALUE!</v>
      </c>
      <c r="AH114" s="30" t="str">
        <f t="shared" si="12"/>
        <v>#VALUE!</v>
      </c>
      <c r="AI114" s="30" t="str">
        <f t="shared" si="13"/>
        <v>#VALUE!</v>
      </c>
      <c r="AJ114" s="30" t="str">
        <f>(AH114*(i_Adv_Fals/i_Adv_Alar))*AJ$25</f>
        <v>#VALUE!</v>
      </c>
      <c r="AK114" s="30" t="str">
        <f>(AH114*(i_Adv_Lead/i_Adv_Alar))*AK$25</f>
        <v>#VALUE!</v>
      </c>
      <c r="AL114" s="30">
        <f>((SUM(F113:J113)-((I113+J113)*(1-i_Bac_ICU)))+(SUM(F114:J114)-((I114+J114)*(1-i_Bac_ICU))))/2*(C114-C113)</f>
        <v>0.0004523643559</v>
      </c>
      <c r="AM114" s="30">
        <f>(((I113+J113)*(1-i_Bac_ICU))+((I114+J114)*(1-i_Bac_ICU))+K113+E113+E114+K114)/2*(C114-C113)</f>
        <v>0.001745249603</v>
      </c>
      <c r="AN114" s="6"/>
      <c r="AO114" s="6"/>
      <c r="AP114" s="6"/>
      <c r="AQ114" s="6"/>
      <c r="AR114" s="6"/>
      <c r="AS114" s="6"/>
      <c r="AT114" s="6"/>
      <c r="AU114" s="6"/>
    </row>
    <row r="115" ht="14.25" customHeight="1">
      <c r="B115" s="26">
        <f t="shared" ref="B115:C115" si="294">B114+1</f>
        <v>89</v>
      </c>
      <c r="C115" s="26">
        <f t="shared" si="294"/>
        <v>89</v>
      </c>
      <c r="D115" s="26">
        <f t="shared" si="7"/>
        <v>0.2</v>
      </c>
      <c r="E115" s="28">
        <f t="shared" si="15"/>
        <v>0.0001347333343</v>
      </c>
      <c r="F115" s="28">
        <f t="shared" si="16"/>
        <v>0.0001197381697</v>
      </c>
      <c r="G115" s="28">
        <f t="shared" si="17"/>
        <v>0.00003813889085</v>
      </c>
      <c r="H115" s="28">
        <f t="shared" si="18"/>
        <v>0.0001526994237</v>
      </c>
      <c r="I115" s="28">
        <f t="shared" si="19"/>
        <v>0.00009986283925</v>
      </c>
      <c r="J115" s="28">
        <f t="shared" si="20"/>
        <v>0.000636140083</v>
      </c>
      <c r="K115" s="28">
        <f t="shared" si="21"/>
        <v>0.0009673140125</v>
      </c>
      <c r="L115" s="28">
        <f t="shared" si="22"/>
        <v>0.9419944677</v>
      </c>
      <c r="M115" s="28">
        <f t="shared" si="23"/>
        <v>0.01538337234</v>
      </c>
      <c r="N115" s="28">
        <f t="shared" si="24"/>
        <v>0.005581508803</v>
      </c>
      <c r="O115" s="28">
        <f t="shared" si="25"/>
        <v>0.004010292907</v>
      </c>
      <c r="P115" s="28">
        <f t="shared" si="26"/>
        <v>0.03088173154</v>
      </c>
      <c r="R115" s="26">
        <f t="shared" si="27"/>
        <v>1</v>
      </c>
      <c r="S115" s="30">
        <f t="shared" si="8"/>
        <v>1.380215013</v>
      </c>
      <c r="T115" s="30">
        <f t="shared" ref="T115:U115" si="295">((F114+F115)/2)*T$25*($C115-$C114)</f>
        <v>0.3941086683</v>
      </c>
      <c r="U115" s="30">
        <f t="shared" si="295"/>
        <v>0.1255311946</v>
      </c>
      <c r="V115" s="30">
        <f t="shared" si="29"/>
        <v>0.3877930157</v>
      </c>
      <c r="W115" s="30">
        <f t="shared" ref="W115:X115" si="296">((I114+I115)/2)*W$25*($C115-$C114)</f>
        <v>0.2281308834</v>
      </c>
      <c r="X115" s="30">
        <f t="shared" si="296"/>
        <v>1.442347978</v>
      </c>
      <c r="Y115" s="30">
        <f t="shared" si="31"/>
        <v>2.28850611</v>
      </c>
      <c r="Z115" s="30">
        <f>(L115-OFFSET(L115,-IF(C115-C114&gt;i_Cos_Days,1,MIN(B115,i_Cos_Days)),0))*MIN(i_Cos_Days,($C115-$C114))</f>
        <v>0</v>
      </c>
      <c r="AA115" s="30">
        <f t="shared" si="32"/>
        <v>6.563383829</v>
      </c>
      <c r="AB115" s="30">
        <f t="shared" si="33"/>
        <v>5.686376986</v>
      </c>
      <c r="AC115" s="30">
        <f t="shared" si="34"/>
        <v>0.6936641326</v>
      </c>
      <c r="AD115" s="30">
        <f t="shared" si="35"/>
        <v>0</v>
      </c>
      <c r="AE115" s="6"/>
      <c r="AF115" s="30">
        <f t="shared" si="11"/>
        <v>0.9824680009</v>
      </c>
      <c r="AG115" s="30" t="str">
        <f>MIN(1,SUM(OFFSET(E115,0,0,-i_Eve_ECG,1)))</f>
        <v>#VALUE!</v>
      </c>
      <c r="AH115" s="30" t="str">
        <f t="shared" si="12"/>
        <v>#VALUE!</v>
      </c>
      <c r="AI115" s="30" t="str">
        <f t="shared" si="13"/>
        <v>#VALUE!</v>
      </c>
      <c r="AJ115" s="30" t="str">
        <f>(AH115*(i_Adv_Fals/i_Adv_Alar))*AJ$25</f>
        <v>#VALUE!</v>
      </c>
      <c r="AK115" s="30" t="str">
        <f>(AH115*(i_Adv_Lead/i_Adv_Alar))*AK$25</f>
        <v>#VALUE!</v>
      </c>
      <c r="AL115" s="30">
        <f>((SUM(F114:J114)-((I114+J114)*(1-i_Bac_ICU)))+(SUM(F115:J115)-((I115+J115)*(1-i_Bac_ICU))))/2*(C115-C114)</f>
        <v>0.0004472584539</v>
      </c>
      <c r="AM115" s="30">
        <f>(((I114+J114)*(1-i_Bac_ICU))+((I115+J115)*(1-i_Bac_ICU))+K114+E114+E115+K115)/2*(C115-C114)</f>
        <v>0.001717484691</v>
      </c>
      <c r="AN115" s="6"/>
      <c r="AO115" s="6"/>
      <c r="AP115" s="6"/>
      <c r="AQ115" s="6"/>
      <c r="AR115" s="6"/>
      <c r="AS115" s="6"/>
      <c r="AT115" s="6"/>
      <c r="AU115" s="6"/>
    </row>
    <row r="116" ht="14.25" customHeight="1">
      <c r="B116" s="26">
        <f t="shared" ref="B116:C116" si="297">B115+1</f>
        <v>90</v>
      </c>
      <c r="C116" s="26">
        <f t="shared" si="297"/>
        <v>90</v>
      </c>
      <c r="D116" s="26">
        <f t="shared" si="7"/>
        <v>0.2</v>
      </c>
      <c r="E116" s="28">
        <f t="shared" si="15"/>
        <v>0.0001347211701</v>
      </c>
      <c r="F116" s="28">
        <f t="shared" si="16"/>
        <v>0.0001197272905</v>
      </c>
      <c r="G116" s="28">
        <f t="shared" si="17"/>
        <v>0.0000381353869</v>
      </c>
      <c r="H116" s="28">
        <f t="shared" si="18"/>
        <v>0.0001522291208</v>
      </c>
      <c r="I116" s="28">
        <f t="shared" si="19"/>
        <v>0.00009545630562</v>
      </c>
      <c r="J116" s="28">
        <f t="shared" si="20"/>
        <v>0.0006167498777</v>
      </c>
      <c r="K116" s="28">
        <f t="shared" si="21"/>
        <v>0.000960597768</v>
      </c>
      <c r="L116" s="28">
        <f t="shared" si="22"/>
        <v>0.9423778531</v>
      </c>
      <c r="M116" s="28">
        <f t="shared" si="23"/>
        <v>0.01494489057</v>
      </c>
      <c r="N116" s="28">
        <f t="shared" si="24"/>
        <v>0.005589611294</v>
      </c>
      <c r="O116" s="28">
        <f t="shared" si="25"/>
        <v>0.004011325525</v>
      </c>
      <c r="P116" s="28">
        <f t="shared" si="26"/>
        <v>0.03095870258</v>
      </c>
      <c r="R116" s="26">
        <f t="shared" si="27"/>
        <v>1</v>
      </c>
      <c r="S116" s="30">
        <f t="shared" si="8"/>
        <v>1.380090403</v>
      </c>
      <c r="T116" s="30">
        <f t="shared" ref="T116:U116" si="298">((F115+F116)/2)*T$25*($C116-$C115)</f>
        <v>0.3940727426</v>
      </c>
      <c r="U116" s="30">
        <f t="shared" si="298"/>
        <v>0.1255196211</v>
      </c>
      <c r="V116" s="30">
        <f t="shared" si="29"/>
        <v>0.3865762116</v>
      </c>
      <c r="W116" s="30">
        <f t="shared" ref="W116:X116" si="299">((I115+I116)/2)*W$25*($C116-$C115)</f>
        <v>0.2179947707</v>
      </c>
      <c r="X116" s="30">
        <f t="shared" si="299"/>
        <v>1.39834454</v>
      </c>
      <c r="Y116" s="30">
        <f t="shared" si="31"/>
        <v>2.27233322</v>
      </c>
      <c r="Z116" s="30">
        <f>(L116-OFFSET(L116,-IF(C116-C115&gt;i_Cos_Days,1,MIN(B116,i_Cos_Days)),0))*MIN(i_Cos_Days,($C116-$C115))</f>
        <v>0</v>
      </c>
      <c r="AA116" s="30">
        <f t="shared" si="32"/>
        <v>6.375455788</v>
      </c>
      <c r="AB116" s="30">
        <f t="shared" si="33"/>
        <v>5.686053867</v>
      </c>
      <c r="AC116" s="30">
        <f t="shared" si="34"/>
        <v>0.6936247163</v>
      </c>
      <c r="AD116" s="30">
        <f t="shared" si="35"/>
        <v>0</v>
      </c>
      <c r="AE116" s="6"/>
      <c r="AF116" s="30">
        <f t="shared" si="11"/>
        <v>0.9829374925</v>
      </c>
      <c r="AG116" s="30" t="str">
        <f>MIN(1,SUM(OFFSET(E116,0,0,-i_Eve_ECG,1)))</f>
        <v>#VALUE!</v>
      </c>
      <c r="AH116" s="30" t="str">
        <f t="shared" si="12"/>
        <v>#VALUE!</v>
      </c>
      <c r="AI116" s="30" t="str">
        <f t="shared" si="13"/>
        <v>#VALUE!</v>
      </c>
      <c r="AJ116" s="30" t="str">
        <f>(AH116*(i_Adv_Fals/i_Adv_Alar))*AJ$25</f>
        <v>#VALUE!</v>
      </c>
      <c r="AK116" s="30" t="str">
        <f>(AH116*(i_Adv_Lead/i_Adv_Alar))*AK$25</f>
        <v>#VALUE!</v>
      </c>
      <c r="AL116" s="30">
        <f>((SUM(F115:J115)-((I115+J115)*(1-i_Bac_ICU)))+(SUM(F116:J116)-((I116+J116)*(1-i_Bac_ICU))))/2*(C116-C115)</f>
        <v>0.000442342478</v>
      </c>
      <c r="AM116" s="30">
        <f>(((I115+J115)*(1-i_Bac_ICU))+((I116+J116)*(1-i_Bac_ICU))+K115+E115+E116+K116)/2*(C116-C115)</f>
        <v>0.001690779359</v>
      </c>
      <c r="AN116" s="6"/>
      <c r="AO116" s="6"/>
      <c r="AP116" s="6"/>
      <c r="AQ116" s="6"/>
      <c r="AR116" s="6"/>
      <c r="AS116" s="6"/>
      <c r="AT116" s="6"/>
      <c r="AU116" s="6"/>
    </row>
    <row r="117" ht="14.25" customHeight="1">
      <c r="B117" s="26">
        <f t="shared" ref="B117:C117" si="300">B116+1</f>
        <v>91</v>
      </c>
      <c r="C117" s="26">
        <f t="shared" si="300"/>
        <v>91</v>
      </c>
      <c r="D117" s="26">
        <f t="shared" si="7"/>
        <v>0.2</v>
      </c>
      <c r="E117" s="28">
        <f t="shared" si="15"/>
        <v>0.0001347090805</v>
      </c>
      <c r="F117" s="28">
        <f t="shared" si="16"/>
        <v>0.0001197164808</v>
      </c>
      <c r="G117" s="28">
        <f t="shared" si="17"/>
        <v>0.0000381319068</v>
      </c>
      <c r="H117" s="28">
        <f t="shared" si="18"/>
        <v>0.0001517771796</v>
      </c>
      <c r="I117" s="28">
        <f t="shared" si="19"/>
        <v>0.00009130287827</v>
      </c>
      <c r="J117" s="28">
        <f t="shared" si="20"/>
        <v>0.0005979847546</v>
      </c>
      <c r="K117" s="28">
        <f t="shared" si="21"/>
        <v>0.0009541571168</v>
      </c>
      <c r="L117" s="28">
        <f t="shared" si="22"/>
        <v>0.9427441928</v>
      </c>
      <c r="M117" s="28">
        <f t="shared" si="23"/>
        <v>0.01452278981</v>
      </c>
      <c r="N117" s="28">
        <f t="shared" si="24"/>
        <v>0.005597361706</v>
      </c>
      <c r="O117" s="28">
        <f t="shared" si="25"/>
        <v>0.004012273796</v>
      </c>
      <c r="P117" s="28">
        <f t="shared" si="26"/>
        <v>0.03103560245</v>
      </c>
      <c r="R117" s="26">
        <f t="shared" si="27"/>
        <v>1</v>
      </c>
      <c r="S117" s="30">
        <f t="shared" si="8"/>
        <v>1.379966556</v>
      </c>
      <c r="T117" s="30">
        <f t="shared" ref="T117:U117" si="301">((F116+F117)/2)*T$25*($C117-$C116)</f>
        <v>0.3940370506</v>
      </c>
      <c r="U117" s="30">
        <f t="shared" si="301"/>
        <v>0.1255081279</v>
      </c>
      <c r="V117" s="30">
        <f t="shared" si="29"/>
        <v>0.3854070274</v>
      </c>
      <c r="W117" s="30">
        <f t="shared" ref="W117:X117" si="302">((I116+I117)/2)*W$25*($C117-$C116)</f>
        <v>0.2084410389</v>
      </c>
      <c r="X117" s="30">
        <f t="shared" si="302"/>
        <v>1.355759559</v>
      </c>
      <c r="Y117" s="30">
        <f t="shared" si="31"/>
        <v>2.256825845</v>
      </c>
      <c r="Z117" s="30">
        <f>(L117-OFFSET(L117,-IF(C117-C116&gt;i_Cos_Days,1,MIN(B117,i_Cos_Days)),0))*MIN(i_Cos_Days,($C117-$C116))</f>
        <v>0</v>
      </c>
      <c r="AA117" s="30">
        <f t="shared" si="32"/>
        <v>6.19454843</v>
      </c>
      <c r="AB117" s="30">
        <f t="shared" si="33"/>
        <v>5.685726639</v>
      </c>
      <c r="AC117" s="30">
        <f t="shared" si="34"/>
        <v>0.6935847987</v>
      </c>
      <c r="AD117" s="30">
        <f t="shared" si="35"/>
        <v>0</v>
      </c>
      <c r="AE117" s="6"/>
      <c r="AF117" s="30">
        <f t="shared" si="11"/>
        <v>0.9833894308</v>
      </c>
      <c r="AG117" s="30" t="str">
        <f>MIN(1,SUM(OFFSET(E117,0,0,-i_Eve_ECG,1)))</f>
        <v>#VALUE!</v>
      </c>
      <c r="AH117" s="30" t="str">
        <f t="shared" si="12"/>
        <v>#VALUE!</v>
      </c>
      <c r="AI117" s="30" t="str">
        <f t="shared" si="13"/>
        <v>#VALUE!</v>
      </c>
      <c r="AJ117" s="30" t="str">
        <f>(AH117*(i_Adv_Fals/i_Adv_Alar))*AJ$25</f>
        <v>#VALUE!</v>
      </c>
      <c r="AK117" s="30" t="str">
        <f>(AH117*(i_Adv_Lead/i_Adv_Alar))*AK$25</f>
        <v>#VALUE!</v>
      </c>
      <c r="AL117" s="30">
        <f>((SUM(F116:J116)-((I116+J116)*(1-i_Bac_ICU)))+(SUM(F117:J117)-((I117+J117)*(1-i_Bac_ICU))))/2*(C117-C116)</f>
        <v>0.0004376087893</v>
      </c>
      <c r="AM117" s="30">
        <f>(((I116+J116)*(1-i_Bac_ICU))+((I117+J117)*(1-i_Bac_ICU))+K116+E116+E117+K117)/2*(C117-C116)</f>
        <v>0.001665089369</v>
      </c>
      <c r="AN117" s="6"/>
      <c r="AO117" s="6"/>
      <c r="AP117" s="6"/>
      <c r="AQ117" s="6"/>
      <c r="AR117" s="6"/>
      <c r="AS117" s="6"/>
      <c r="AT117" s="6"/>
      <c r="AU117" s="6"/>
    </row>
    <row r="118" ht="14.25" customHeight="1">
      <c r="B118" s="26">
        <f t="shared" ref="B118:B136" si="305">B117+1</f>
        <v>92</v>
      </c>
      <c r="C118" s="26">
        <f t="shared" ref="C118:C136" si="306">C117+91.3</f>
        <v>182.3</v>
      </c>
      <c r="D118" s="26">
        <f t="shared" si="7"/>
        <v>0.5</v>
      </c>
      <c r="E118" s="28">
        <f t="shared" ref="E118:E136" si="307">SUMPRODUCT($E117:$P117,$W$9:$AH$9)</f>
        <v>0</v>
      </c>
      <c r="F118" s="28">
        <f t="shared" ref="F118:F136" si="308">SUMPRODUCT($E117:$P117,$W$10:$AH$10)</f>
        <v>0</v>
      </c>
      <c r="G118" s="28">
        <f t="shared" ref="G118:G136" si="309">SUMPRODUCT($E117:$P117,$W$11:$AH$11)</f>
        <v>0</v>
      </c>
      <c r="H118" s="28">
        <f t="shared" ref="H118:H136" si="310">SUMPRODUCT($E117:$P117,$W$12:$AH$12)</f>
        <v>0.0002639750099</v>
      </c>
      <c r="I118" s="28">
        <f t="shared" ref="I118:I136" si="311">SUMPRODUCT($E117:$P117,$W$13:$AH$13)</f>
        <v>0.0000001246505566</v>
      </c>
      <c r="J118" s="28">
        <f t="shared" ref="J118:J136" si="312">SUMPRODUCT($E117:$P117,$W$14:$AH$14)</f>
        <v>0.000000111888847</v>
      </c>
      <c r="K118" s="28">
        <f t="shared" ref="K118:K136" si="313">SUMPRODUCT($E117:$P117,$W$15:$AH$15)</f>
        <v>0.0006909161723</v>
      </c>
      <c r="L118" s="28">
        <f t="shared" ref="L118:L136" si="314">SUMPRODUCT($E117:$P117,$W$16:$AH$16)</f>
        <v>0.9545308508</v>
      </c>
      <c r="M118" s="28">
        <f t="shared" ref="M118:M136" si="315">SUMPRODUCT($E117:$P117,$W$17:$AH$17)</f>
        <v>0.002884992729</v>
      </c>
      <c r="N118" s="28">
        <f t="shared" ref="N118:N136" si="316">SUMPRODUCT($E117:$P117,$W$18:$AH$18)</f>
        <v>0.001620306444</v>
      </c>
      <c r="O118" s="28">
        <f t="shared" ref="O118:O136" si="317">SUMPRODUCT($E117:$P117,$W$19:$AH$19)</f>
        <v>0.001801611173</v>
      </c>
      <c r="P118" s="28">
        <f t="shared" ref="P118:P136" si="318">SUMPRODUCT($E117:$P117,$W$20:$AH$20)</f>
        <v>0.03820711109</v>
      </c>
      <c r="R118" s="26">
        <f t="shared" si="27"/>
        <v>1</v>
      </c>
      <c r="S118" s="30">
        <f t="shared" si="8"/>
        <v>0</v>
      </c>
      <c r="T118" s="30">
        <f t="shared" ref="T118:U118" si="303">((F117+F118)/2)*T$25*($C118-$C117)</f>
        <v>17.98697929</v>
      </c>
      <c r="U118" s="30">
        <f t="shared" si="303"/>
        <v>5.729184601</v>
      </c>
      <c r="V118" s="30">
        <f t="shared" si="29"/>
        <v>48.12185581</v>
      </c>
      <c r="W118" s="30">
        <f t="shared" ref="W118:X118" si="304">((I117+I118)/2)*W$25*($C118-$C117)</f>
        <v>9.316419176</v>
      </c>
      <c r="X118" s="30">
        <f t="shared" si="304"/>
        <v>60.94574697</v>
      </c>
      <c r="Y118" s="30">
        <f t="shared" si="31"/>
        <v>177.0275622</v>
      </c>
      <c r="Z118" s="30">
        <f>(L118-OFFSET(L118,-IF(C118-C117&gt;i_Cos_Days,1,MIN(B118,i_Cos_Days)),0))*MIN(i_Cos_Days,($C118-$C117))</f>
        <v>0</v>
      </c>
      <c r="AA118" s="30">
        <f t="shared" si="32"/>
        <v>334.1011206</v>
      </c>
      <c r="AB118" s="30">
        <f t="shared" ref="AB118:AB136" si="321">(N118-(N117*$AF$18))*AB$25</f>
        <v>38.21625613</v>
      </c>
      <c r="AC118" s="30">
        <f t="shared" ref="AC118:AC136" si="322">(O118-(O117*$AG$19))*AC$25</f>
        <v>4.652841015</v>
      </c>
      <c r="AD118" s="30">
        <f t="shared" si="35"/>
        <v>0</v>
      </c>
      <c r="AE118" s="6"/>
      <c r="AF118" s="30">
        <f t="shared" si="11"/>
        <v>0.9961598795</v>
      </c>
      <c r="AG118" s="30" t="str">
        <f>MIN(1,SUM(OFFSET(E118,0,0,-i_Eve_ECG,1)))</f>
        <v>#VALUE!</v>
      </c>
      <c r="AH118" s="30" t="str">
        <f t="shared" si="12"/>
        <v>#VALUE!</v>
      </c>
      <c r="AI118" s="30" t="str">
        <f t="shared" si="13"/>
        <v>#VALUE!</v>
      </c>
      <c r="AJ118" s="30" t="str">
        <f>(AH118*(i_Adv_Fals/i_Adv_Alar))*AJ$25</f>
        <v>#VALUE!</v>
      </c>
      <c r="AK118" s="30" t="str">
        <f>(AH118*(i_Adv_Lead/i_Adv_Alar))*AK$25</f>
        <v>#VALUE!</v>
      </c>
      <c r="AL118" s="30">
        <f>((SUM(F117:J117)-((I117+J117)*(1-i_Bac_ICU)))+(SUM(F118:J118)-((I118+J118)*(1-i_Bac_ICU))))/2*(C118-C117)</f>
        <v>0.03192326027</v>
      </c>
      <c r="AM118" s="30">
        <f>(((I117+J117)*(1-i_Bac_ICU))+((I118+J118)*(1-i_Bac_ICU))+K117+E117+E118+K118)/2*(C118-C117)</f>
        <v>0.1069854497</v>
      </c>
      <c r="AN118" s="6"/>
      <c r="AO118" s="6"/>
      <c r="AP118" s="6"/>
      <c r="AQ118" s="6"/>
      <c r="AR118" s="6"/>
      <c r="AS118" s="6"/>
      <c r="AT118" s="6"/>
      <c r="AU118" s="6"/>
    </row>
    <row r="119" ht="14.25" customHeight="1">
      <c r="B119" s="26">
        <f t="shared" si="305"/>
        <v>93</v>
      </c>
      <c r="C119" s="26">
        <f t="shared" si="306"/>
        <v>273.6</v>
      </c>
      <c r="D119" s="26">
        <f t="shared" si="7"/>
        <v>0.7</v>
      </c>
      <c r="E119" s="28">
        <f t="shared" si="307"/>
        <v>0</v>
      </c>
      <c r="F119" s="28">
        <f t="shared" si="308"/>
        <v>0</v>
      </c>
      <c r="G119" s="28">
        <f t="shared" si="309"/>
        <v>0</v>
      </c>
      <c r="H119" s="28">
        <f t="shared" si="310"/>
        <v>0</v>
      </c>
      <c r="I119" s="28">
        <f t="shared" si="311"/>
        <v>0.00000007405371621</v>
      </c>
      <c r="J119" s="28">
        <f t="shared" si="312"/>
        <v>0.00000006647210528</v>
      </c>
      <c r="K119" s="28">
        <f t="shared" si="313"/>
        <v>0.0002178643715</v>
      </c>
      <c r="L119" s="28">
        <f t="shared" si="314"/>
        <v>0.9501643053</v>
      </c>
      <c r="M119" s="28">
        <f t="shared" si="315"/>
        <v>0.001037578902</v>
      </c>
      <c r="N119" s="28">
        <f t="shared" si="316"/>
        <v>0.001620558412</v>
      </c>
      <c r="O119" s="28">
        <f t="shared" si="317"/>
        <v>0.001801891334</v>
      </c>
      <c r="P119" s="28">
        <f t="shared" si="318"/>
        <v>0.04515766114</v>
      </c>
      <c r="R119" s="26">
        <f t="shared" si="27"/>
        <v>1</v>
      </c>
      <c r="S119" s="30">
        <f t="shared" si="8"/>
        <v>0</v>
      </c>
      <c r="T119" s="30">
        <f t="shared" ref="T119:U119" si="319">((F118+F119)/2)*T$25*($C119-$C118)</f>
        <v>0</v>
      </c>
      <c r="U119" s="30">
        <f t="shared" si="319"/>
        <v>0</v>
      </c>
      <c r="V119" s="30">
        <f t="shared" si="29"/>
        <v>30.55418031</v>
      </c>
      <c r="W119" s="30">
        <f t="shared" ref="W119:X119" si="320">((I118+I119)/2)*W$25*($C119-$C118)</f>
        <v>0.0202478654</v>
      </c>
      <c r="X119" s="30">
        <f t="shared" si="320"/>
        <v>0.01817489127</v>
      </c>
      <c r="Y119" s="30">
        <f t="shared" si="31"/>
        <v>97.79455136</v>
      </c>
      <c r="Z119" s="30">
        <f>(L119-OFFSET(L119,-IF(C119-C118&gt;i_Cos_Days,1,MIN(B119,i_Cos_Days)),0))*MIN(i_Cos_Days,($C119-$C118))</f>
        <v>0</v>
      </c>
      <c r="AA119" s="30">
        <f t="shared" si="32"/>
        <v>75.284464</v>
      </c>
      <c r="AB119" s="30">
        <f t="shared" si="321"/>
        <v>38.22219899</v>
      </c>
      <c r="AC119" s="30">
        <f t="shared" si="322"/>
        <v>4.65356456</v>
      </c>
      <c r="AD119" s="30">
        <f t="shared" si="35"/>
        <v>0</v>
      </c>
      <c r="AE119" s="6"/>
      <c r="AF119" s="30">
        <f t="shared" si="11"/>
        <v>0.9987444162</v>
      </c>
      <c r="AG119" s="30">
        <v>0.0</v>
      </c>
      <c r="AH119" s="30">
        <f t="shared" si="12"/>
        <v>0</v>
      </c>
      <c r="AI119" s="30">
        <f t="shared" si="13"/>
        <v>0</v>
      </c>
      <c r="AJ119" s="30">
        <f>(AH119*(i_Adv_Fals/i_Adv_Alar))*AJ$25</f>
        <v>0</v>
      </c>
      <c r="AK119" s="30">
        <f>(AH119*(i_Adv_Lead/i_Adv_Alar))*AK$25</f>
        <v>0</v>
      </c>
      <c r="AL119" s="30">
        <f>((SUM(F118:J118)-((I118+J118)*(1-i_Bac_ICU)))+(SUM(F119:J119)-((I119+J119)*(1-i_Bac_ICU))))/2*(C119-C118)</f>
        <v>0.01205359723</v>
      </c>
      <c r="AM119" s="30">
        <f>(((I118+J118)*(1-i_Bac_ICU))+((I119+J119)*(1-i_Bac_ICU))+K118+E118+E119+K119)/2*(C119-C118)</f>
        <v>0.04149990682</v>
      </c>
      <c r="AN119" s="6"/>
      <c r="AO119" s="6"/>
      <c r="AP119" s="6"/>
      <c r="AQ119" s="6"/>
      <c r="AR119" s="6"/>
      <c r="AS119" s="6"/>
      <c r="AT119" s="6"/>
      <c r="AU119" s="6"/>
    </row>
    <row r="120" ht="14.25" customHeight="1">
      <c r="B120" s="26">
        <f t="shared" si="305"/>
        <v>94</v>
      </c>
      <c r="C120" s="26">
        <f t="shared" si="306"/>
        <v>364.9</v>
      </c>
      <c r="D120" s="26">
        <f t="shared" si="7"/>
        <v>1</v>
      </c>
      <c r="E120" s="28">
        <f t="shared" si="307"/>
        <v>0</v>
      </c>
      <c r="F120" s="28">
        <f t="shared" si="308"/>
        <v>0</v>
      </c>
      <c r="G120" s="28">
        <f t="shared" si="309"/>
        <v>0</v>
      </c>
      <c r="H120" s="28">
        <f t="shared" si="310"/>
        <v>0</v>
      </c>
      <c r="I120" s="28">
        <f t="shared" si="311"/>
        <v>0</v>
      </c>
      <c r="J120" s="28">
        <f t="shared" si="312"/>
        <v>0</v>
      </c>
      <c r="K120" s="28">
        <f t="shared" si="313"/>
        <v>0.0000001156189999</v>
      </c>
      <c r="L120" s="28">
        <f t="shared" si="314"/>
        <v>0.9437450186</v>
      </c>
      <c r="M120" s="28">
        <f t="shared" si="315"/>
        <v>0.0009191949688</v>
      </c>
      <c r="N120" s="28">
        <f t="shared" si="316"/>
        <v>0.001610040428</v>
      </c>
      <c r="O120" s="28">
        <f t="shared" si="317"/>
        <v>0.001790196438</v>
      </c>
      <c r="P120" s="28">
        <f t="shared" si="318"/>
        <v>0.05193543396</v>
      </c>
      <c r="R120" s="26">
        <f t="shared" si="27"/>
        <v>1</v>
      </c>
      <c r="S120" s="30">
        <f t="shared" si="8"/>
        <v>0</v>
      </c>
      <c r="T120" s="30">
        <f t="shared" ref="T120:U120" si="323">((F119+F120)/2)*T$25*($C120-$C119)</f>
        <v>0</v>
      </c>
      <c r="U120" s="30">
        <f t="shared" si="323"/>
        <v>0</v>
      </c>
      <c r="V120" s="30">
        <f t="shared" si="29"/>
        <v>0</v>
      </c>
      <c r="W120" s="30">
        <f t="shared" ref="W120:X120" si="324">((I119+I120)/2)*W$25*($C120-$C119)</f>
        <v>0.007546036415</v>
      </c>
      <c r="X120" s="30">
        <f t="shared" si="324"/>
        <v>0.006773474076</v>
      </c>
      <c r="Y120" s="30">
        <f t="shared" si="31"/>
        <v>23.45698917</v>
      </c>
      <c r="Z120" s="30">
        <f>(L120-OFFSET(L120,-IF(C120-C119&gt;i_Cos_Days,1,MIN(B120,i_Cos_Days)),0))*MIN(i_Cos_Days,($C120-$C119))</f>
        <v>0</v>
      </c>
      <c r="AA120" s="30">
        <f t="shared" si="32"/>
        <v>37.55563593</v>
      </c>
      <c r="AB120" s="30">
        <f t="shared" si="321"/>
        <v>37.97412373</v>
      </c>
      <c r="AC120" s="30">
        <f t="shared" si="322"/>
        <v>4.62336132</v>
      </c>
      <c r="AD120" s="30">
        <f t="shared" si="35"/>
        <v>0</v>
      </c>
      <c r="AE120" s="6"/>
      <c r="AF120" s="30">
        <f t="shared" si="11"/>
        <v>0.9990806894</v>
      </c>
      <c r="AG120" s="30">
        <v>0.0</v>
      </c>
      <c r="AH120" s="30">
        <f t="shared" si="12"/>
        <v>0</v>
      </c>
      <c r="AI120" s="30">
        <f t="shared" si="13"/>
        <v>0</v>
      </c>
      <c r="AJ120" s="30">
        <f>(AH120*(i_Adv_Fals/i_Adv_Alar))*AJ$25</f>
        <v>0</v>
      </c>
      <c r="AK120" s="30">
        <f>(AH120*(i_Adv_Lead/i_Adv_Alar))*AK$25</f>
        <v>0</v>
      </c>
      <c r="AL120" s="30">
        <f>((SUM(F119:J119)-((I119+J119)*(1-i_Bac_ICU)))+(SUM(F120:J120)-((I120+J120)*(1-i_Bac_ICU))))/2*(C120-C119)</f>
        <v>0.000001169491301</v>
      </c>
      <c r="AM120" s="30">
        <f>(((I119+J119)*(1-i_Bac_ICU))+((I120+J120)*(1-i_Bac_ICU))+K119+E119+E120+K120)/2*(C120-C119)</f>
        <v>0.009956032077</v>
      </c>
      <c r="AN120" s="6"/>
      <c r="AO120" s="6"/>
      <c r="AP120" s="6"/>
      <c r="AQ120" s="6"/>
      <c r="AR120" s="6"/>
      <c r="AS120" s="6"/>
      <c r="AT120" s="6"/>
      <c r="AU120" s="6"/>
    </row>
    <row r="121" ht="14.25" customHeight="1">
      <c r="B121" s="26">
        <f t="shared" si="305"/>
        <v>95</v>
      </c>
      <c r="C121" s="26">
        <f t="shared" si="306"/>
        <v>456.2</v>
      </c>
      <c r="D121" s="26">
        <f t="shared" si="7"/>
        <v>1.2</v>
      </c>
      <c r="E121" s="28">
        <f t="shared" si="307"/>
        <v>0</v>
      </c>
      <c r="F121" s="28">
        <f t="shared" si="308"/>
        <v>0</v>
      </c>
      <c r="G121" s="28">
        <f t="shared" si="309"/>
        <v>0</v>
      </c>
      <c r="H121" s="28">
        <f t="shared" si="310"/>
        <v>0</v>
      </c>
      <c r="I121" s="28">
        <f t="shared" si="311"/>
        <v>0</v>
      </c>
      <c r="J121" s="28">
        <f t="shared" si="312"/>
        <v>0</v>
      </c>
      <c r="K121" s="28">
        <f t="shared" si="313"/>
        <v>0</v>
      </c>
      <c r="L121" s="28">
        <f t="shared" si="314"/>
        <v>0.9371197366</v>
      </c>
      <c r="M121" s="28">
        <f t="shared" si="315"/>
        <v>0.0008746080116</v>
      </c>
      <c r="N121" s="28">
        <f t="shared" si="316"/>
        <v>0.001598974518</v>
      </c>
      <c r="O121" s="28">
        <f t="shared" si="317"/>
        <v>0.001777892304</v>
      </c>
      <c r="P121" s="28">
        <f t="shared" si="318"/>
        <v>0.05862878856</v>
      </c>
      <c r="R121" s="26">
        <f t="shared" si="27"/>
        <v>1</v>
      </c>
      <c r="S121" s="30">
        <f t="shared" si="8"/>
        <v>0</v>
      </c>
      <c r="T121" s="30">
        <f t="shared" ref="T121:U121" si="325">((F120+F121)/2)*T$25*($C121-$C120)</f>
        <v>0</v>
      </c>
      <c r="U121" s="30">
        <f t="shared" si="325"/>
        <v>0</v>
      </c>
      <c r="V121" s="30">
        <f t="shared" si="29"/>
        <v>0</v>
      </c>
      <c r="W121" s="30">
        <f t="shared" ref="W121:X121" si="326">((I120+I121)/2)*W$25*($C121-$C120)</f>
        <v>0</v>
      </c>
      <c r="X121" s="30">
        <f t="shared" si="326"/>
        <v>0</v>
      </c>
      <c r="Y121" s="30">
        <f t="shared" si="31"/>
        <v>0.01244184672</v>
      </c>
      <c r="Z121" s="30">
        <f>(L121-OFFSET(L121,-IF(C121-C120&gt;i_Cos_Days,1,MIN(B121,i_Cos_Days)),0))*MIN(i_Cos_Days,($C121-$C120))</f>
        <v>0</v>
      </c>
      <c r="AA121" s="30">
        <f t="shared" si="32"/>
        <v>34.427796</v>
      </c>
      <c r="AB121" s="30">
        <f t="shared" si="321"/>
        <v>37.71312518</v>
      </c>
      <c r="AC121" s="30">
        <f t="shared" si="322"/>
        <v>4.591584665</v>
      </c>
      <c r="AD121" s="30">
        <f t="shared" si="35"/>
        <v>0</v>
      </c>
      <c r="AE121" s="6"/>
      <c r="AF121" s="30">
        <f t="shared" si="11"/>
        <v>0.999125392</v>
      </c>
      <c r="AG121" s="30">
        <v>0.0</v>
      </c>
      <c r="AH121" s="30">
        <f t="shared" si="12"/>
        <v>0</v>
      </c>
      <c r="AI121" s="30">
        <f t="shared" si="13"/>
        <v>0</v>
      </c>
      <c r="AJ121" s="30">
        <f>(AH121*(i_Adv_Fals/i_Adv_Alar))*AJ$25</f>
        <v>0</v>
      </c>
      <c r="AK121" s="30">
        <f>(AH121*(i_Adv_Lead/i_Adv_Alar))*AK$25</f>
        <v>0</v>
      </c>
      <c r="AL121" s="30">
        <f>((SUM(F120:J120)-((I120+J120)*(1-i_Bac_ICU)))+(SUM(F121:J121)-((I121+J121)*(1-i_Bac_ICU))))/2*(C121-C120)</f>
        <v>0</v>
      </c>
      <c r="AM121" s="30">
        <f>(((I120+J120)*(1-i_Bac_ICU))+((I121+J121)*(1-i_Bac_ICU))+K120+E120+E121+K121)/2*(C121-C120)</f>
        <v>0.000005278007347</v>
      </c>
      <c r="AN121" s="6"/>
      <c r="AO121" s="6"/>
      <c r="AP121" s="6"/>
      <c r="AQ121" s="6"/>
      <c r="AR121" s="6"/>
      <c r="AS121" s="6"/>
      <c r="AT121" s="6"/>
      <c r="AU121" s="6"/>
    </row>
    <row r="122" ht="14.25" customHeight="1">
      <c r="B122" s="26">
        <f t="shared" si="305"/>
        <v>96</v>
      </c>
      <c r="C122" s="26">
        <f t="shared" si="306"/>
        <v>547.5</v>
      </c>
      <c r="D122" s="26">
        <f t="shared" si="7"/>
        <v>1.5</v>
      </c>
      <c r="E122" s="28">
        <f t="shared" si="307"/>
        <v>0</v>
      </c>
      <c r="F122" s="28">
        <f t="shared" si="308"/>
        <v>0</v>
      </c>
      <c r="G122" s="28">
        <f t="shared" si="309"/>
        <v>0</v>
      </c>
      <c r="H122" s="28">
        <f t="shared" si="310"/>
        <v>0</v>
      </c>
      <c r="I122" s="28">
        <f t="shared" si="311"/>
        <v>0</v>
      </c>
      <c r="J122" s="28">
        <f t="shared" si="312"/>
        <v>0</v>
      </c>
      <c r="K122" s="28">
        <f t="shared" si="313"/>
        <v>0</v>
      </c>
      <c r="L122" s="28">
        <f t="shared" si="314"/>
        <v>0.9305043427</v>
      </c>
      <c r="M122" s="28">
        <f t="shared" si="315"/>
        <v>0.0008677643894</v>
      </c>
      <c r="N122" s="28">
        <f t="shared" si="316"/>
        <v>0.001587684845</v>
      </c>
      <c r="O122" s="28">
        <f t="shared" si="317"/>
        <v>0.001765339369</v>
      </c>
      <c r="P122" s="28">
        <f t="shared" si="318"/>
        <v>0.06527486867</v>
      </c>
      <c r="R122" s="26">
        <f t="shared" si="27"/>
        <v>1</v>
      </c>
      <c r="S122" s="30">
        <f t="shared" si="8"/>
        <v>0</v>
      </c>
      <c r="T122" s="30">
        <f t="shared" ref="T122:U122" si="327">((F121+F122)/2)*T$25*($C122-$C121)</f>
        <v>0</v>
      </c>
      <c r="U122" s="30">
        <f t="shared" si="327"/>
        <v>0</v>
      </c>
      <c r="V122" s="30">
        <f t="shared" si="29"/>
        <v>0</v>
      </c>
      <c r="W122" s="30">
        <f t="shared" ref="W122:X122" si="328">((I121+I122)/2)*W$25*($C122-$C121)</f>
        <v>0</v>
      </c>
      <c r="X122" s="30">
        <f t="shared" si="328"/>
        <v>0</v>
      </c>
      <c r="Y122" s="30">
        <f t="shared" si="31"/>
        <v>0</v>
      </c>
      <c r="Z122" s="30">
        <f>(L122-OFFSET(L122,-IF(C122-C121&gt;i_Cos_Days,1,MIN(B122,i_Cos_Days)),0))*MIN(i_Cos_Days,($C122-$C121))</f>
        <v>0</v>
      </c>
      <c r="AA122" s="30">
        <f t="shared" si="32"/>
        <v>33.44070794</v>
      </c>
      <c r="AB122" s="30">
        <f t="shared" si="321"/>
        <v>37.44684897</v>
      </c>
      <c r="AC122" s="30">
        <f t="shared" si="322"/>
        <v>4.559165455</v>
      </c>
      <c r="AD122" s="30">
        <f t="shared" si="35"/>
        <v>0</v>
      </c>
      <c r="AE122" s="6"/>
      <c r="AF122" s="30">
        <f t="shared" si="11"/>
        <v>0.9991322356</v>
      </c>
      <c r="AG122" s="30">
        <v>0.0</v>
      </c>
      <c r="AH122" s="30">
        <f t="shared" si="12"/>
        <v>0</v>
      </c>
      <c r="AI122" s="30">
        <f t="shared" si="13"/>
        <v>0</v>
      </c>
      <c r="AJ122" s="30">
        <f>(AH122*(i_Adv_Fals/i_Adv_Alar))*AJ$25</f>
        <v>0</v>
      </c>
      <c r="AK122" s="30">
        <f>(AH122*(i_Adv_Lead/i_Adv_Alar))*AK$25</f>
        <v>0</v>
      </c>
      <c r="AL122" s="30">
        <f>((SUM(F121:J121)-((I121+J121)*(1-i_Bac_ICU)))+(SUM(F122:J122)-((I122+J122)*(1-i_Bac_ICU))))/2*(C122-C121)</f>
        <v>0</v>
      </c>
      <c r="AM122" s="30">
        <f>(((I121+J121)*(1-i_Bac_ICU))+((I122+J122)*(1-i_Bac_ICU))+K121+E121+E122+K122)/2*(C122-C121)</f>
        <v>0</v>
      </c>
      <c r="AN122" s="6"/>
      <c r="AO122" s="6"/>
      <c r="AP122" s="6"/>
      <c r="AQ122" s="6"/>
      <c r="AR122" s="6"/>
      <c r="AS122" s="6"/>
      <c r="AT122" s="6"/>
      <c r="AU122" s="6"/>
    </row>
    <row r="123" ht="14.25" customHeight="1">
      <c r="B123" s="26">
        <f t="shared" si="305"/>
        <v>97</v>
      </c>
      <c r="C123" s="26">
        <f t="shared" si="306"/>
        <v>638.8</v>
      </c>
      <c r="D123" s="26">
        <f t="shared" si="7"/>
        <v>1.7</v>
      </c>
      <c r="E123" s="28">
        <f t="shared" si="307"/>
        <v>0</v>
      </c>
      <c r="F123" s="28">
        <f t="shared" si="308"/>
        <v>0</v>
      </c>
      <c r="G123" s="28">
        <f t="shared" si="309"/>
        <v>0</v>
      </c>
      <c r="H123" s="28">
        <f t="shared" si="310"/>
        <v>0</v>
      </c>
      <c r="I123" s="28">
        <f t="shared" si="311"/>
        <v>0</v>
      </c>
      <c r="J123" s="28">
        <f t="shared" si="312"/>
        <v>0</v>
      </c>
      <c r="K123" s="28">
        <f t="shared" si="313"/>
        <v>0</v>
      </c>
      <c r="L123" s="28">
        <f t="shared" si="314"/>
        <v>0.9239349974</v>
      </c>
      <c r="M123" s="28">
        <f t="shared" si="315"/>
        <v>0.0008616232752</v>
      </c>
      <c r="N123" s="28">
        <f t="shared" si="316"/>
        <v>0.001576475794</v>
      </c>
      <c r="O123" s="28">
        <f t="shared" si="317"/>
        <v>0.001752876078</v>
      </c>
      <c r="P123" s="28">
        <f t="shared" si="318"/>
        <v>0.07187402747</v>
      </c>
      <c r="R123" s="26">
        <f t="shared" si="27"/>
        <v>1</v>
      </c>
      <c r="S123" s="30">
        <f t="shared" si="8"/>
        <v>0</v>
      </c>
      <c r="T123" s="30">
        <f t="shared" ref="T123:U123" si="329">((F122+F123)/2)*T$25*($C123-$C122)</f>
        <v>0</v>
      </c>
      <c r="U123" s="30">
        <f t="shared" si="329"/>
        <v>0</v>
      </c>
      <c r="V123" s="30">
        <f t="shared" si="29"/>
        <v>0</v>
      </c>
      <c r="W123" s="30">
        <f t="shared" ref="W123:X123" si="330">((I122+I123)/2)*W$25*($C123-$C122)</f>
        <v>0</v>
      </c>
      <c r="X123" s="30">
        <f t="shared" si="330"/>
        <v>0</v>
      </c>
      <c r="Y123" s="30">
        <f t="shared" si="31"/>
        <v>0</v>
      </c>
      <c r="Z123" s="30">
        <f>(L123-OFFSET(L123,-IF(C123-C122&gt;i_Cos_Days,1,MIN(B123,i_Cos_Days)),0))*MIN(i_Cos_Days,($C123-$C122))</f>
        <v>0</v>
      </c>
      <c r="AA123" s="30">
        <f t="shared" si="32"/>
        <v>33.19149671</v>
      </c>
      <c r="AB123" s="30">
        <f t="shared" si="321"/>
        <v>37.18247432</v>
      </c>
      <c r="AC123" s="30">
        <f t="shared" si="322"/>
        <v>4.526977759</v>
      </c>
      <c r="AD123" s="30">
        <f t="shared" si="35"/>
        <v>0</v>
      </c>
      <c r="AE123" s="6"/>
      <c r="AF123" s="30">
        <f t="shared" si="11"/>
        <v>0.9991383767</v>
      </c>
      <c r="AG123" s="30">
        <v>0.0</v>
      </c>
      <c r="AH123" s="30">
        <f t="shared" si="12"/>
        <v>0</v>
      </c>
      <c r="AI123" s="30">
        <f t="shared" si="13"/>
        <v>0</v>
      </c>
      <c r="AJ123" s="30">
        <f>(AH123*(i_Adv_Fals/i_Adv_Alar))*AJ$25</f>
        <v>0</v>
      </c>
      <c r="AK123" s="30">
        <f>(AH123*(i_Adv_Lead/i_Adv_Alar))*AK$25</f>
        <v>0</v>
      </c>
      <c r="AL123" s="30">
        <f>((SUM(F122:J122)-((I122+J122)*(1-i_Bac_ICU)))+(SUM(F123:J123)-((I123+J123)*(1-i_Bac_ICU))))/2*(C123-C122)</f>
        <v>0</v>
      </c>
      <c r="AM123" s="30">
        <f>(((I122+J122)*(1-i_Bac_ICU))+((I123+J123)*(1-i_Bac_ICU))+K122+E122+E123+K123)/2*(C123-C122)</f>
        <v>0</v>
      </c>
      <c r="AN123" s="6"/>
      <c r="AO123" s="6"/>
      <c r="AP123" s="6"/>
      <c r="AQ123" s="6"/>
      <c r="AR123" s="6"/>
      <c r="AS123" s="6"/>
      <c r="AT123" s="6"/>
      <c r="AU123" s="6"/>
    </row>
    <row r="124" ht="14.25" customHeight="1">
      <c r="B124" s="26">
        <f t="shared" si="305"/>
        <v>98</v>
      </c>
      <c r="C124" s="26">
        <f t="shared" si="306"/>
        <v>730.1</v>
      </c>
      <c r="D124" s="26">
        <f t="shared" si="7"/>
        <v>2</v>
      </c>
      <c r="E124" s="28">
        <f t="shared" si="307"/>
        <v>0</v>
      </c>
      <c r="F124" s="28">
        <f t="shared" si="308"/>
        <v>0</v>
      </c>
      <c r="G124" s="28">
        <f t="shared" si="309"/>
        <v>0</v>
      </c>
      <c r="H124" s="28">
        <f t="shared" si="310"/>
        <v>0</v>
      </c>
      <c r="I124" s="28">
        <f t="shared" si="311"/>
        <v>0</v>
      </c>
      <c r="J124" s="28">
        <f t="shared" si="312"/>
        <v>0</v>
      </c>
      <c r="K124" s="28">
        <f t="shared" si="313"/>
        <v>0</v>
      </c>
      <c r="L124" s="28">
        <f t="shared" si="314"/>
        <v>0.9174120172</v>
      </c>
      <c r="M124" s="28">
        <f t="shared" si="315"/>
        <v>0.0008555399048</v>
      </c>
      <c r="N124" s="28">
        <f t="shared" si="316"/>
        <v>0.001565345876</v>
      </c>
      <c r="O124" s="28">
        <f t="shared" si="317"/>
        <v>0.001740500774</v>
      </c>
      <c r="P124" s="28">
        <f t="shared" si="318"/>
        <v>0.07842659621</v>
      </c>
      <c r="R124" s="26">
        <f t="shared" si="27"/>
        <v>1</v>
      </c>
      <c r="S124" s="30">
        <f t="shared" si="8"/>
        <v>0</v>
      </c>
      <c r="T124" s="30">
        <f t="shared" ref="T124:U124" si="331">((F123+F124)/2)*T$25*($C124-$C123)</f>
        <v>0</v>
      </c>
      <c r="U124" s="30">
        <f t="shared" si="331"/>
        <v>0</v>
      </c>
      <c r="V124" s="30">
        <f t="shared" si="29"/>
        <v>0</v>
      </c>
      <c r="W124" s="30">
        <f t="shared" ref="W124:X124" si="332">((I123+I124)/2)*W$25*($C124-$C123)</f>
        <v>0</v>
      </c>
      <c r="X124" s="30">
        <f t="shared" si="332"/>
        <v>0</v>
      </c>
      <c r="Y124" s="30">
        <f t="shared" si="31"/>
        <v>0</v>
      </c>
      <c r="Z124" s="30">
        <f>(L124-OFFSET(L124,-IF(C124-C123&gt;i_Cos_Days,1,MIN(B124,i_Cos_Days)),0))*MIN(i_Cos_Days,($C124-$C123))</f>
        <v>0</v>
      </c>
      <c r="AA124" s="30">
        <f t="shared" si="32"/>
        <v>32.9568767</v>
      </c>
      <c r="AB124" s="30">
        <f t="shared" si="321"/>
        <v>36.91996608</v>
      </c>
      <c r="AC124" s="30">
        <f t="shared" si="322"/>
        <v>4.495017299</v>
      </c>
      <c r="AD124" s="30">
        <f t="shared" si="35"/>
        <v>0</v>
      </c>
      <c r="AE124" s="6"/>
      <c r="AF124" s="30">
        <f t="shared" si="11"/>
        <v>0.9991444601</v>
      </c>
      <c r="AG124" s="30">
        <v>0.0</v>
      </c>
      <c r="AH124" s="30">
        <f t="shared" si="12"/>
        <v>0</v>
      </c>
      <c r="AI124" s="30">
        <f t="shared" si="13"/>
        <v>0</v>
      </c>
      <c r="AJ124" s="30">
        <f>(AH124*(i_Adv_Fals/i_Adv_Alar))*AJ$25</f>
        <v>0</v>
      </c>
      <c r="AK124" s="30">
        <f>(AH124*(i_Adv_Lead/i_Adv_Alar))*AK$25</f>
        <v>0</v>
      </c>
      <c r="AL124" s="30">
        <f>((SUM(F123:J123)-((I123+J123)*(1-i_Bac_ICU)))+(SUM(F124:J124)-((I124+J124)*(1-i_Bac_ICU))))/2*(C124-C123)</f>
        <v>0</v>
      </c>
      <c r="AM124" s="30">
        <f>(((I123+J123)*(1-i_Bac_ICU))+((I124+J124)*(1-i_Bac_ICU))+K123+E123+E124+K124)/2*(C124-C123)</f>
        <v>0</v>
      </c>
      <c r="AN124" s="6"/>
      <c r="AO124" s="6"/>
      <c r="AP124" s="6"/>
      <c r="AQ124" s="6"/>
      <c r="AR124" s="6"/>
      <c r="AS124" s="6"/>
      <c r="AT124" s="6"/>
      <c r="AU124" s="6"/>
    </row>
    <row r="125" ht="14.25" customHeight="1">
      <c r="B125" s="26">
        <f t="shared" si="305"/>
        <v>99</v>
      </c>
      <c r="C125" s="26">
        <f t="shared" si="306"/>
        <v>821.4</v>
      </c>
      <c r="D125" s="26">
        <f t="shared" si="7"/>
        <v>2.2</v>
      </c>
      <c r="E125" s="28">
        <f t="shared" si="307"/>
        <v>0</v>
      </c>
      <c r="F125" s="28">
        <f t="shared" si="308"/>
        <v>0</v>
      </c>
      <c r="G125" s="28">
        <f t="shared" si="309"/>
        <v>0</v>
      </c>
      <c r="H125" s="28">
        <f t="shared" si="310"/>
        <v>0</v>
      </c>
      <c r="I125" s="28">
        <f t="shared" si="311"/>
        <v>0</v>
      </c>
      <c r="J125" s="28">
        <f t="shared" si="312"/>
        <v>0</v>
      </c>
      <c r="K125" s="28">
        <f t="shared" si="313"/>
        <v>0</v>
      </c>
      <c r="L125" s="28">
        <f t="shared" si="314"/>
        <v>0.910935089</v>
      </c>
      <c r="M125" s="28">
        <f t="shared" si="315"/>
        <v>0.0008494997871</v>
      </c>
      <c r="N125" s="28">
        <f t="shared" si="316"/>
        <v>0.001554294535</v>
      </c>
      <c r="O125" s="28">
        <f t="shared" si="317"/>
        <v>0.00172821284</v>
      </c>
      <c r="P125" s="28">
        <f t="shared" si="318"/>
        <v>0.08493290381</v>
      </c>
      <c r="R125" s="26">
        <f t="shared" si="27"/>
        <v>1</v>
      </c>
      <c r="S125" s="30">
        <f t="shared" si="8"/>
        <v>0</v>
      </c>
      <c r="T125" s="30">
        <f t="shared" ref="T125:U125" si="333">((F124+F125)/2)*T$25*($C125-$C124)</f>
        <v>0</v>
      </c>
      <c r="U125" s="30">
        <f t="shared" si="333"/>
        <v>0</v>
      </c>
      <c r="V125" s="30">
        <f t="shared" si="29"/>
        <v>0</v>
      </c>
      <c r="W125" s="30">
        <f t="shared" ref="W125:X125" si="334">((I124+I125)/2)*W$25*($C125-$C124)</f>
        <v>0</v>
      </c>
      <c r="X125" s="30">
        <f t="shared" si="334"/>
        <v>0</v>
      </c>
      <c r="Y125" s="30">
        <f t="shared" si="31"/>
        <v>0</v>
      </c>
      <c r="Z125" s="30">
        <f>(L125-OFFSET(L125,-IF(C125-C124&gt;i_Cos_Days,1,MIN(B125,i_Cos_Days)),0))*MIN(i_Cos_Days,($C125-$C124))</f>
        <v>0</v>
      </c>
      <c r="AA125" s="30">
        <f t="shared" si="32"/>
        <v>32.72419509</v>
      </c>
      <c r="AB125" s="30">
        <f t="shared" si="321"/>
        <v>36.65931114</v>
      </c>
      <c r="AC125" s="30">
        <f t="shared" si="322"/>
        <v>4.46328248</v>
      </c>
      <c r="AD125" s="30">
        <f t="shared" si="35"/>
        <v>0</v>
      </c>
      <c r="AE125" s="6"/>
      <c r="AF125" s="30">
        <f t="shared" si="11"/>
        <v>0.9991505002</v>
      </c>
      <c r="AG125" s="30">
        <v>0.0</v>
      </c>
      <c r="AH125" s="30">
        <f t="shared" si="12"/>
        <v>0</v>
      </c>
      <c r="AI125" s="30">
        <f t="shared" si="13"/>
        <v>0</v>
      </c>
      <c r="AJ125" s="30">
        <f>(AH125*(i_Adv_Fals/i_Adv_Alar))*AJ$25</f>
        <v>0</v>
      </c>
      <c r="AK125" s="30">
        <f>(AH125*(i_Adv_Lead/i_Adv_Alar))*AK$25</f>
        <v>0</v>
      </c>
      <c r="AL125" s="30">
        <f>((SUM(F124:J124)-((I124+J124)*(1-i_Bac_ICU)))+(SUM(F125:J125)-((I125+J125)*(1-i_Bac_ICU))))/2*(C125-C124)</f>
        <v>0</v>
      </c>
      <c r="AM125" s="30">
        <f>(((I124+J124)*(1-i_Bac_ICU))+((I125+J125)*(1-i_Bac_ICU))+K124+E124+E125+K125)/2*(C125-C124)</f>
        <v>0</v>
      </c>
      <c r="AN125" s="6"/>
      <c r="AO125" s="6"/>
      <c r="AP125" s="6"/>
      <c r="AQ125" s="6"/>
      <c r="AR125" s="6"/>
      <c r="AS125" s="6"/>
      <c r="AT125" s="6"/>
      <c r="AU125" s="6"/>
    </row>
    <row r="126" ht="14.25" customHeight="1">
      <c r="B126" s="26">
        <f t="shared" si="305"/>
        <v>100</v>
      </c>
      <c r="C126" s="26">
        <f t="shared" si="306"/>
        <v>912.7</v>
      </c>
      <c r="D126" s="26">
        <f t="shared" si="7"/>
        <v>2.5</v>
      </c>
      <c r="E126" s="28">
        <f t="shared" si="307"/>
        <v>0</v>
      </c>
      <c r="F126" s="28">
        <f t="shared" si="308"/>
        <v>0</v>
      </c>
      <c r="G126" s="28">
        <f t="shared" si="309"/>
        <v>0</v>
      </c>
      <c r="H126" s="28">
        <f t="shared" si="310"/>
        <v>0</v>
      </c>
      <c r="I126" s="28">
        <f t="shared" si="311"/>
        <v>0</v>
      </c>
      <c r="J126" s="28">
        <f t="shared" si="312"/>
        <v>0</v>
      </c>
      <c r="K126" s="28">
        <f t="shared" si="313"/>
        <v>0</v>
      </c>
      <c r="L126" s="28">
        <f t="shared" si="314"/>
        <v>0.9045038879</v>
      </c>
      <c r="M126" s="28">
        <f t="shared" si="315"/>
        <v>0.000843502319</v>
      </c>
      <c r="N126" s="28">
        <f t="shared" si="316"/>
        <v>0.001543321217</v>
      </c>
      <c r="O126" s="28">
        <f t="shared" si="317"/>
        <v>0.001716011658</v>
      </c>
      <c r="P126" s="28">
        <f t="shared" si="318"/>
        <v>0.09139327689</v>
      </c>
      <c r="R126" s="26">
        <f t="shared" si="27"/>
        <v>1</v>
      </c>
      <c r="S126" s="30">
        <f t="shared" si="8"/>
        <v>0</v>
      </c>
      <c r="T126" s="30">
        <f t="shared" ref="T126:U126" si="335">((F125+F126)/2)*T$25*($C126-$C125)</f>
        <v>0</v>
      </c>
      <c r="U126" s="30">
        <f t="shared" si="335"/>
        <v>0</v>
      </c>
      <c r="V126" s="30">
        <f t="shared" si="29"/>
        <v>0</v>
      </c>
      <c r="W126" s="30">
        <f t="shared" ref="W126:X126" si="336">((I125+I126)/2)*W$25*($C126-$C125)</f>
        <v>0</v>
      </c>
      <c r="X126" s="30">
        <f t="shared" si="336"/>
        <v>0</v>
      </c>
      <c r="Y126" s="30">
        <f t="shared" si="31"/>
        <v>0</v>
      </c>
      <c r="Z126" s="30">
        <f>(L126-OFFSET(L126,-IF(C126-C125&gt;i_Cos_Days,1,MIN(B126,i_Cos_Days)),0))*MIN(i_Cos_Days,($C126-$C125))</f>
        <v>0</v>
      </c>
      <c r="AA126" s="30">
        <f t="shared" si="32"/>
        <v>32.49316217</v>
      </c>
      <c r="AB126" s="30">
        <f t="shared" si="321"/>
        <v>36.40049643</v>
      </c>
      <c r="AC126" s="30">
        <f t="shared" si="322"/>
        <v>4.431771709</v>
      </c>
      <c r="AD126" s="30">
        <f t="shared" si="35"/>
        <v>0</v>
      </c>
      <c r="AE126" s="6"/>
      <c r="AF126" s="30">
        <f t="shared" si="11"/>
        <v>0.9991564977</v>
      </c>
      <c r="AG126" s="30">
        <v>0.0</v>
      </c>
      <c r="AH126" s="30">
        <f t="shared" si="12"/>
        <v>0</v>
      </c>
      <c r="AI126" s="30">
        <f t="shared" si="13"/>
        <v>0</v>
      </c>
      <c r="AJ126" s="30">
        <f>(AH126*(i_Adv_Fals/i_Adv_Alar))*AJ$25</f>
        <v>0</v>
      </c>
      <c r="AK126" s="30">
        <f>(AH126*(i_Adv_Lead/i_Adv_Alar))*AK$25</f>
        <v>0</v>
      </c>
      <c r="AL126" s="30">
        <f>((SUM(F125:J125)-((I125+J125)*(1-i_Bac_ICU)))+(SUM(F126:J126)-((I126+J126)*(1-i_Bac_ICU))))/2*(C126-C125)</f>
        <v>0</v>
      </c>
      <c r="AM126" s="30">
        <f>(((I125+J125)*(1-i_Bac_ICU))+((I126+J126)*(1-i_Bac_ICU))+K125+E125+E126+K126)/2*(C126-C125)</f>
        <v>0</v>
      </c>
      <c r="AN126" s="6"/>
      <c r="AO126" s="6"/>
      <c r="AP126" s="6"/>
      <c r="AQ126" s="6"/>
      <c r="AR126" s="6"/>
      <c r="AS126" s="6"/>
      <c r="AT126" s="6"/>
      <c r="AU126" s="6"/>
    </row>
    <row r="127" ht="14.25" customHeight="1">
      <c r="B127" s="26">
        <f t="shared" si="305"/>
        <v>101</v>
      </c>
      <c r="C127" s="26">
        <f t="shared" si="306"/>
        <v>1004</v>
      </c>
      <c r="D127" s="26">
        <f t="shared" si="7"/>
        <v>2.7</v>
      </c>
      <c r="E127" s="28">
        <f t="shared" si="307"/>
        <v>0</v>
      </c>
      <c r="F127" s="28">
        <f t="shared" si="308"/>
        <v>0</v>
      </c>
      <c r="G127" s="28">
        <f t="shared" si="309"/>
        <v>0</v>
      </c>
      <c r="H127" s="28">
        <f t="shared" si="310"/>
        <v>0</v>
      </c>
      <c r="I127" s="28">
        <f t="shared" si="311"/>
        <v>0</v>
      </c>
      <c r="J127" s="28">
        <f t="shared" si="312"/>
        <v>0</v>
      </c>
      <c r="K127" s="28">
        <f t="shared" si="313"/>
        <v>0</v>
      </c>
      <c r="L127" s="28">
        <f t="shared" si="314"/>
        <v>0.8981180911</v>
      </c>
      <c r="M127" s="28">
        <f t="shared" si="315"/>
        <v>0.0008375471932</v>
      </c>
      <c r="N127" s="28">
        <f t="shared" si="316"/>
        <v>0.00153242537</v>
      </c>
      <c r="O127" s="28">
        <f t="shared" si="317"/>
        <v>0.001703896617</v>
      </c>
      <c r="P127" s="28">
        <f t="shared" si="318"/>
        <v>0.09780803974</v>
      </c>
      <c r="R127" s="26">
        <f t="shared" si="27"/>
        <v>1</v>
      </c>
      <c r="S127" s="30">
        <f t="shared" si="8"/>
        <v>0</v>
      </c>
      <c r="T127" s="30">
        <f t="shared" ref="T127:U127" si="337">((F126+F127)/2)*T$25*($C127-$C126)</f>
        <v>0</v>
      </c>
      <c r="U127" s="30">
        <f t="shared" si="337"/>
        <v>0</v>
      </c>
      <c r="V127" s="30">
        <f t="shared" si="29"/>
        <v>0</v>
      </c>
      <c r="W127" s="30">
        <f t="shared" ref="W127:X127" si="338">((I126+I127)/2)*W$25*($C127-$C126)</f>
        <v>0</v>
      </c>
      <c r="X127" s="30">
        <f t="shared" si="338"/>
        <v>0</v>
      </c>
      <c r="Y127" s="30">
        <f t="shared" si="31"/>
        <v>0</v>
      </c>
      <c r="Z127" s="30">
        <f>(L127-OFFSET(L127,-IF(C127-C126&gt;i_Cos_Days,1,MIN(B127,i_Cos_Days)),0))*MIN(i_Cos_Days,($C127-$C126))</f>
        <v>0</v>
      </c>
      <c r="AA127" s="30">
        <f t="shared" si="32"/>
        <v>32.26376046</v>
      </c>
      <c r="AB127" s="30">
        <f t="shared" si="321"/>
        <v>36.14350895</v>
      </c>
      <c r="AC127" s="30">
        <f t="shared" si="322"/>
        <v>4.400483403</v>
      </c>
      <c r="AD127" s="30">
        <f t="shared" si="35"/>
        <v>0</v>
      </c>
      <c r="AE127" s="6"/>
      <c r="AF127" s="30">
        <f t="shared" si="11"/>
        <v>0.9991624528</v>
      </c>
      <c r="AG127" s="30">
        <v>0.0</v>
      </c>
      <c r="AH127" s="30">
        <f t="shared" si="12"/>
        <v>0</v>
      </c>
      <c r="AI127" s="30">
        <f t="shared" si="13"/>
        <v>0</v>
      </c>
      <c r="AJ127" s="30">
        <f>(AH127*(i_Adv_Fals/i_Adv_Alar))*AJ$25</f>
        <v>0</v>
      </c>
      <c r="AK127" s="30">
        <f>(AH127*(i_Adv_Lead/i_Adv_Alar))*AK$25</f>
        <v>0</v>
      </c>
      <c r="AL127" s="30">
        <f>((SUM(F126:J126)-((I126+J126)*(1-i_Bac_ICU)))+(SUM(F127:J127)-((I127+J127)*(1-i_Bac_ICU))))/2*(C127-C126)</f>
        <v>0</v>
      </c>
      <c r="AM127" s="30">
        <f>(((I126+J126)*(1-i_Bac_ICU))+((I127+J127)*(1-i_Bac_ICU))+K126+E126+E127+K127)/2*(C127-C126)</f>
        <v>0</v>
      </c>
      <c r="AN127" s="6"/>
      <c r="AO127" s="6"/>
      <c r="AP127" s="6"/>
      <c r="AQ127" s="6"/>
      <c r="AR127" s="6"/>
      <c r="AS127" s="6"/>
      <c r="AT127" s="6"/>
      <c r="AU127" s="6"/>
    </row>
    <row r="128" ht="14.25" customHeight="1">
      <c r="A128" s="6"/>
      <c r="B128" s="26">
        <f t="shared" si="305"/>
        <v>102</v>
      </c>
      <c r="C128" s="26">
        <f t="shared" si="306"/>
        <v>1095.3</v>
      </c>
      <c r="D128" s="26">
        <f t="shared" si="7"/>
        <v>3</v>
      </c>
      <c r="E128" s="28">
        <f t="shared" si="307"/>
        <v>0</v>
      </c>
      <c r="F128" s="28">
        <f t="shared" si="308"/>
        <v>0</v>
      </c>
      <c r="G128" s="28">
        <f t="shared" si="309"/>
        <v>0</v>
      </c>
      <c r="H128" s="28">
        <f t="shared" si="310"/>
        <v>0</v>
      </c>
      <c r="I128" s="28">
        <f t="shared" si="311"/>
        <v>0</v>
      </c>
      <c r="J128" s="28">
        <f t="shared" si="312"/>
        <v>0</v>
      </c>
      <c r="K128" s="28">
        <f t="shared" si="313"/>
        <v>0</v>
      </c>
      <c r="L128" s="28">
        <f t="shared" si="314"/>
        <v>0.891777378</v>
      </c>
      <c r="M128" s="28">
        <f t="shared" si="315"/>
        <v>0.0008316341106</v>
      </c>
      <c r="N128" s="28">
        <f t="shared" si="316"/>
        <v>0.001521606448</v>
      </c>
      <c r="O128" s="28">
        <f t="shared" si="317"/>
        <v>0.001691867108</v>
      </c>
      <c r="P128" s="28">
        <f t="shared" si="318"/>
        <v>0.1041775144</v>
      </c>
      <c r="R128" s="26">
        <f t="shared" si="27"/>
        <v>1</v>
      </c>
      <c r="S128" s="30">
        <f t="shared" si="8"/>
        <v>0</v>
      </c>
      <c r="T128" s="30">
        <f t="shared" ref="T128:U128" si="339">((F127+F128)/2)*T$25*($C128-$C127)</f>
        <v>0</v>
      </c>
      <c r="U128" s="30">
        <f t="shared" si="339"/>
        <v>0</v>
      </c>
      <c r="V128" s="30">
        <f t="shared" si="29"/>
        <v>0</v>
      </c>
      <c r="W128" s="30">
        <f t="shared" ref="W128:X128" si="340">((I127+I128)/2)*W$25*($C128-$C127)</f>
        <v>0</v>
      </c>
      <c r="X128" s="30">
        <f t="shared" si="340"/>
        <v>0</v>
      </c>
      <c r="Y128" s="30">
        <f t="shared" si="31"/>
        <v>0</v>
      </c>
      <c r="Z128" s="30">
        <f>(L128-OFFSET(L128,-IF(C128-C127&gt;i_Cos_Days,1,MIN(B128,i_Cos_Days)),0))*MIN(i_Cos_Days,($C128-$C127))</f>
        <v>0</v>
      </c>
      <c r="AA128" s="30">
        <f t="shared" si="32"/>
        <v>32.03597833</v>
      </c>
      <c r="AB128" s="30">
        <f t="shared" si="321"/>
        <v>35.8883358</v>
      </c>
      <c r="AC128" s="30">
        <f t="shared" si="322"/>
        <v>4.369415993</v>
      </c>
      <c r="AD128" s="30">
        <f t="shared" si="35"/>
        <v>0</v>
      </c>
      <c r="AE128" s="6"/>
      <c r="AF128" s="30">
        <f t="shared" si="11"/>
        <v>0.9991683659</v>
      </c>
      <c r="AG128" s="30">
        <v>0.0</v>
      </c>
      <c r="AH128" s="30">
        <f t="shared" si="12"/>
        <v>0</v>
      </c>
      <c r="AI128" s="30">
        <f t="shared" si="13"/>
        <v>0</v>
      </c>
      <c r="AJ128" s="30">
        <f>(AH128*(i_Adv_Fals/i_Adv_Alar))*AJ$25</f>
        <v>0</v>
      </c>
      <c r="AK128" s="30">
        <f>(AH128*(i_Adv_Lead/i_Adv_Alar))*AK$25</f>
        <v>0</v>
      </c>
      <c r="AL128" s="30">
        <f>((SUM(F127:J127)-((I127+J127)*(1-i_Bac_ICU)))+(SUM(F128:J128)-((I128+J128)*(1-i_Bac_ICU))))/2*(C128-C127)</f>
        <v>0</v>
      </c>
      <c r="AM128" s="30">
        <f>(((I127+J127)*(1-i_Bac_ICU))+((I128+J128)*(1-i_Bac_ICU))+K127+E127+E128+K128)/2*(C128-C127)</f>
        <v>0</v>
      </c>
      <c r="AN128" s="6"/>
      <c r="AO128" s="6"/>
      <c r="AP128" s="6"/>
      <c r="AQ128" s="6"/>
      <c r="AR128" s="6"/>
      <c r="AS128" s="6"/>
      <c r="AT128" s="6"/>
      <c r="AU128" s="6"/>
    </row>
    <row r="129" ht="14.25" customHeight="1">
      <c r="A129" s="6"/>
      <c r="B129" s="26">
        <f t="shared" si="305"/>
        <v>103</v>
      </c>
      <c r="C129" s="26">
        <f t="shared" si="306"/>
        <v>1186.6</v>
      </c>
      <c r="D129" s="26">
        <f t="shared" si="7"/>
        <v>3.2</v>
      </c>
      <c r="E129" s="28">
        <f t="shared" si="307"/>
        <v>0</v>
      </c>
      <c r="F129" s="28">
        <f t="shared" si="308"/>
        <v>0</v>
      </c>
      <c r="G129" s="28">
        <f t="shared" si="309"/>
        <v>0</v>
      </c>
      <c r="H129" s="28">
        <f t="shared" si="310"/>
        <v>0</v>
      </c>
      <c r="I129" s="28">
        <f t="shared" si="311"/>
        <v>0</v>
      </c>
      <c r="J129" s="28">
        <f t="shared" si="312"/>
        <v>0</v>
      </c>
      <c r="K129" s="28">
        <f t="shared" si="313"/>
        <v>0</v>
      </c>
      <c r="L129" s="28">
        <f t="shared" si="314"/>
        <v>0.8854814303</v>
      </c>
      <c r="M129" s="28">
        <f t="shared" si="315"/>
        <v>0.0008257627743</v>
      </c>
      <c r="N129" s="28">
        <f t="shared" si="316"/>
        <v>0.001510863908</v>
      </c>
      <c r="O129" s="28">
        <f t="shared" si="317"/>
        <v>0.001679922528</v>
      </c>
      <c r="P129" s="28">
        <f t="shared" si="318"/>
        <v>0.1105020205</v>
      </c>
      <c r="Q129" s="6"/>
      <c r="R129" s="26">
        <f t="shared" si="27"/>
        <v>1</v>
      </c>
      <c r="S129" s="30">
        <f t="shared" si="8"/>
        <v>0</v>
      </c>
      <c r="T129" s="30">
        <f t="shared" ref="T129:U129" si="341">((F128+F129)/2)*T$25*($C129-$C128)</f>
        <v>0</v>
      </c>
      <c r="U129" s="30">
        <f t="shared" si="341"/>
        <v>0</v>
      </c>
      <c r="V129" s="30">
        <f t="shared" si="29"/>
        <v>0</v>
      </c>
      <c r="W129" s="30">
        <f t="shared" ref="W129:X129" si="342">((I128+I129)/2)*W$25*($C129-$C128)</f>
        <v>0</v>
      </c>
      <c r="X129" s="30">
        <f t="shared" si="342"/>
        <v>0</v>
      </c>
      <c r="Y129" s="30">
        <f t="shared" si="31"/>
        <v>0</v>
      </c>
      <c r="Z129" s="30">
        <f>(L129-OFFSET(L129,-IF(C129-C128&gt;i_Cos_Days,1,MIN(B129,i_Cos_Days)),0))*MIN(i_Cos_Days,($C129-$C128))</f>
        <v>0</v>
      </c>
      <c r="AA129" s="30">
        <f t="shared" si="32"/>
        <v>31.80980435</v>
      </c>
      <c r="AB129" s="30">
        <f t="shared" si="321"/>
        <v>35.63496417</v>
      </c>
      <c r="AC129" s="30">
        <f t="shared" si="322"/>
        <v>4.33856792</v>
      </c>
      <c r="AD129" s="30">
        <f t="shared" si="35"/>
        <v>0</v>
      </c>
      <c r="AE129" s="6"/>
      <c r="AF129" s="30">
        <f t="shared" si="11"/>
        <v>0.9991742372</v>
      </c>
      <c r="AG129" s="30">
        <v>0.0</v>
      </c>
      <c r="AH129" s="30">
        <f t="shared" si="12"/>
        <v>0</v>
      </c>
      <c r="AI129" s="30">
        <f t="shared" si="13"/>
        <v>0</v>
      </c>
      <c r="AJ129" s="30">
        <f>(AH129*(i_Adv_Fals/i_Adv_Alar))*AJ$25</f>
        <v>0</v>
      </c>
      <c r="AK129" s="30">
        <f>(AH129*(i_Adv_Lead/i_Adv_Alar))*AK$25</f>
        <v>0</v>
      </c>
      <c r="AL129" s="30">
        <f>((SUM(F128:J128)-((I128+J128)*(1-i_Bac_ICU)))+(SUM(F129:J129)-((I129+J129)*(1-i_Bac_ICU))))/2*(C129-C128)</f>
        <v>0</v>
      </c>
      <c r="AM129" s="30">
        <f>(((I128+J128)*(1-i_Bac_ICU))+((I129+J129)*(1-i_Bac_ICU))+K128+E128+E129+K129)/2*(C129-C128)</f>
        <v>0</v>
      </c>
      <c r="AN129" s="6"/>
      <c r="AO129" s="6"/>
      <c r="AP129" s="6"/>
      <c r="AQ129" s="6"/>
      <c r="AR129" s="6"/>
      <c r="AS129" s="6"/>
      <c r="AT129" s="6"/>
      <c r="AU129" s="6"/>
    </row>
    <row r="130" ht="14.25" customHeight="1">
      <c r="A130" s="6"/>
      <c r="B130" s="26">
        <f t="shared" si="305"/>
        <v>104</v>
      </c>
      <c r="C130" s="26">
        <f t="shared" si="306"/>
        <v>1277.9</v>
      </c>
      <c r="D130" s="26">
        <f t="shared" si="7"/>
        <v>3.5</v>
      </c>
      <c r="E130" s="28">
        <f t="shared" si="307"/>
        <v>0</v>
      </c>
      <c r="F130" s="28">
        <f t="shared" si="308"/>
        <v>0</v>
      </c>
      <c r="G130" s="28">
        <f t="shared" si="309"/>
        <v>0</v>
      </c>
      <c r="H130" s="28">
        <f t="shared" si="310"/>
        <v>0</v>
      </c>
      <c r="I130" s="28">
        <f t="shared" si="311"/>
        <v>0</v>
      </c>
      <c r="J130" s="28">
        <f t="shared" si="312"/>
        <v>0</v>
      </c>
      <c r="K130" s="28">
        <f t="shared" si="313"/>
        <v>0</v>
      </c>
      <c r="L130" s="28">
        <f t="shared" si="314"/>
        <v>0.879229932</v>
      </c>
      <c r="M130" s="28">
        <f t="shared" si="315"/>
        <v>0.0008199328897</v>
      </c>
      <c r="N130" s="28">
        <f t="shared" si="316"/>
        <v>0.00150019721</v>
      </c>
      <c r="O130" s="28">
        <f t="shared" si="317"/>
        <v>0.001668062276</v>
      </c>
      <c r="P130" s="28">
        <f t="shared" si="318"/>
        <v>0.1167818756</v>
      </c>
      <c r="Q130" s="6"/>
      <c r="R130" s="26">
        <f t="shared" si="27"/>
        <v>1</v>
      </c>
      <c r="S130" s="30">
        <f t="shared" si="8"/>
        <v>0</v>
      </c>
      <c r="T130" s="30">
        <f t="shared" ref="T130:U130" si="343">((F129+F130)/2)*T$25*($C130-$C129)</f>
        <v>0</v>
      </c>
      <c r="U130" s="30">
        <f t="shared" si="343"/>
        <v>0</v>
      </c>
      <c r="V130" s="30">
        <f t="shared" si="29"/>
        <v>0</v>
      </c>
      <c r="W130" s="30">
        <f t="shared" ref="W130:X130" si="344">((I129+I130)/2)*W$25*($C130-$C129)</f>
        <v>0</v>
      </c>
      <c r="X130" s="30">
        <f t="shared" si="344"/>
        <v>0</v>
      </c>
      <c r="Y130" s="30">
        <f t="shared" si="31"/>
        <v>0</v>
      </c>
      <c r="Z130" s="30">
        <f>(L130-OFFSET(L130,-IF(C130-C129&gt;i_Cos_Days,1,MIN(B130,i_Cos_Days)),0))*MIN(i_Cos_Days,($C130-$C129))</f>
        <v>0</v>
      </c>
      <c r="AA130" s="30">
        <f t="shared" si="32"/>
        <v>31.58522715</v>
      </c>
      <c r="AB130" s="30">
        <f t="shared" si="321"/>
        <v>35.38338135</v>
      </c>
      <c r="AC130" s="30">
        <f t="shared" si="322"/>
        <v>4.307937633</v>
      </c>
      <c r="AD130" s="30">
        <f t="shared" si="35"/>
        <v>0</v>
      </c>
      <c r="AE130" s="6"/>
      <c r="AF130" s="30">
        <f t="shared" si="11"/>
        <v>0.9991800671</v>
      </c>
      <c r="AG130" s="30">
        <v>0.0</v>
      </c>
      <c r="AH130" s="30">
        <f t="shared" si="12"/>
        <v>0</v>
      </c>
      <c r="AI130" s="30">
        <f t="shared" si="13"/>
        <v>0</v>
      </c>
      <c r="AJ130" s="30">
        <f>(AH130*(i_Adv_Fals/i_Adv_Alar))*AJ$25</f>
        <v>0</v>
      </c>
      <c r="AK130" s="30">
        <f>(AH130*(i_Adv_Lead/i_Adv_Alar))*AK$25</f>
        <v>0</v>
      </c>
      <c r="AL130" s="30">
        <f>((SUM(F129:J129)-((I129+J129)*(1-i_Bac_ICU)))+(SUM(F130:J130)-((I130+J130)*(1-i_Bac_ICU))))/2*(C130-C129)</f>
        <v>0</v>
      </c>
      <c r="AM130" s="30">
        <f>(((I129+J129)*(1-i_Bac_ICU))+((I130+J130)*(1-i_Bac_ICU))+K129+E129+E130+K130)/2*(C130-C129)</f>
        <v>0</v>
      </c>
      <c r="AN130" s="6"/>
      <c r="AO130" s="6"/>
      <c r="AP130" s="6"/>
      <c r="AQ130" s="6"/>
      <c r="AR130" s="6"/>
      <c r="AS130" s="6"/>
      <c r="AT130" s="6"/>
      <c r="AU130" s="6"/>
    </row>
    <row r="131" ht="14.25" customHeight="1">
      <c r="A131" s="6"/>
      <c r="B131" s="26">
        <f t="shared" si="305"/>
        <v>105</v>
      </c>
      <c r="C131" s="26">
        <f t="shared" si="306"/>
        <v>1369.2</v>
      </c>
      <c r="D131" s="26">
        <f t="shared" si="7"/>
        <v>3.7</v>
      </c>
      <c r="E131" s="28">
        <f t="shared" si="307"/>
        <v>0</v>
      </c>
      <c r="F131" s="28">
        <f t="shared" si="308"/>
        <v>0</v>
      </c>
      <c r="G131" s="28">
        <f t="shared" si="309"/>
        <v>0</v>
      </c>
      <c r="H131" s="28">
        <f t="shared" si="310"/>
        <v>0</v>
      </c>
      <c r="I131" s="28">
        <f t="shared" si="311"/>
        <v>0</v>
      </c>
      <c r="J131" s="28">
        <f t="shared" si="312"/>
        <v>0</v>
      </c>
      <c r="K131" s="28">
        <f t="shared" si="313"/>
        <v>0</v>
      </c>
      <c r="L131" s="28">
        <f t="shared" si="314"/>
        <v>0.8730225693</v>
      </c>
      <c r="M131" s="28">
        <f t="shared" si="315"/>
        <v>0.0008141441641</v>
      </c>
      <c r="N131" s="28">
        <f t="shared" si="316"/>
        <v>0.001489605818</v>
      </c>
      <c r="O131" s="28">
        <f t="shared" si="317"/>
        <v>0.001656285757</v>
      </c>
      <c r="P131" s="28">
        <f t="shared" si="318"/>
        <v>0.123017395</v>
      </c>
      <c r="Q131" s="6"/>
      <c r="R131" s="26">
        <f t="shared" si="27"/>
        <v>1</v>
      </c>
      <c r="S131" s="30">
        <f t="shared" si="8"/>
        <v>0</v>
      </c>
      <c r="T131" s="30">
        <f t="shared" ref="T131:U131" si="345">((F130+F131)/2)*T$25*($C131-$C130)</f>
        <v>0</v>
      </c>
      <c r="U131" s="30">
        <f t="shared" si="345"/>
        <v>0</v>
      </c>
      <c r="V131" s="30">
        <f t="shared" si="29"/>
        <v>0</v>
      </c>
      <c r="W131" s="30">
        <f t="shared" ref="W131:X131" si="346">((I130+I131)/2)*W$25*($C131-$C130)</f>
        <v>0</v>
      </c>
      <c r="X131" s="30">
        <f t="shared" si="346"/>
        <v>0</v>
      </c>
      <c r="Y131" s="30">
        <f t="shared" si="31"/>
        <v>0</v>
      </c>
      <c r="Z131" s="30">
        <f>(L131-OFFSET(L131,-IF(C131-C130&gt;i_Cos_Days,1,MIN(B131,i_Cos_Days)),0))*MIN(i_Cos_Days,($C131-$C130))</f>
        <v>0</v>
      </c>
      <c r="AA131" s="30">
        <f t="shared" si="32"/>
        <v>31.36223547</v>
      </c>
      <c r="AB131" s="30">
        <f t="shared" si="321"/>
        <v>35.1335747</v>
      </c>
      <c r="AC131" s="30">
        <f t="shared" si="322"/>
        <v>4.277523596</v>
      </c>
      <c r="AD131" s="30">
        <f t="shared" si="35"/>
        <v>0</v>
      </c>
      <c r="AE131" s="6"/>
      <c r="AF131" s="30">
        <f t="shared" si="11"/>
        <v>0.9991858558</v>
      </c>
      <c r="AG131" s="30">
        <v>0.0</v>
      </c>
      <c r="AH131" s="30">
        <f t="shared" si="12"/>
        <v>0</v>
      </c>
      <c r="AI131" s="30">
        <f t="shared" si="13"/>
        <v>0</v>
      </c>
      <c r="AJ131" s="30">
        <f>(AH131*(i_Adv_Fals/i_Adv_Alar))*AJ$25</f>
        <v>0</v>
      </c>
      <c r="AK131" s="30">
        <f>(AH131*(i_Adv_Lead/i_Adv_Alar))*AK$25</f>
        <v>0</v>
      </c>
      <c r="AL131" s="30">
        <f>((SUM(F130:J130)-((I130+J130)*(1-i_Bac_ICU)))+(SUM(F131:J131)-((I131+J131)*(1-i_Bac_ICU))))/2*(C131-C130)</f>
        <v>0</v>
      </c>
      <c r="AM131" s="30">
        <f>(((I130+J130)*(1-i_Bac_ICU))+((I131+J131)*(1-i_Bac_ICU))+K130+E130+E131+K131)/2*(C131-C130)</f>
        <v>0</v>
      </c>
      <c r="AN131" s="6"/>
      <c r="AO131" s="6"/>
      <c r="AP131" s="6"/>
      <c r="AQ131" s="6"/>
      <c r="AR131" s="6"/>
      <c r="AS131" s="6"/>
      <c r="AT131" s="6"/>
      <c r="AU131" s="6"/>
    </row>
    <row r="132" ht="14.25" customHeight="1">
      <c r="A132" s="6"/>
      <c r="B132" s="26">
        <f t="shared" si="305"/>
        <v>106</v>
      </c>
      <c r="C132" s="26">
        <f t="shared" si="306"/>
        <v>1460.5</v>
      </c>
      <c r="D132" s="26">
        <f t="shared" si="7"/>
        <v>4</v>
      </c>
      <c r="E132" s="28">
        <f t="shared" si="307"/>
        <v>0</v>
      </c>
      <c r="F132" s="28">
        <f t="shared" si="308"/>
        <v>0</v>
      </c>
      <c r="G132" s="28">
        <f t="shared" si="309"/>
        <v>0</v>
      </c>
      <c r="H132" s="28">
        <f t="shared" si="310"/>
        <v>0</v>
      </c>
      <c r="I132" s="28">
        <f t="shared" si="311"/>
        <v>0</v>
      </c>
      <c r="J132" s="28">
        <f t="shared" si="312"/>
        <v>0</v>
      </c>
      <c r="K132" s="28">
        <f t="shared" si="313"/>
        <v>0</v>
      </c>
      <c r="L132" s="28">
        <f t="shared" si="314"/>
        <v>0.8668590305</v>
      </c>
      <c r="M132" s="28">
        <f t="shared" si="315"/>
        <v>0.0008083963068</v>
      </c>
      <c r="N132" s="28">
        <f t="shared" si="316"/>
        <v>0.001479089202</v>
      </c>
      <c r="O132" s="28">
        <f t="shared" si="317"/>
        <v>0.001644592381</v>
      </c>
      <c r="P132" s="28">
        <f t="shared" si="318"/>
        <v>0.1292088916</v>
      </c>
      <c r="Q132" s="6"/>
      <c r="R132" s="26">
        <f t="shared" si="27"/>
        <v>1</v>
      </c>
      <c r="S132" s="30">
        <f t="shared" si="8"/>
        <v>0</v>
      </c>
      <c r="T132" s="30">
        <f t="shared" ref="T132:U132" si="347">((F131+F132)/2)*T$25*($C132-$C131)</f>
        <v>0</v>
      </c>
      <c r="U132" s="30">
        <f t="shared" si="347"/>
        <v>0</v>
      </c>
      <c r="V132" s="30">
        <f t="shared" si="29"/>
        <v>0</v>
      </c>
      <c r="W132" s="30">
        <f t="shared" ref="W132:X132" si="348">((I131+I132)/2)*W$25*($C132-$C131)</f>
        <v>0</v>
      </c>
      <c r="X132" s="30">
        <f t="shared" si="348"/>
        <v>0</v>
      </c>
      <c r="Y132" s="30">
        <f t="shared" si="31"/>
        <v>0</v>
      </c>
      <c r="Z132" s="30">
        <f>(L132-OFFSET(L132,-IF(C132-C131&gt;i_Cos_Days,1,MIN(B132,i_Cos_Days)),0))*MIN(i_Cos_Days,($C132-$C131))</f>
        <v>0</v>
      </c>
      <c r="AA132" s="30">
        <f t="shared" si="32"/>
        <v>31.14081811</v>
      </c>
      <c r="AB132" s="30">
        <f t="shared" si="321"/>
        <v>34.88553169</v>
      </c>
      <c r="AC132" s="30">
        <f t="shared" si="322"/>
        <v>4.247324282</v>
      </c>
      <c r="AD132" s="30">
        <f t="shared" si="35"/>
        <v>0</v>
      </c>
      <c r="AE132" s="6"/>
      <c r="AF132" s="30">
        <f t="shared" si="11"/>
        <v>0.9991916037</v>
      </c>
      <c r="AG132" s="30">
        <v>0.0</v>
      </c>
      <c r="AH132" s="30">
        <f t="shared" si="12"/>
        <v>0</v>
      </c>
      <c r="AI132" s="30">
        <f t="shared" si="13"/>
        <v>0</v>
      </c>
      <c r="AJ132" s="30">
        <f>(AH132*(i_Adv_Fals/i_Adv_Alar))*AJ$25</f>
        <v>0</v>
      </c>
      <c r="AK132" s="30">
        <f>(AH132*(i_Adv_Lead/i_Adv_Alar))*AK$25</f>
        <v>0</v>
      </c>
      <c r="AL132" s="30">
        <f>((SUM(F131:J131)-((I131+J131)*(1-i_Bac_ICU)))+(SUM(F132:J132)-((I132+J132)*(1-i_Bac_ICU))))/2*(C132-C131)</f>
        <v>0</v>
      </c>
      <c r="AM132" s="30">
        <f>(((I131+J131)*(1-i_Bac_ICU))+((I132+J132)*(1-i_Bac_ICU))+K131+E131+E132+K132)/2*(C132-C131)</f>
        <v>0</v>
      </c>
      <c r="AN132" s="6"/>
      <c r="AO132" s="6"/>
      <c r="AP132" s="6"/>
      <c r="AQ132" s="6"/>
      <c r="AR132" s="6"/>
      <c r="AS132" s="6"/>
      <c r="AT132" s="6"/>
      <c r="AU132" s="6"/>
    </row>
    <row r="133" ht="14.25" customHeight="1">
      <c r="A133" s="6"/>
      <c r="B133" s="26">
        <f t="shared" si="305"/>
        <v>107</v>
      </c>
      <c r="C133" s="26">
        <f t="shared" si="306"/>
        <v>1551.8</v>
      </c>
      <c r="D133" s="26">
        <f t="shared" si="7"/>
        <v>4.2</v>
      </c>
      <c r="E133" s="28">
        <f t="shared" si="307"/>
        <v>0</v>
      </c>
      <c r="F133" s="28">
        <f t="shared" si="308"/>
        <v>0</v>
      </c>
      <c r="G133" s="28">
        <f t="shared" si="309"/>
        <v>0</v>
      </c>
      <c r="H133" s="28">
        <f t="shared" si="310"/>
        <v>0</v>
      </c>
      <c r="I133" s="28">
        <f t="shared" si="311"/>
        <v>0</v>
      </c>
      <c r="J133" s="28">
        <f t="shared" si="312"/>
        <v>0</v>
      </c>
      <c r="K133" s="28">
        <f t="shared" si="313"/>
        <v>0</v>
      </c>
      <c r="L133" s="28">
        <f t="shared" si="314"/>
        <v>0.8607390063</v>
      </c>
      <c r="M133" s="28">
        <f t="shared" si="315"/>
        <v>0.0008026890294</v>
      </c>
      <c r="N133" s="28">
        <f t="shared" si="316"/>
        <v>0.001468646833</v>
      </c>
      <c r="O133" s="28">
        <f t="shared" si="317"/>
        <v>0.00163298156</v>
      </c>
      <c r="P133" s="28">
        <f t="shared" si="318"/>
        <v>0.1353566762</v>
      </c>
      <c r="Q133" s="6"/>
      <c r="R133" s="26">
        <f t="shared" si="27"/>
        <v>1</v>
      </c>
      <c r="S133" s="30">
        <f t="shared" si="8"/>
        <v>0</v>
      </c>
      <c r="T133" s="30">
        <f t="shared" ref="T133:U133" si="349">((F132+F133)/2)*T$25*($C133-$C132)</f>
        <v>0</v>
      </c>
      <c r="U133" s="30">
        <f t="shared" si="349"/>
        <v>0</v>
      </c>
      <c r="V133" s="30">
        <f t="shared" si="29"/>
        <v>0</v>
      </c>
      <c r="W133" s="30">
        <f t="shared" ref="W133:X133" si="350">((I132+I133)/2)*W$25*($C133-$C132)</f>
        <v>0</v>
      </c>
      <c r="X133" s="30">
        <f t="shared" si="350"/>
        <v>0</v>
      </c>
      <c r="Y133" s="30">
        <f t="shared" si="31"/>
        <v>0</v>
      </c>
      <c r="Z133" s="30">
        <f>(L133-OFFSET(L133,-IF(C133-C132&gt;i_Cos_Days,1,MIN(B133,i_Cos_Days)),0))*MIN(i_Cos_Days,($C133-$C132))</f>
        <v>0</v>
      </c>
      <c r="AA133" s="30">
        <f t="shared" si="32"/>
        <v>30.92096395</v>
      </c>
      <c r="AB133" s="30">
        <f t="shared" si="321"/>
        <v>34.63923986</v>
      </c>
      <c r="AC133" s="30">
        <f t="shared" si="322"/>
        <v>4.217338176</v>
      </c>
      <c r="AD133" s="30">
        <f t="shared" si="35"/>
        <v>0</v>
      </c>
      <c r="AE133" s="6"/>
      <c r="AF133" s="30">
        <f t="shared" si="11"/>
        <v>0.999197311</v>
      </c>
      <c r="AG133" s="30">
        <v>0.0</v>
      </c>
      <c r="AH133" s="30">
        <f t="shared" si="12"/>
        <v>0</v>
      </c>
      <c r="AI133" s="30">
        <f t="shared" si="13"/>
        <v>0</v>
      </c>
      <c r="AJ133" s="30">
        <f>(AH133*(i_Adv_Fals/i_Adv_Alar))*AJ$25</f>
        <v>0</v>
      </c>
      <c r="AK133" s="30">
        <f>(AH133*(i_Adv_Lead/i_Adv_Alar))*AK$25</f>
        <v>0</v>
      </c>
      <c r="AL133" s="30">
        <f>((SUM(F132:J132)-((I132+J132)*(1-i_Bac_ICU)))+(SUM(F133:J133)-((I133+J133)*(1-i_Bac_ICU))))/2*(C133-C132)</f>
        <v>0</v>
      </c>
      <c r="AM133" s="30">
        <f>(((I132+J132)*(1-i_Bac_ICU))+((I133+J133)*(1-i_Bac_ICU))+K132+E132+E133+K133)/2*(C133-C132)</f>
        <v>0</v>
      </c>
      <c r="AN133" s="6"/>
      <c r="AO133" s="6"/>
      <c r="AP133" s="6"/>
      <c r="AQ133" s="6"/>
      <c r="AR133" s="6"/>
      <c r="AS133" s="6"/>
      <c r="AT133" s="6"/>
      <c r="AU133" s="6"/>
    </row>
    <row r="134" ht="14.25" customHeight="1">
      <c r="A134" s="6"/>
      <c r="B134" s="26">
        <f t="shared" si="305"/>
        <v>108</v>
      </c>
      <c r="C134" s="26">
        <f t="shared" si="306"/>
        <v>1643.1</v>
      </c>
      <c r="D134" s="26">
        <f t="shared" si="7"/>
        <v>4.5</v>
      </c>
      <c r="E134" s="28">
        <f t="shared" si="307"/>
        <v>0</v>
      </c>
      <c r="F134" s="28">
        <f t="shared" si="308"/>
        <v>0</v>
      </c>
      <c r="G134" s="28">
        <f t="shared" si="309"/>
        <v>0</v>
      </c>
      <c r="H134" s="28">
        <f t="shared" si="310"/>
        <v>0</v>
      </c>
      <c r="I134" s="28">
        <f t="shared" si="311"/>
        <v>0</v>
      </c>
      <c r="J134" s="28">
        <f t="shared" si="312"/>
        <v>0</v>
      </c>
      <c r="K134" s="28">
        <f t="shared" si="313"/>
        <v>0</v>
      </c>
      <c r="L134" s="28">
        <f t="shared" si="314"/>
        <v>0.8546621895</v>
      </c>
      <c r="M134" s="28">
        <f t="shared" si="315"/>
        <v>0.0007970220454</v>
      </c>
      <c r="N134" s="28">
        <f t="shared" si="316"/>
        <v>0.001458278188</v>
      </c>
      <c r="O134" s="28">
        <f t="shared" si="317"/>
        <v>0.001621452711</v>
      </c>
      <c r="P134" s="28">
        <f t="shared" si="318"/>
        <v>0.1414610575</v>
      </c>
      <c r="Q134" s="6"/>
      <c r="R134" s="26">
        <f t="shared" si="27"/>
        <v>1</v>
      </c>
      <c r="S134" s="30">
        <f t="shared" si="8"/>
        <v>0</v>
      </c>
      <c r="T134" s="30">
        <f t="shared" ref="T134:U134" si="351">((F133+F134)/2)*T$25*($C134-$C133)</f>
        <v>0</v>
      </c>
      <c r="U134" s="30">
        <f t="shared" si="351"/>
        <v>0</v>
      </c>
      <c r="V134" s="30">
        <f t="shared" si="29"/>
        <v>0</v>
      </c>
      <c r="W134" s="30">
        <f t="shared" ref="W134:X134" si="352">((I133+I134)/2)*W$25*($C134-$C133)</f>
        <v>0</v>
      </c>
      <c r="X134" s="30">
        <f t="shared" si="352"/>
        <v>0</v>
      </c>
      <c r="Y134" s="30">
        <f t="shared" si="31"/>
        <v>0</v>
      </c>
      <c r="Z134" s="30">
        <f>(L134-OFFSET(L134,-IF(C134-C133&gt;i_Cos_Days,1,MIN(B134,i_Cos_Days)),0))*MIN(i_Cos_Days,($C134-$C133))</f>
        <v>0</v>
      </c>
      <c r="AA134" s="30">
        <f t="shared" si="32"/>
        <v>30.70266197</v>
      </c>
      <c r="AB134" s="30">
        <f t="shared" si="321"/>
        <v>34.39468685</v>
      </c>
      <c r="AC134" s="30">
        <f t="shared" si="322"/>
        <v>4.187563771</v>
      </c>
      <c r="AD134" s="30">
        <f t="shared" si="35"/>
        <v>0</v>
      </c>
      <c r="AE134" s="6"/>
      <c r="AF134" s="30">
        <f t="shared" si="11"/>
        <v>0.999202978</v>
      </c>
      <c r="AG134" s="30">
        <v>0.0</v>
      </c>
      <c r="AH134" s="30">
        <f t="shared" si="12"/>
        <v>0</v>
      </c>
      <c r="AI134" s="30">
        <f t="shared" si="13"/>
        <v>0</v>
      </c>
      <c r="AJ134" s="30">
        <f>(AH134*(i_Adv_Fals/i_Adv_Alar))*AJ$25</f>
        <v>0</v>
      </c>
      <c r="AK134" s="30">
        <f>(AH134*(i_Adv_Lead/i_Adv_Alar))*AK$25</f>
        <v>0</v>
      </c>
      <c r="AL134" s="30">
        <f>((SUM(F133:J133)-((I133+J133)*(1-i_Bac_ICU)))+(SUM(F134:J134)-((I134+J134)*(1-i_Bac_ICU))))/2*(C134-C133)</f>
        <v>0</v>
      </c>
      <c r="AM134" s="30">
        <f>(((I133+J133)*(1-i_Bac_ICU))+((I134+J134)*(1-i_Bac_ICU))+K133+E133+E134+K134)/2*(C134-C133)</f>
        <v>0</v>
      </c>
      <c r="AN134" s="6"/>
      <c r="AO134" s="6"/>
      <c r="AP134" s="6"/>
      <c r="AQ134" s="6"/>
      <c r="AR134" s="6"/>
      <c r="AS134" s="6"/>
      <c r="AT134" s="6"/>
      <c r="AU134" s="6"/>
    </row>
    <row r="135" ht="14.25" customHeight="1">
      <c r="A135" s="6"/>
      <c r="B135" s="26">
        <f t="shared" si="305"/>
        <v>109</v>
      </c>
      <c r="C135" s="26">
        <f t="shared" si="306"/>
        <v>1734.4</v>
      </c>
      <c r="D135" s="26">
        <f t="shared" si="7"/>
        <v>4.7</v>
      </c>
      <c r="E135" s="28">
        <f t="shared" si="307"/>
        <v>0</v>
      </c>
      <c r="F135" s="28">
        <f t="shared" si="308"/>
        <v>0</v>
      </c>
      <c r="G135" s="28">
        <f t="shared" si="309"/>
        <v>0</v>
      </c>
      <c r="H135" s="28">
        <f t="shared" si="310"/>
        <v>0</v>
      </c>
      <c r="I135" s="28">
        <f t="shared" si="311"/>
        <v>0</v>
      </c>
      <c r="J135" s="28">
        <f t="shared" si="312"/>
        <v>0</v>
      </c>
      <c r="K135" s="28">
        <f t="shared" si="313"/>
        <v>0</v>
      </c>
      <c r="L135" s="28">
        <f t="shared" si="314"/>
        <v>0.8486282751</v>
      </c>
      <c r="M135" s="28">
        <f t="shared" si="315"/>
        <v>0.0007913950703</v>
      </c>
      <c r="N135" s="28">
        <f t="shared" si="316"/>
        <v>0.001447982745</v>
      </c>
      <c r="O135" s="28">
        <f t="shared" si="317"/>
        <v>0.001610005256</v>
      </c>
      <c r="P135" s="28">
        <f t="shared" si="318"/>
        <v>0.1475223419</v>
      </c>
      <c r="Q135" s="6"/>
      <c r="R135" s="26">
        <f t="shared" si="27"/>
        <v>1</v>
      </c>
      <c r="S135" s="30">
        <f t="shared" si="8"/>
        <v>0</v>
      </c>
      <c r="T135" s="30">
        <f t="shared" ref="T135:U135" si="353">((F134+F135)/2)*T$25*($C135-$C134)</f>
        <v>0</v>
      </c>
      <c r="U135" s="30">
        <f t="shared" si="353"/>
        <v>0</v>
      </c>
      <c r="V135" s="30">
        <f t="shared" si="29"/>
        <v>0</v>
      </c>
      <c r="W135" s="30">
        <f t="shared" ref="W135:X135" si="354">((I134+I135)/2)*W$25*($C135-$C134)</f>
        <v>0</v>
      </c>
      <c r="X135" s="30">
        <f t="shared" si="354"/>
        <v>0</v>
      </c>
      <c r="Y135" s="30">
        <f t="shared" si="31"/>
        <v>0</v>
      </c>
      <c r="Z135" s="30">
        <f>(L135-OFFSET(L135,-IF(C135-C134&gt;i_Cos_Days,1,MIN(B135,i_Cos_Days)),0))*MIN(i_Cos_Days,($C135-$C134))</f>
        <v>0</v>
      </c>
      <c r="AA135" s="30">
        <f t="shared" si="32"/>
        <v>30.48590119</v>
      </c>
      <c r="AB135" s="30">
        <f t="shared" si="321"/>
        <v>34.15186038</v>
      </c>
      <c r="AC135" s="30">
        <f t="shared" si="322"/>
        <v>4.157999574</v>
      </c>
      <c r="AD135" s="30">
        <f t="shared" si="35"/>
        <v>0</v>
      </c>
      <c r="AE135" s="6"/>
      <c r="AF135" s="30">
        <f t="shared" si="11"/>
        <v>0.9992086049</v>
      </c>
      <c r="AG135" s="30">
        <v>0.0</v>
      </c>
      <c r="AH135" s="30">
        <f t="shared" si="12"/>
        <v>0</v>
      </c>
      <c r="AI135" s="30">
        <f t="shared" si="13"/>
        <v>0</v>
      </c>
      <c r="AJ135" s="30">
        <f>(AH135*(i_Adv_Fals/i_Adv_Alar))*AJ$25</f>
        <v>0</v>
      </c>
      <c r="AK135" s="30">
        <f>(AH135*(i_Adv_Lead/i_Adv_Alar))*AK$25</f>
        <v>0</v>
      </c>
      <c r="AL135" s="30">
        <f>((SUM(F134:J134)-((I134+J134)*(1-i_Bac_ICU)))+(SUM(F135:J135)-((I135+J135)*(1-i_Bac_ICU))))/2*(C135-C134)</f>
        <v>0</v>
      </c>
      <c r="AM135" s="30">
        <f>(((I134+J134)*(1-i_Bac_ICU))+((I135+J135)*(1-i_Bac_ICU))+K134+E134+E135+K135)/2*(C135-C134)</f>
        <v>0</v>
      </c>
      <c r="AN135" s="6"/>
      <c r="AO135" s="6"/>
      <c r="AP135" s="6"/>
      <c r="AQ135" s="6"/>
      <c r="AR135" s="6"/>
      <c r="AS135" s="6"/>
      <c r="AT135" s="6"/>
      <c r="AU135" s="6"/>
    </row>
    <row r="136" ht="14.25" customHeight="1">
      <c r="A136" s="6"/>
      <c r="B136" s="26">
        <f t="shared" si="305"/>
        <v>110</v>
      </c>
      <c r="C136" s="26">
        <f t="shared" si="306"/>
        <v>1825.7</v>
      </c>
      <c r="D136" s="26">
        <f t="shared" si="7"/>
        <v>5</v>
      </c>
      <c r="E136" s="28">
        <f t="shared" si="307"/>
        <v>0</v>
      </c>
      <c r="F136" s="28">
        <f t="shared" si="308"/>
        <v>0</v>
      </c>
      <c r="G136" s="28">
        <f t="shared" si="309"/>
        <v>0</v>
      </c>
      <c r="H136" s="28">
        <f t="shared" si="310"/>
        <v>0</v>
      </c>
      <c r="I136" s="28">
        <f t="shared" si="311"/>
        <v>0</v>
      </c>
      <c r="J136" s="28">
        <f t="shared" si="312"/>
        <v>0</v>
      </c>
      <c r="K136" s="28">
        <f t="shared" si="313"/>
        <v>0</v>
      </c>
      <c r="L136" s="28">
        <f t="shared" si="314"/>
        <v>0.84263696</v>
      </c>
      <c r="M136" s="28">
        <f t="shared" si="315"/>
        <v>0.0007858078217</v>
      </c>
      <c r="N136" s="28">
        <f t="shared" si="316"/>
        <v>0.001437759988</v>
      </c>
      <c r="O136" s="28">
        <f t="shared" si="317"/>
        <v>0.00159863862</v>
      </c>
      <c r="P136" s="28">
        <f t="shared" si="318"/>
        <v>0.1535408336</v>
      </c>
      <c r="Q136" s="6"/>
      <c r="R136" s="26">
        <f t="shared" si="27"/>
        <v>1</v>
      </c>
      <c r="S136" s="30">
        <f t="shared" si="8"/>
        <v>0</v>
      </c>
      <c r="T136" s="30">
        <f t="shared" ref="T136:U136" si="355">((F135+F136)/2)*T$25*($C136-$C135)</f>
        <v>0</v>
      </c>
      <c r="U136" s="30">
        <f t="shared" si="355"/>
        <v>0</v>
      </c>
      <c r="V136" s="30">
        <f t="shared" si="29"/>
        <v>0</v>
      </c>
      <c r="W136" s="30">
        <f t="shared" ref="W136:X136" si="356">((I135+I136)/2)*W$25*($C136-$C135)</f>
        <v>0</v>
      </c>
      <c r="X136" s="30">
        <f t="shared" si="356"/>
        <v>0</v>
      </c>
      <c r="Y136" s="30">
        <f t="shared" si="31"/>
        <v>0</v>
      </c>
      <c r="Z136" s="30">
        <f>(L136-OFFSET(L136,-IF(C136-C135&gt;i_Cos_Days,1,MIN(B136,i_Cos_Days)),0))*MIN(i_Cos_Days,($C136-$C135))</f>
        <v>0</v>
      </c>
      <c r="AA136" s="30">
        <f t="shared" si="32"/>
        <v>30.27067075</v>
      </c>
      <c r="AB136" s="30">
        <f t="shared" si="321"/>
        <v>33.91074827</v>
      </c>
      <c r="AC136" s="30">
        <f t="shared" si="322"/>
        <v>4.1286441</v>
      </c>
      <c r="AD136" s="30">
        <f t="shared" si="35"/>
        <v>0</v>
      </c>
      <c r="AE136" s="6"/>
      <c r="AF136" s="30">
        <f t="shared" si="11"/>
        <v>0.9992141922</v>
      </c>
      <c r="AG136" s="30">
        <v>0.0</v>
      </c>
      <c r="AH136" s="30">
        <f t="shared" si="12"/>
        <v>0</v>
      </c>
      <c r="AI136" s="30">
        <f t="shared" si="13"/>
        <v>0</v>
      </c>
      <c r="AJ136" s="30">
        <f>(AH136*(i_Adv_Fals/i_Adv_Alar))*AJ$25</f>
        <v>0</v>
      </c>
      <c r="AK136" s="30">
        <f>(AH136*(i_Adv_Lead/i_Adv_Alar))*AK$25</f>
        <v>0</v>
      </c>
      <c r="AL136" s="30">
        <f>((SUM(F135:J135)-((I135+J135)*(1-i_Bac_ICU)))+(SUM(F136:J136)-((I136+J136)*(1-i_Bac_ICU))))/2*(C136-C135)</f>
        <v>0</v>
      </c>
      <c r="AM136" s="30">
        <f>(((I135+J135)*(1-i_Bac_ICU))+((I136+J136)*(1-i_Bac_ICU))+K135+E135+E136+K136)/2*(C136-C135)</f>
        <v>0</v>
      </c>
      <c r="AN136" s="6"/>
      <c r="AO136" s="6"/>
      <c r="AP136" s="6"/>
      <c r="AQ136" s="6"/>
      <c r="AR136" s="6"/>
      <c r="AS136" s="6"/>
      <c r="AT136" s="6"/>
      <c r="AU136" s="6"/>
    </row>
    <row r="137" ht="14.25" customHeight="1">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row>
    <row r="138" ht="14.25" customHeight="1">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row>
    <row r="139" ht="14.25" customHeight="1">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row>
    <row r="140" ht="14.25" customHeight="1">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row>
    <row r="141" ht="14.25" customHeight="1">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row>
    <row r="142" ht="14.25" customHeight="1">
      <c r="D142" t="s">
        <v>456</v>
      </c>
      <c r="E142" s="26">
        <f t="shared" ref="E142:P142" si="357">SUM(E26:E117)</f>
        <v>1.012221439</v>
      </c>
      <c r="F142" s="26">
        <f t="shared" si="357"/>
        <v>0.899363583</v>
      </c>
      <c r="G142" s="26">
        <f t="shared" si="357"/>
        <v>0.2863629224</v>
      </c>
      <c r="H142" s="26">
        <f t="shared" si="357"/>
        <v>1.053845452</v>
      </c>
      <c r="I142">
        <f t="shared" si="357"/>
        <v>0.1628198756</v>
      </c>
      <c r="J142" s="26">
        <f t="shared" si="357"/>
        <v>0.2510481378</v>
      </c>
      <c r="K142" s="26">
        <f t="shared" si="357"/>
        <v>5.941128028</v>
      </c>
      <c r="L142" s="26">
        <f t="shared" si="357"/>
        <v>72.95674209</v>
      </c>
      <c r="M142" s="26">
        <f t="shared" si="357"/>
        <v>6.44061265</v>
      </c>
      <c r="N142" s="26">
        <f t="shared" si="357"/>
        <v>0.3447089791</v>
      </c>
      <c r="O142" s="26">
        <f t="shared" si="357"/>
        <v>0.2737114038</v>
      </c>
      <c r="P142" s="26">
        <f t="shared" si="357"/>
        <v>2.377435442</v>
      </c>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row>
    <row r="143" ht="14.25" customHeight="1">
      <c r="D143" t="s">
        <v>457</v>
      </c>
      <c r="E143">
        <f t="shared" ref="E143:P143" si="358">E142/SUM($E$142:$P$142)*100</f>
        <v>1.100240695</v>
      </c>
      <c r="F143" s="26">
        <f t="shared" si="358"/>
        <v>0.977569112</v>
      </c>
      <c r="G143" s="26">
        <f t="shared" si="358"/>
        <v>0.3112640461</v>
      </c>
      <c r="H143" s="26">
        <f t="shared" si="358"/>
        <v>1.145484187</v>
      </c>
      <c r="I143" s="26">
        <f t="shared" si="358"/>
        <v>0.1769781256</v>
      </c>
      <c r="J143" s="26">
        <f t="shared" si="358"/>
        <v>0.2728784107</v>
      </c>
      <c r="K143" s="26">
        <f t="shared" si="358"/>
        <v>6.457747857</v>
      </c>
      <c r="L143" s="26">
        <f t="shared" si="358"/>
        <v>79.30080662</v>
      </c>
      <c r="M143" s="26">
        <f t="shared" si="358"/>
        <v>7.000665924</v>
      </c>
      <c r="N143" s="26">
        <f t="shared" si="358"/>
        <v>0.3746836729</v>
      </c>
      <c r="O143" s="26">
        <f t="shared" si="358"/>
        <v>0.2975123954</v>
      </c>
      <c r="P143" s="26">
        <f t="shared" si="358"/>
        <v>2.584168959</v>
      </c>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row>
    <row r="144" ht="14.25" customHeight="1">
      <c r="E144">
        <f>E142*200</f>
        <v>202.4442878</v>
      </c>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row>
    <row r="145" ht="14.25" customHeight="1">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row>
  </sheetData>
  <mergeCells count="3">
    <mergeCell ref="C1:V1"/>
    <mergeCell ref="C2:V2"/>
    <mergeCell ref="G4:W4"/>
  </mergeCells>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21.0"/>
    <col customWidth="1" min="2" max="2" width="8.63"/>
    <col customWidth="1" min="3" max="3" width="14.13"/>
    <col customWidth="1" min="4" max="4" width="6.88"/>
    <col customWidth="1" min="5" max="7" width="15.88"/>
    <col customWidth="1" min="8" max="8" width="20.88"/>
    <col customWidth="1" min="9" max="11" width="15.88"/>
    <col customWidth="1" min="12" max="12" width="15.75"/>
    <col customWidth="1" min="13" max="13" width="13.88"/>
    <col customWidth="1" min="14" max="14" width="10.5"/>
    <col customWidth="1" min="15" max="15" width="11.0"/>
    <col customWidth="1" min="16" max="16" width="13.88"/>
    <col customWidth="1" min="17" max="17" width="15.75"/>
    <col customWidth="1" min="18" max="18" width="13.88"/>
    <col customWidth="1" min="19" max="19" width="8.63"/>
    <col customWidth="1" min="20" max="20" width="12.75"/>
    <col customWidth="1" min="21" max="21" width="14.5"/>
    <col customWidth="1" min="22" max="22" width="15.75"/>
    <col customWidth="1" min="23" max="23" width="12.0"/>
    <col customWidth="1" min="24" max="24" width="14.5"/>
    <col customWidth="1" min="25" max="27" width="8.63"/>
    <col customWidth="1" min="28" max="28" width="15.75"/>
    <col customWidth="1" min="29" max="29" width="14.5"/>
    <col customWidth="1" min="30" max="30" width="12.0"/>
    <col customWidth="1" min="31" max="31" width="10.5"/>
    <col customWidth="1" min="32" max="32" width="15.75"/>
    <col customWidth="1" min="33" max="33" width="13.88"/>
    <col customWidth="1" min="34" max="34" width="12.75"/>
    <col customWidth="1" min="35" max="39" width="8.63"/>
    <col customWidth="1" min="40" max="40" width="9.5"/>
    <col customWidth="1" min="41" max="41" width="12.75"/>
    <col customWidth="1" min="42" max="42" width="8.63"/>
    <col customWidth="1" min="43" max="47" width="14.1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4"/>
      <c r="V1" s="5"/>
      <c r="W1" s="2"/>
      <c r="X1" s="2"/>
      <c r="Y1" s="2"/>
      <c r="Z1" s="2"/>
      <c r="AA1" s="2"/>
      <c r="AB1" s="6"/>
      <c r="AC1" s="6"/>
      <c r="AD1" s="6"/>
      <c r="AE1" s="6"/>
      <c r="AF1" s="6"/>
      <c r="AG1" s="6"/>
      <c r="AH1" s="6"/>
      <c r="AI1" s="6"/>
      <c r="AJ1" s="6"/>
      <c r="AK1" s="6"/>
      <c r="AL1" s="6"/>
      <c r="AM1" s="6"/>
      <c r="AN1" s="6"/>
      <c r="AO1" s="6"/>
      <c r="AP1" s="6"/>
      <c r="AQ1" s="6"/>
      <c r="AR1" s="6"/>
      <c r="AS1" s="6"/>
      <c r="AT1" s="6"/>
      <c r="AU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0"/>
      <c r="V2" s="11"/>
      <c r="W2" s="8"/>
      <c r="X2" s="8"/>
      <c r="Y2" s="8"/>
      <c r="Z2" s="8"/>
      <c r="AA2" s="8"/>
      <c r="AB2" s="6"/>
      <c r="AC2" s="6"/>
      <c r="AD2" s="6"/>
      <c r="AE2" s="6"/>
      <c r="AF2" s="6"/>
      <c r="AG2" s="6"/>
      <c r="AH2" s="6"/>
      <c r="AI2" s="6"/>
      <c r="AJ2" s="6"/>
      <c r="AK2" s="6"/>
      <c r="AL2" s="6"/>
      <c r="AM2" s="6"/>
      <c r="AN2" s="6"/>
      <c r="AO2" s="6"/>
      <c r="AP2" s="6"/>
      <c r="AQ2" s="6"/>
      <c r="AR2" s="6"/>
      <c r="AS2" s="6"/>
      <c r="AT2" s="6"/>
      <c r="AU2" s="6"/>
    </row>
    <row r="3" ht="14.25" customHeight="1">
      <c r="A3" s="12"/>
      <c r="B3" s="26"/>
      <c r="C3" s="26"/>
      <c r="D3" s="26"/>
      <c r="E3" s="26"/>
      <c r="F3" s="26"/>
      <c r="G3" s="26"/>
      <c r="H3" s="26"/>
      <c r="I3" s="26"/>
      <c r="J3" s="26"/>
      <c r="K3" s="26"/>
      <c r="L3" s="26"/>
      <c r="M3" s="26"/>
      <c r="N3" s="26"/>
      <c r="O3" s="26"/>
      <c r="P3" s="26"/>
      <c r="Q3" s="26"/>
      <c r="R3" s="26"/>
      <c r="S3" s="26"/>
      <c r="T3" s="26"/>
      <c r="U3" s="26"/>
      <c r="V3" s="26"/>
      <c r="W3" s="26"/>
      <c r="X3" s="26"/>
      <c r="Y3" s="26"/>
      <c r="Z3" s="26"/>
      <c r="AA3" s="26"/>
      <c r="AB3" s="6"/>
      <c r="AC3" s="6"/>
      <c r="AD3" s="6"/>
      <c r="AE3" s="6"/>
      <c r="AF3" s="6"/>
      <c r="AG3" s="6"/>
      <c r="AH3" s="6"/>
      <c r="AI3" s="6"/>
      <c r="AJ3" s="6"/>
      <c r="AK3" s="6"/>
      <c r="AL3" s="6"/>
      <c r="AM3" s="6"/>
      <c r="AN3" s="6"/>
      <c r="AO3" s="6"/>
      <c r="AP3" s="6"/>
      <c r="AQ3" s="6"/>
      <c r="AR3" s="6"/>
      <c r="AS3" s="6"/>
      <c r="AT3" s="6"/>
      <c r="AU3" s="6"/>
    </row>
    <row r="4" ht="21.0" customHeight="1">
      <c r="A4" s="13" t="s">
        <v>2</v>
      </c>
      <c r="B4" s="14"/>
      <c r="C4" s="15" t="s">
        <v>400</v>
      </c>
      <c r="D4" s="15"/>
      <c r="E4" s="15"/>
      <c r="F4" s="15"/>
      <c r="G4" s="16" t="s">
        <v>401</v>
      </c>
      <c r="H4" s="17"/>
      <c r="I4" s="17"/>
      <c r="J4" s="17"/>
      <c r="K4" s="17"/>
      <c r="L4" s="17"/>
      <c r="M4" s="17"/>
      <c r="N4" s="17"/>
      <c r="O4" s="17"/>
      <c r="P4" s="17"/>
      <c r="Q4" s="17"/>
      <c r="R4" s="17"/>
      <c r="S4" s="17"/>
      <c r="T4" s="17"/>
      <c r="U4" s="17"/>
      <c r="V4" s="17"/>
      <c r="W4" s="18"/>
      <c r="X4" s="14"/>
      <c r="Y4" s="14"/>
      <c r="Z4" s="14"/>
      <c r="AA4" s="14"/>
      <c r="AB4" s="6"/>
      <c r="AC4" s="6"/>
      <c r="AD4" s="6"/>
      <c r="AE4" s="6"/>
      <c r="AF4" s="6"/>
      <c r="AG4" s="6"/>
      <c r="AH4" s="6"/>
      <c r="AI4" s="6"/>
      <c r="AJ4" s="6"/>
      <c r="AK4" s="6"/>
      <c r="AL4" s="6"/>
      <c r="AM4" s="6"/>
      <c r="AN4" s="6"/>
      <c r="AO4" s="6"/>
      <c r="AP4" s="6"/>
      <c r="AQ4" s="6"/>
      <c r="AR4" s="6"/>
      <c r="AS4" s="6"/>
      <c r="AT4" s="6"/>
      <c r="AU4" s="6"/>
    </row>
    <row r="5" ht="14.25" customHeight="1">
      <c r="A5" s="12"/>
      <c r="B5" s="26"/>
      <c r="C5" s="26"/>
      <c r="D5" s="26"/>
      <c r="E5" s="26"/>
      <c r="F5" s="26"/>
      <c r="G5" s="26"/>
      <c r="H5" s="26"/>
      <c r="I5" s="26"/>
      <c r="J5" s="26"/>
      <c r="K5" s="26"/>
      <c r="L5" s="26"/>
      <c r="M5" s="26"/>
      <c r="N5" s="26"/>
      <c r="O5" s="26"/>
      <c r="P5" s="26"/>
      <c r="Q5" s="26"/>
      <c r="R5" s="26"/>
      <c r="S5" s="26"/>
      <c r="T5" s="26"/>
      <c r="U5" s="26"/>
      <c r="V5" s="26"/>
      <c r="W5" s="26"/>
      <c r="X5" s="26"/>
      <c r="Y5" s="26"/>
      <c r="Z5" s="26"/>
      <c r="AA5" s="26"/>
      <c r="AB5" s="6"/>
      <c r="AC5" s="6"/>
      <c r="AD5" s="6"/>
      <c r="AE5" s="6"/>
      <c r="AF5" s="6"/>
      <c r="AG5" s="6"/>
      <c r="AH5" s="6"/>
      <c r="AI5" s="6"/>
      <c r="AJ5" s="6"/>
      <c r="AK5" s="6"/>
      <c r="AL5" s="6"/>
      <c r="AM5" s="6"/>
      <c r="AN5" s="6"/>
      <c r="AO5" s="6"/>
      <c r="AP5" s="6"/>
      <c r="AQ5" s="6"/>
      <c r="AR5" s="6"/>
      <c r="AS5" s="6"/>
      <c r="AT5" s="6"/>
      <c r="AU5" s="6"/>
    </row>
    <row r="6" ht="14.25" customHeight="1">
      <c r="A6" s="19" t="s">
        <v>7</v>
      </c>
      <c r="B6" s="6"/>
      <c r="C6" s="21" t="s">
        <v>402</v>
      </c>
      <c r="D6" s="30">
        <v>1.0</v>
      </c>
      <c r="E6" s="26"/>
      <c r="F6" s="26"/>
      <c r="G6" s="26"/>
      <c r="H6" s="26"/>
      <c r="I6" s="26" t="s">
        <v>403</v>
      </c>
      <c r="K6" s="26"/>
      <c r="L6" s="26"/>
      <c r="M6" s="26"/>
      <c r="N6" s="6"/>
      <c r="O6" s="6"/>
      <c r="P6" s="6"/>
      <c r="Q6" s="6"/>
      <c r="R6" s="6"/>
      <c r="S6" s="6"/>
      <c r="T6" s="6"/>
      <c r="U6" s="21" t="s">
        <v>402</v>
      </c>
      <c r="V6" s="30">
        <v>90.0</v>
      </c>
      <c r="W6" s="26"/>
      <c r="X6" s="26" t="s">
        <v>404</v>
      </c>
      <c r="Y6" s="26"/>
      <c r="Z6" s="26"/>
      <c r="AA6" s="26"/>
      <c r="AB6" s="26"/>
      <c r="AC6" s="6"/>
      <c r="AD6" s="6"/>
      <c r="AE6" s="6"/>
      <c r="AF6" s="6"/>
      <c r="AG6" s="6"/>
      <c r="AH6" s="6"/>
      <c r="AI6" s="6"/>
      <c r="AJ6" s="6"/>
      <c r="AK6" s="6"/>
      <c r="AL6" s="6"/>
      <c r="AM6" s="6"/>
      <c r="AN6" s="6"/>
      <c r="AO6" s="6"/>
      <c r="AP6" s="6"/>
      <c r="AQ6" s="6"/>
      <c r="AR6" s="6"/>
      <c r="AS6" s="6"/>
      <c r="AT6" s="6"/>
      <c r="AU6" s="6"/>
    </row>
    <row r="7" ht="14.25" customHeight="1">
      <c r="A7" s="12"/>
      <c r="B7" s="6"/>
      <c r="C7" s="26"/>
      <c r="D7" s="26"/>
      <c r="E7" s="26"/>
      <c r="F7" s="26"/>
      <c r="G7" s="26"/>
      <c r="H7" s="26" t="s">
        <v>405</v>
      </c>
      <c r="I7" s="26"/>
      <c r="J7" s="26"/>
      <c r="K7" s="26"/>
      <c r="L7" s="26"/>
      <c r="M7" s="26"/>
      <c r="N7" s="26"/>
      <c r="O7" s="26"/>
      <c r="P7" s="6"/>
      <c r="Q7" s="6"/>
      <c r="R7" s="6"/>
      <c r="S7" s="6"/>
      <c r="T7" s="6"/>
      <c r="U7" s="26"/>
      <c r="V7" s="26"/>
      <c r="W7" s="26" t="s">
        <v>405</v>
      </c>
      <c r="X7" s="26"/>
      <c r="Y7" s="26"/>
      <c r="Z7" s="26"/>
      <c r="AA7" s="26"/>
      <c r="AB7" s="26"/>
      <c r="AC7" s="26"/>
      <c r="AD7" s="26"/>
      <c r="AE7" s="6"/>
      <c r="AF7" s="6"/>
      <c r="AG7" s="6"/>
      <c r="AH7" s="6"/>
      <c r="AI7" s="6"/>
      <c r="AJ7" s="6"/>
      <c r="AK7" s="6"/>
      <c r="AL7" s="6"/>
      <c r="AM7" s="6"/>
      <c r="AN7" s="6"/>
      <c r="AO7" s="6"/>
      <c r="AP7" s="6"/>
      <c r="AQ7" s="6"/>
      <c r="AR7" s="6"/>
      <c r="AS7" s="6"/>
      <c r="AT7" s="6"/>
      <c r="AU7" s="6"/>
    </row>
    <row r="8" ht="14.25" customHeight="1">
      <c r="A8" s="19" t="s">
        <v>4</v>
      </c>
      <c r="B8" s="6"/>
      <c r="C8" s="26"/>
      <c r="D8" s="26"/>
      <c r="E8" s="26"/>
      <c r="F8" s="26"/>
      <c r="G8" s="26"/>
      <c r="H8" s="26" t="s">
        <v>107</v>
      </c>
      <c r="I8" s="26" t="s">
        <v>406</v>
      </c>
      <c r="J8" s="26" t="s">
        <v>407</v>
      </c>
      <c r="K8" s="26" t="s">
        <v>408</v>
      </c>
      <c r="L8" s="6" t="s">
        <v>302</v>
      </c>
      <c r="M8" s="6" t="s">
        <v>309</v>
      </c>
      <c r="N8" s="26" t="s">
        <v>409</v>
      </c>
      <c r="O8" s="26" t="s">
        <v>7</v>
      </c>
      <c r="P8" s="26" t="s">
        <v>410</v>
      </c>
      <c r="Q8" s="26" t="s">
        <v>411</v>
      </c>
      <c r="R8" s="26" t="s">
        <v>412</v>
      </c>
      <c r="S8" s="26" t="s">
        <v>413</v>
      </c>
      <c r="T8" s="26"/>
      <c r="U8" s="26"/>
      <c r="V8" s="26"/>
      <c r="W8" s="26" t="s">
        <v>107</v>
      </c>
      <c r="X8" s="26" t="s">
        <v>406</v>
      </c>
      <c r="Y8" s="26" t="s">
        <v>407</v>
      </c>
      <c r="Z8" s="26" t="s">
        <v>408</v>
      </c>
      <c r="AA8" s="6" t="s">
        <v>302</v>
      </c>
      <c r="AB8" s="6" t="s">
        <v>309</v>
      </c>
      <c r="AC8" s="26" t="s">
        <v>409</v>
      </c>
      <c r="AD8" s="26" t="s">
        <v>7</v>
      </c>
      <c r="AE8" s="26" t="s">
        <v>410</v>
      </c>
      <c r="AF8" s="26" t="s">
        <v>411</v>
      </c>
      <c r="AG8" s="26" t="s">
        <v>412</v>
      </c>
      <c r="AH8" s="26" t="s">
        <v>413</v>
      </c>
      <c r="AI8" s="6"/>
      <c r="AJ8" s="6"/>
      <c r="AK8" s="6"/>
      <c r="AL8" s="6"/>
      <c r="AM8" s="6"/>
      <c r="AN8" s="6"/>
      <c r="AO8" s="6"/>
      <c r="AP8" s="6"/>
      <c r="AQ8" s="6"/>
      <c r="AR8" s="6"/>
      <c r="AS8" s="6"/>
      <c r="AT8" s="6"/>
      <c r="AU8" s="6"/>
    </row>
    <row r="9" ht="14.25" customHeight="1">
      <c r="A9" s="12"/>
      <c r="B9" s="6"/>
      <c r="C9" s="26" t="s">
        <v>182</v>
      </c>
      <c r="D9" s="30">
        <f>i_Pop_Obes/100</f>
        <v>0.35</v>
      </c>
      <c r="E9" s="26"/>
      <c r="F9" s="26" t="s">
        <v>414</v>
      </c>
      <c r="G9" s="26" t="s">
        <v>107</v>
      </c>
      <c r="H9" s="28">
        <v>0.0</v>
      </c>
      <c r="I9" s="28">
        <f>((1-EXP(-((-LN(1-i_Eve_Reop/100))/365.25)*1)))</f>
        <v>0.0001404235261</v>
      </c>
      <c r="J9" s="28">
        <f>((1-EXP(-((-LN(1-i_Eve_Reop/100))/365.25)*1)))</f>
        <v>0.0001404235261</v>
      </c>
      <c r="K9" s="28">
        <f>((1-EXP(-((-LN(1-i_Eve_Reop/100))/365.25)*1)))</f>
        <v>0.0001404235261</v>
      </c>
      <c r="L9" s="28">
        <f>((1-EXP(-((-LN(1-i_Eve_Reop/100))/365.25)*1)))</f>
        <v>0.0001404235261</v>
      </c>
      <c r="M9" s="28">
        <f>((1-EXP(-((-LN(1-i_Eve_Reop/100))/365.25)*1)))</f>
        <v>0.0001404235261</v>
      </c>
      <c r="N9" s="28">
        <f>((1-EXP(-((-LN(1-i_Eve_Reop/100))/365.25)*1)))</f>
        <v>0.0001404235261</v>
      </c>
      <c r="O9" s="28">
        <f>((1-EXP(-((-LN(1-i_Eve_Reop/100))/365.25)*1)))</f>
        <v>0.0001404235261</v>
      </c>
      <c r="P9" s="28">
        <f>((1-EXP(-((-LN(1-i_Eve_Reop/100))/365.25)*1)))</f>
        <v>0.0001404235261</v>
      </c>
      <c r="Q9" s="28">
        <v>0.0</v>
      </c>
      <c r="R9" s="28">
        <v>0.0</v>
      </c>
      <c r="S9" s="28">
        <v>0.0</v>
      </c>
      <c r="T9" s="6"/>
      <c r="U9" s="26" t="s">
        <v>414</v>
      </c>
      <c r="V9" s="26" t="s">
        <v>107</v>
      </c>
      <c r="W9" s="28">
        <v>0.0</v>
      </c>
      <c r="X9" s="28">
        <v>0.0</v>
      </c>
      <c r="Y9" s="28">
        <v>0.0</v>
      </c>
      <c r="Z9" s="28">
        <v>0.0</v>
      </c>
      <c r="AA9" s="28">
        <v>0.0</v>
      </c>
      <c r="AB9" s="28">
        <v>0.0</v>
      </c>
      <c r="AC9" s="28">
        <v>0.0</v>
      </c>
      <c r="AD9" s="28">
        <v>0.0</v>
      </c>
      <c r="AE9" s="28">
        <v>0.0</v>
      </c>
      <c r="AF9" s="28">
        <v>0.0</v>
      </c>
      <c r="AG9" s="28">
        <v>0.0</v>
      </c>
      <c r="AH9" s="28">
        <v>0.0</v>
      </c>
      <c r="AI9" s="6"/>
      <c r="AJ9" s="6"/>
      <c r="AK9" s="6"/>
      <c r="AL9" s="6"/>
      <c r="AM9" s="6"/>
      <c r="AN9" s="6"/>
      <c r="AO9" s="6"/>
      <c r="AP9" s="6"/>
      <c r="AQ9" s="6"/>
      <c r="AR9" s="6"/>
      <c r="AS9" s="6"/>
      <c r="AT9" s="6"/>
      <c r="AU9" s="6"/>
    </row>
    <row r="10" ht="14.25" customHeight="1">
      <c r="A10" s="19" t="s">
        <v>3</v>
      </c>
      <c r="B10" s="6"/>
      <c r="C10" s="26" t="s">
        <v>415</v>
      </c>
      <c r="D10" s="30">
        <f>i_Pop_Morb/100</f>
        <v>0.06</v>
      </c>
      <c r="E10" s="26" t="s">
        <v>34</v>
      </c>
      <c r="F10" s="26"/>
      <c r="G10" s="26" t="s">
        <v>406</v>
      </c>
      <c r="H10" s="28">
        <f>1-H11-H20</f>
        <v>0.8838155416</v>
      </c>
      <c r="I10" s="28">
        <f>1-I9-I12-I20-I13-I14</f>
        <v>0.005999074782</v>
      </c>
      <c r="J10" s="28">
        <v>0.0</v>
      </c>
      <c r="K10" s="28">
        <v>0.0</v>
      </c>
      <c r="L10" s="28">
        <v>0.0</v>
      </c>
      <c r="M10" s="28">
        <v>0.0</v>
      </c>
      <c r="N10" s="28">
        <v>0.0</v>
      </c>
      <c r="O10" s="28">
        <v>0.0</v>
      </c>
      <c r="P10" s="28">
        <v>0.0</v>
      </c>
      <c r="Q10" s="28">
        <v>0.0</v>
      </c>
      <c r="R10" s="28">
        <v>0.0</v>
      </c>
      <c r="S10" s="28">
        <v>0.0</v>
      </c>
      <c r="T10" s="6"/>
      <c r="U10" s="26"/>
      <c r="V10" s="26" t="s">
        <v>406</v>
      </c>
      <c r="W10" s="28">
        <v>0.0</v>
      </c>
      <c r="X10" s="28">
        <v>0.0</v>
      </c>
      <c r="Y10" s="28">
        <v>0.0</v>
      </c>
      <c r="Z10" s="28">
        <v>0.0</v>
      </c>
      <c r="AA10" s="28">
        <v>0.0</v>
      </c>
      <c r="AB10" s="28">
        <v>0.0</v>
      </c>
      <c r="AC10" s="28">
        <v>0.0</v>
      </c>
      <c r="AD10" s="28">
        <v>0.0</v>
      </c>
      <c r="AE10" s="28">
        <v>0.0</v>
      </c>
      <c r="AF10" s="28">
        <v>0.0</v>
      </c>
      <c r="AG10" s="28">
        <v>0.0</v>
      </c>
      <c r="AH10" s="28">
        <v>0.0</v>
      </c>
      <c r="AI10" s="6"/>
      <c r="AJ10" s="6"/>
      <c r="AK10" s="6"/>
      <c r="AL10" s="6"/>
      <c r="AM10" s="6"/>
      <c r="AN10" s="6"/>
      <c r="AO10" s="6"/>
      <c r="AP10" s="6"/>
      <c r="AQ10" s="6"/>
      <c r="AR10" s="6"/>
      <c r="AS10" s="6"/>
      <c r="AT10" s="6"/>
      <c r="AU10" s="6"/>
    </row>
    <row r="11" ht="14.25" customHeight="1">
      <c r="A11" s="12"/>
      <c r="B11" s="6"/>
      <c r="C11" s="26" t="s">
        <v>416</v>
      </c>
      <c r="D11" s="30">
        <f>IF(i_Ris_Risk="Obese",D9+D10,D10)</f>
        <v>0.06</v>
      </c>
      <c r="E11" s="26" t="s">
        <v>34</v>
      </c>
      <c r="F11" s="26"/>
      <c r="G11" s="26" t="s">
        <v>407</v>
      </c>
      <c r="H11" s="28">
        <f>(i_Eve_Prol/100*(1-$D$11))+((i_Ris_Prol/((1/(i_Eve_Prol/100))-1+i_Ris_Prol))*$D$11)</f>
        <v>0.1098525527</v>
      </c>
      <c r="I11" s="28">
        <v>0.0</v>
      </c>
      <c r="J11" s="28">
        <f>1-J9-J12-J20-J13-J14</f>
        <v>0.6124201035</v>
      </c>
      <c r="K11" s="28">
        <v>0.0</v>
      </c>
      <c r="L11" s="28">
        <v>0.0</v>
      </c>
      <c r="M11" s="28">
        <v>0.0</v>
      </c>
      <c r="N11" s="28">
        <v>0.0</v>
      </c>
      <c r="O11" s="28">
        <v>0.0</v>
      </c>
      <c r="P11" s="28">
        <v>0.0</v>
      </c>
      <c r="Q11" s="28">
        <v>0.0</v>
      </c>
      <c r="R11" s="28">
        <v>0.0</v>
      </c>
      <c r="S11" s="28">
        <v>0.0</v>
      </c>
      <c r="T11" s="6"/>
      <c r="U11" s="26"/>
      <c r="V11" s="26" t="s">
        <v>407</v>
      </c>
      <c r="W11" s="28">
        <v>0.0</v>
      </c>
      <c r="X11" s="28">
        <v>0.0</v>
      </c>
      <c r="Y11" s="28">
        <v>0.0</v>
      </c>
      <c r="Z11" s="28">
        <v>0.0</v>
      </c>
      <c r="AA11" s="28">
        <v>0.0</v>
      </c>
      <c r="AB11" s="28">
        <v>0.0</v>
      </c>
      <c r="AC11" s="28">
        <v>0.0</v>
      </c>
      <c r="AD11" s="28">
        <v>0.0</v>
      </c>
      <c r="AE11" s="28">
        <v>0.0</v>
      </c>
      <c r="AF11" s="28">
        <v>0.0</v>
      </c>
      <c r="AG11" s="28">
        <v>0.0</v>
      </c>
      <c r="AH11" s="28">
        <v>0.0</v>
      </c>
      <c r="AI11" s="6"/>
      <c r="AJ11" s="6"/>
      <c r="AK11" s="6"/>
      <c r="AL11" s="6"/>
      <c r="AM11" s="6"/>
      <c r="AN11" s="6"/>
      <c r="AO11" s="6"/>
      <c r="AP11" s="6"/>
      <c r="AQ11" s="6"/>
      <c r="AR11" s="6"/>
      <c r="AS11" s="6"/>
      <c r="AT11" s="6"/>
      <c r="AU11" s="6"/>
    </row>
    <row r="12" ht="14.25" customHeight="1">
      <c r="A12" s="60" t="s">
        <v>22</v>
      </c>
      <c r="B12" s="6"/>
      <c r="C12" s="26" t="s">
        <v>45</v>
      </c>
      <c r="D12" s="30">
        <f>IF(D13&gt;i_Pop_Diab/100,0,(i_Pop_Diab/100)-D13)</f>
        <v>0.413</v>
      </c>
      <c r="E12" s="26" t="s">
        <v>34</v>
      </c>
      <c r="F12" s="26"/>
      <c r="G12" s="26" t="s">
        <v>408</v>
      </c>
      <c r="H12" s="28">
        <v>0.0</v>
      </c>
      <c r="I12" s="28">
        <f>((1-EXP(-(-LN(1-MIN(0.9,1/i_Eve_Time))/i_Eve_Time)*1)))</f>
        <v>0.99</v>
      </c>
      <c r="J12" s="28">
        <f>1-EXP(-(1/(MAX(0.01,LN(i_Bac_MV_days)))))</f>
        <v>0.3835789712</v>
      </c>
      <c r="K12" s="28">
        <f>1-K9-K15-K20-K13-K14</f>
        <v>0.04360574145</v>
      </c>
      <c r="L12" s="28">
        <f>(1-EXP(-(1/POWER(i_Cos_SSI,100/91.3))))/2</f>
        <v>0.02853184828</v>
      </c>
      <c r="M12" s="28">
        <f>(1-EXP(-(1/POWER(i_Cos_DSWI,100/91.3))))/2</f>
        <v>0.01515554106</v>
      </c>
      <c r="N12" s="28">
        <v>0.0</v>
      </c>
      <c r="O12" s="28">
        <v>0.0</v>
      </c>
      <c r="P12" s="28">
        <v>0.0</v>
      </c>
      <c r="Q12" s="28">
        <v>0.0</v>
      </c>
      <c r="R12" s="28">
        <v>0.0</v>
      </c>
      <c r="S12" s="28">
        <v>0.0</v>
      </c>
      <c r="T12" s="6"/>
      <c r="U12" s="26"/>
      <c r="V12" s="26" t="s">
        <v>408</v>
      </c>
      <c r="W12" s="28">
        <f>1-W20-W14-W13</f>
        <v>0.9935060309</v>
      </c>
      <c r="X12" s="82">
        <f t="shared" ref="X12:Y12" si="1">1-X20-X13-X14</f>
        <v>0.8247230836</v>
      </c>
      <c r="Y12" s="28">
        <f t="shared" si="1"/>
        <v>0.8247230836</v>
      </c>
      <c r="Z12" s="28">
        <v>0.0</v>
      </c>
      <c r="AA12" s="28">
        <v>0.0</v>
      </c>
      <c r="AB12" s="28">
        <v>0.0</v>
      </c>
      <c r="AC12" s="28">
        <v>0.0</v>
      </c>
      <c r="AD12" s="28">
        <v>0.0</v>
      </c>
      <c r="AE12" s="28">
        <v>0.0</v>
      </c>
      <c r="AF12" s="28">
        <v>0.0</v>
      </c>
      <c r="AG12" s="28">
        <v>0.0</v>
      </c>
      <c r="AH12" s="28">
        <v>0.0</v>
      </c>
      <c r="AI12" s="6"/>
      <c r="AJ12" s="6"/>
      <c r="AK12" s="6"/>
      <c r="AL12" s="6"/>
      <c r="AM12" s="6"/>
      <c r="AN12" s="6"/>
      <c r="AO12" s="6"/>
      <c r="AP12" s="6"/>
      <c r="AQ12" s="6"/>
      <c r="AR12" s="6"/>
      <c r="AS12" s="6"/>
      <c r="AT12" s="6"/>
      <c r="AU12" s="6"/>
    </row>
    <row r="13" ht="14.25" customHeight="1">
      <c r="A13" s="12"/>
      <c r="B13" s="6"/>
      <c r="C13" s="26" t="s">
        <v>417</v>
      </c>
      <c r="D13" s="30">
        <f>(D11*(i_Bac_Obes/100))</f>
        <v>0.039</v>
      </c>
      <c r="E13" s="26"/>
      <c r="F13" s="26"/>
      <c r="G13" s="6" t="s">
        <v>302</v>
      </c>
      <c r="H13" s="28">
        <v>0.0</v>
      </c>
      <c r="I13" s="28">
        <f>Calculations!$Q$32</f>
        <v>0.0008828529914</v>
      </c>
      <c r="J13" s="28">
        <f>Calculations!$Q$32</f>
        <v>0.0008828529914</v>
      </c>
      <c r="K13" s="28">
        <f>Calculations!$Q$32</f>
        <v>0.0008828529914</v>
      </c>
      <c r="L13" s="28">
        <f>1-L9-L15-L20-L12</f>
        <v>0.9406121312</v>
      </c>
      <c r="M13" s="28">
        <v>0.0</v>
      </c>
      <c r="N13" s="28">
        <f>Calculations!$Q$32</f>
        <v>0.0008828529914</v>
      </c>
      <c r="O13" s="28">
        <v>0.0</v>
      </c>
      <c r="P13" s="28">
        <v>0.0</v>
      </c>
      <c r="Q13" s="28">
        <v>0.0</v>
      </c>
      <c r="R13" s="28">
        <v>0.0</v>
      </c>
      <c r="S13" s="28">
        <v>0.0</v>
      </c>
      <c r="T13" s="6"/>
      <c r="U13" s="26"/>
      <c r="V13" s="6" t="s">
        <v>302</v>
      </c>
      <c r="W13" s="28">
        <f>Calculations!$Q$35</f>
        <v>0.0002076096041</v>
      </c>
      <c r="X13" s="28">
        <f>Calculations!$Q$35</f>
        <v>0.0002076096041</v>
      </c>
      <c r="Y13" s="28">
        <f>Calculations!$Q$35</f>
        <v>0.0002076096041</v>
      </c>
      <c r="Z13" s="28">
        <f>Calculations!$Q$35</f>
        <v>0.0002076096041</v>
      </c>
      <c r="AA13" s="28">
        <v>0.0</v>
      </c>
      <c r="AB13" s="28">
        <v>0.0</v>
      </c>
      <c r="AC13" s="28">
        <v>0.0</v>
      </c>
      <c r="AD13" s="28">
        <v>0.0</v>
      </c>
      <c r="AE13" s="28">
        <v>0.0</v>
      </c>
      <c r="AF13" s="28">
        <v>0.0</v>
      </c>
      <c r="AG13" s="28">
        <v>0.0</v>
      </c>
      <c r="AH13" s="28">
        <v>0.0</v>
      </c>
      <c r="AI13" s="6"/>
      <c r="AJ13" s="6"/>
      <c r="AK13" s="6"/>
      <c r="AL13" s="6"/>
      <c r="AM13" s="6"/>
      <c r="AN13" s="6"/>
      <c r="AO13" s="6"/>
      <c r="AP13" s="6"/>
      <c r="AQ13" s="6"/>
      <c r="AR13" s="6"/>
      <c r="AS13" s="6"/>
      <c r="AT13" s="6"/>
      <c r="AU13" s="6"/>
    </row>
    <row r="14" ht="14.25" customHeight="1">
      <c r="A14" s="60" t="s">
        <v>27</v>
      </c>
      <c r="B14" s="6"/>
      <c r="C14" s="26"/>
      <c r="D14" s="26"/>
      <c r="E14" s="26"/>
      <c r="F14" s="26"/>
      <c r="G14" s="6" t="s">
        <v>309</v>
      </c>
      <c r="H14" s="28">
        <v>0.0</v>
      </c>
      <c r="I14" s="28">
        <f>(((Calculations!$R$32*(1-$D$11))+((i_Ris_DSWI/((1/Calculations!$R$32)-1+i_Ris_DSWI))*$D$11))/2)+(((Calculations!$R$32*(1-$D$12))+((i_Ris_Diab/((1/Calculations!$R$32)-1+i_Ris_Diab))*$D$12))/2)</f>
        <v>0.0007938999479</v>
      </c>
      <c r="J14" s="28">
        <f>(((Calculations!$R$32*(1-$D$11))+((i_Ris_DSWI/((1/Calculations!$R$32)-1+i_Ris_DSWI))*$D$11))/2)+(((Calculations!$R$32*(1-$D$12))+((i_Ris_Diab/((1/Calculations!$R$32)-1+i_Ris_Diab))*$D$12))/2)</f>
        <v>0.0007938999479</v>
      </c>
      <c r="K14" s="28">
        <f>(((Calculations!$R$32*(1-$D$11))+((i_Ris_DSWI/((1/Calculations!$R$32)-1+i_Ris_DSWI))*$D$11))/2)+(((Calculations!$R$32*(1-$D$12))+((i_Ris_Diab/((1/Calculations!$R$32)-1+i_Ris_Diab))*$D$12))/2)</f>
        <v>0.0007938999479</v>
      </c>
      <c r="L14" s="28">
        <v>0.0</v>
      </c>
      <c r="M14" s="28">
        <f>1-M9-M15-M20-M12</f>
        <v>0.9673647456</v>
      </c>
      <c r="N14" s="28">
        <f>(((Calculations!$R$32*(1-$D$11))+((i_Ris_DSWI/((1/Calculations!$R$32)-1+i_Ris_DSWI))*$D$11))/2)+(((Calculations!$R$32*(1-$D$12))+((i_Ris_Diab/((1/Calculations!$R$32)-1+i_Ris_Diab))*$D$12))/2)</f>
        <v>0.0007938999479</v>
      </c>
      <c r="O14" s="28">
        <v>0.0</v>
      </c>
      <c r="P14" s="28">
        <v>0.0</v>
      </c>
      <c r="Q14" s="28">
        <v>0.0</v>
      </c>
      <c r="R14" s="28">
        <v>0.0</v>
      </c>
      <c r="S14" s="28">
        <v>0.0</v>
      </c>
      <c r="T14" s="6"/>
      <c r="U14" s="26"/>
      <c r="V14" s="6" t="s">
        <v>309</v>
      </c>
      <c r="W14" s="28">
        <f>(((Calculations!$R$35*(1-$D$11))+((i_Ris_DSWI/((1/Calculations!$R$35)-1+i_Ris_DSWI))*$D$11))/2)+(((Calculations!$R$35*(1-$D$12))+((i_Ris_Diab/((1/Calculations!$R$35)-1+i_Ris_Diab))*$D$12))/2)</f>
        <v>0.0001863595452</v>
      </c>
      <c r="X14" s="28">
        <f>(((Calculations!$R$35*(1-$D$11))+((i_Ris_DSWI/((1/Calculations!$R$35)-1+i_Ris_DSWI))*$D$11))/2)+(((Calculations!$R$35*(1-$D$12))+((i_Ris_Diab/((1/Calculations!$R$35)-1+i_Ris_Diab))*$D$12))/2)</f>
        <v>0.0001863595452</v>
      </c>
      <c r="Y14" s="28">
        <f>(((Calculations!$R$35*(1-$D$11))+((i_Ris_DSWI/((1/Calculations!$R$35)-1+i_Ris_DSWI))*$D$11))/2)+(((Calculations!$R$35*(1-$D$12))+((i_Ris_Diab/((1/Calculations!$R$35)-1+i_Ris_Diab))*$D$12))/2)</f>
        <v>0.0001863595452</v>
      </c>
      <c r="Z14" s="28">
        <f>(((Calculations!$R$35*(1-$D$11))+((i_Ris_DSWI/((1/Calculations!$R$35)-1+i_Ris_DSWI))*$D$11))/2)+(((Calculations!$R$35*(1-$D$12))+((i_Ris_Diab/((1/Calculations!$R$35)-1+i_Ris_Diab))*$D$12))/2)</f>
        <v>0.0001863595452</v>
      </c>
      <c r="AA14" s="28">
        <v>0.0</v>
      </c>
      <c r="AB14" s="28">
        <v>0.0</v>
      </c>
      <c r="AC14" s="28">
        <v>0.0</v>
      </c>
      <c r="AD14" s="28">
        <v>0.0</v>
      </c>
      <c r="AE14" s="28">
        <v>0.0</v>
      </c>
      <c r="AF14" s="28">
        <v>0.0</v>
      </c>
      <c r="AG14" s="28">
        <v>0.0</v>
      </c>
      <c r="AH14" s="28">
        <v>0.0</v>
      </c>
      <c r="AI14" s="6"/>
      <c r="AJ14" s="6"/>
      <c r="AK14" s="6"/>
      <c r="AL14" s="6"/>
      <c r="AM14" s="6"/>
      <c r="AN14" s="6"/>
      <c r="AO14" s="6"/>
      <c r="AP14" s="6"/>
      <c r="AQ14" s="6"/>
      <c r="AR14" s="6"/>
      <c r="AS14" s="6"/>
      <c r="AT14" s="6"/>
      <c r="AU14" s="6"/>
    </row>
    <row r="15" ht="14.25" customHeight="1">
      <c r="A15" s="12"/>
      <c r="B15" s="6"/>
      <c r="C15" s="26"/>
      <c r="D15" s="26"/>
      <c r="E15" s="26"/>
      <c r="F15" s="26"/>
      <c r="G15" s="26" t="s">
        <v>409</v>
      </c>
      <c r="H15" s="28">
        <v>0.0</v>
      </c>
      <c r="I15" s="28">
        <v>0.0</v>
      </c>
      <c r="J15" s="28">
        <v>0.0</v>
      </c>
      <c r="K15" s="28">
        <f>((1-EXP(-(-LN(1-MIN(0.999,1/(i_Eve_ICU-i_Eve_Time)))/i_Eve_ICU)*1)))*(1-$D$11)+(((1-EXP(-(-LN(1-MIN(0.999,1/(i_Eve_ICU-i_Eve_Time+i_Ris_Leng)))/i_Eve_ICU)*1)))*D11)</f>
        <v>0.9523933333</v>
      </c>
      <c r="L15" s="28">
        <f>(1-EXP(-(1/POWER(i_Cos_SSI,100/91.3))))/2</f>
        <v>0.02853184828</v>
      </c>
      <c r="M15" s="28">
        <f>(1-EXP(-(1/POWER(i_Cos_DSWI,100/91.3))))/2</f>
        <v>0.01515554106</v>
      </c>
      <c r="N15" s="28">
        <f>1-N9-N16-N17-N20-N13-N14</f>
        <v>0.830388686</v>
      </c>
      <c r="O15" s="28">
        <v>0.0</v>
      </c>
      <c r="P15" s="28">
        <v>0.0</v>
      </c>
      <c r="Q15" s="28">
        <v>0.0</v>
      </c>
      <c r="R15" s="28">
        <v>0.0</v>
      </c>
      <c r="S15" s="28">
        <v>0.0</v>
      </c>
      <c r="T15" s="6"/>
      <c r="U15" s="26"/>
      <c r="V15" s="26" t="s">
        <v>409</v>
      </c>
      <c r="W15" s="28">
        <v>0.0</v>
      </c>
      <c r="X15" s="28">
        <v>0.0</v>
      </c>
      <c r="Y15" s="28">
        <v>0.0</v>
      </c>
      <c r="Z15" s="28">
        <f>1-Z20-Z13-Z14</f>
        <v>0.8247230836</v>
      </c>
      <c r="AA15" s="28">
        <f t="shared" ref="AA15:AB15" si="2">1-AA20</f>
        <v>0.8251170528</v>
      </c>
      <c r="AB15" s="28">
        <f t="shared" si="2"/>
        <v>0.8201337334</v>
      </c>
      <c r="AC15" s="28">
        <v>0.0</v>
      </c>
      <c r="AD15" s="28">
        <v>0.0</v>
      </c>
      <c r="AE15" s="28">
        <v>0.0</v>
      </c>
      <c r="AF15" s="28">
        <v>0.0</v>
      </c>
      <c r="AG15" s="28">
        <v>0.0</v>
      </c>
      <c r="AH15" s="28">
        <v>0.0</v>
      </c>
      <c r="AI15" s="6"/>
      <c r="AJ15" s="6"/>
      <c r="AK15" s="6"/>
      <c r="AL15" s="6"/>
      <c r="AM15" s="6"/>
      <c r="AN15" s="6"/>
      <c r="AO15" s="6"/>
      <c r="AP15" s="6"/>
      <c r="AQ15" s="6"/>
      <c r="AR15" s="6"/>
      <c r="AS15" s="6"/>
      <c r="AT15" s="6"/>
      <c r="AU15" s="6"/>
    </row>
    <row r="16" ht="14.25" customHeight="1">
      <c r="A16" s="60" t="s">
        <v>35</v>
      </c>
      <c r="B16" s="6"/>
      <c r="C16" s="6"/>
      <c r="D16" s="26"/>
      <c r="E16" s="26"/>
      <c r="F16" s="26"/>
      <c r="G16" s="26" t="s">
        <v>7</v>
      </c>
      <c r="H16" s="28">
        <v>0.0</v>
      </c>
      <c r="I16" s="28">
        <v>0.0</v>
      </c>
      <c r="J16" s="28">
        <v>0.0</v>
      </c>
      <c r="K16" s="28">
        <v>0.0</v>
      </c>
      <c r="L16" s="28">
        <v>0.0</v>
      </c>
      <c r="M16" s="28">
        <v>0.0</v>
      </c>
      <c r="N16" s="28">
        <f>(1-EXP(-(1/POWER(i_Eve_Hosp-i_Eve_ICU-i_Eve_Time,91.3/100))))*(i_Eve_Home/100)</f>
        <v>0.1233797397</v>
      </c>
      <c r="O16" s="28">
        <f>1-O20-O19-O18-O9</f>
        <v>0.9993914374</v>
      </c>
      <c r="P16" s="28">
        <f>((1-EXP(-((-LN(1-MIN(0.95,1/(i_Eve_Faci))))/1)*1)))</f>
        <v>0.03703703704</v>
      </c>
      <c r="Q16" s="28">
        <f>((1-EXP(-((-LN(1-MIN(0.95,1/(i_Cos_DSWI))))/1)*1)))*(i_Eve_Home/100)</f>
        <v>0.03104166667</v>
      </c>
      <c r="R16" s="28">
        <f>((1-EXP(-((-LN(1-MIN(0.95,1/(i_Cos_SSI))))/1)*1)))*(i_Eve_Home/100)</f>
        <v>0.05601503759</v>
      </c>
      <c r="S16" s="28">
        <v>0.0</v>
      </c>
      <c r="T16" s="6"/>
      <c r="U16" s="26"/>
      <c r="V16" s="26" t="s">
        <v>7</v>
      </c>
      <c r="W16" s="28">
        <v>0.0</v>
      </c>
      <c r="X16" s="28">
        <v>0.0</v>
      </c>
      <c r="Y16" s="28">
        <v>0.0</v>
      </c>
      <c r="Z16" s="28">
        <v>0.0</v>
      </c>
      <c r="AA16" s="28">
        <v>0.0</v>
      </c>
      <c r="AB16" s="28">
        <v>0.0</v>
      </c>
      <c r="AC16" s="28">
        <f>(i_Eve_Home/100)-(AC20/2)</f>
        <v>0.6575585264</v>
      </c>
      <c r="AD16" s="28">
        <f>1-AD20-AD19-AD18-AD9</f>
        <v>0.9902932227</v>
      </c>
      <c r="AE16" s="28">
        <f>((1-EXP(-((-LN(1-MIN(0.95,1/(i_Eve_Faci))))/1)*91.3)))</f>
        <v>0.9681173067</v>
      </c>
      <c r="AF16" s="28">
        <f>(i_Eve_Home/100)-(AF20/2)</f>
        <v>0.7414700003</v>
      </c>
      <c r="AG16" s="28">
        <f>(i_Eve_Home/100)-(AG20/2)</f>
        <v>0.7414700003</v>
      </c>
      <c r="AH16" s="28">
        <v>0.0</v>
      </c>
      <c r="AI16" s="6"/>
      <c r="AJ16" s="6"/>
      <c r="AK16" s="6"/>
      <c r="AL16" s="6"/>
      <c r="AM16" s="6"/>
      <c r="AN16" s="6"/>
      <c r="AO16" s="6"/>
      <c r="AP16" s="6"/>
      <c r="AQ16" s="6"/>
      <c r="AR16" s="6"/>
      <c r="AS16" s="6"/>
      <c r="AT16" s="6"/>
      <c r="AU16" s="6"/>
    </row>
    <row r="17" ht="14.25" customHeight="1">
      <c r="A17" s="12"/>
      <c r="B17" s="6"/>
      <c r="C17" s="26"/>
      <c r="D17" s="26"/>
      <c r="E17" s="26"/>
      <c r="F17" s="26"/>
      <c r="G17" s="26" t="s">
        <v>410</v>
      </c>
      <c r="H17" s="28">
        <v>0.0</v>
      </c>
      <c r="I17" s="28">
        <v>0.0</v>
      </c>
      <c r="J17" s="28">
        <v>0.0</v>
      </c>
      <c r="K17" s="28">
        <v>0.0</v>
      </c>
      <c r="L17" s="28">
        <v>0.0</v>
      </c>
      <c r="M17" s="28">
        <v>0.0</v>
      </c>
      <c r="N17" s="28">
        <f>(1-EXP(-(1/POWER(i_Eve_Hosp-i_Eve_ICU-i_Eve_Time,91.3/100))))*(i_Eve_Care/100)</f>
        <v>0.04223064914</v>
      </c>
      <c r="O17" s="28">
        <v>0.0</v>
      </c>
      <c r="P17" s="28">
        <f>1-P9-P16-P18-P19-P20</f>
        <v>0.9623544003</v>
      </c>
      <c r="Q17" s="28">
        <f>((1-EXP(-((-LN(1-MIN(0.95,1/(i_Cos_DSWI))))/1)*1)))*(1-(i_Eve_Home/100))</f>
        <v>0.010625</v>
      </c>
      <c r="R17" s="28">
        <f>((1-EXP(-((-LN(1-MIN(0.95,1/(i_Cos_DSWI))))/1)*1)))*(1-(i_Eve_Home/100))</f>
        <v>0.010625</v>
      </c>
      <c r="S17" s="28">
        <v>0.0</v>
      </c>
      <c r="T17" s="6"/>
      <c r="U17" s="26"/>
      <c r="V17" s="26" t="s">
        <v>410</v>
      </c>
      <c r="W17" s="28">
        <v>0.0</v>
      </c>
      <c r="X17" s="28">
        <v>0.0</v>
      </c>
      <c r="Y17" s="28">
        <v>0.0</v>
      </c>
      <c r="Z17" s="28">
        <v>0.0</v>
      </c>
      <c r="AA17" s="28">
        <v>0.0</v>
      </c>
      <c r="AB17" s="28">
        <v>0.0</v>
      </c>
      <c r="AC17" s="28">
        <f>(i_Eve_Care/100)-(AC20/2)</f>
        <v>0.1675585264</v>
      </c>
      <c r="AD17" s="28">
        <v>0.0</v>
      </c>
      <c r="AE17" s="28">
        <f>1-AE9-AE16-AE19-AE18-AE20</f>
        <v>0.02217591607</v>
      </c>
      <c r="AF17" s="28">
        <f>(i_Eve_Care/100)-(AF20/2)</f>
        <v>0.2514700003</v>
      </c>
      <c r="AG17" s="28">
        <f>(i_Eve_Care/100)-(AG20/2)</f>
        <v>0.2514700003</v>
      </c>
      <c r="AH17" s="28">
        <v>0.0</v>
      </c>
      <c r="AI17" s="6"/>
      <c r="AJ17" s="6"/>
      <c r="AK17" s="6"/>
      <c r="AL17" s="6"/>
      <c r="AM17" s="6"/>
      <c r="AN17" s="6"/>
      <c r="AO17" s="6"/>
      <c r="AP17" s="6"/>
      <c r="AQ17" s="6"/>
      <c r="AR17" s="6"/>
      <c r="AS17" s="6"/>
      <c r="AT17" s="6"/>
      <c r="AU17" s="6"/>
    </row>
    <row r="18" ht="14.25" customHeight="1">
      <c r="A18" s="60" t="s">
        <v>38</v>
      </c>
      <c r="B18" s="6"/>
      <c r="C18" s="26"/>
      <c r="D18" s="26"/>
      <c r="E18" s="26"/>
      <c r="F18" s="26"/>
      <c r="G18" s="26" t="s">
        <v>411</v>
      </c>
      <c r="H18" s="28">
        <v>0.0</v>
      </c>
      <c r="I18" s="28">
        <v>0.0</v>
      </c>
      <c r="J18" s="28">
        <v>0.0</v>
      </c>
      <c r="K18" s="28">
        <v>0.0</v>
      </c>
      <c r="L18" s="28">
        <v>0.0</v>
      </c>
      <c r="M18" s="28">
        <v>0.0</v>
      </c>
      <c r="N18" s="28">
        <v>0.0</v>
      </c>
      <c r="O18" s="28">
        <f>(((Calculations!$R$35*(1-$D$11))+((i_Ris_DSWI/((1/Calculations!$R$35)-1+i_Ris_DSWI))*$D$11))/2)+(((Calculations!$R$35*(1-$D$12))+((i_Ris_Diab/((1/Calculations!$R$35)-1+i_Ris_Diab))*$D$12))/2)</f>
        <v>0.0001863595452</v>
      </c>
      <c r="P18" s="28">
        <f>(((Calculations!$R$35*(1-$D$11))+((i_Ris_DSWI/((1/Calculations!$R$35)-1+i_Ris_DSWI))*$D$11))/2)+(((Calculations!$R$35*(1-$D$12))+((i_Ris_Diab/((1/Calculations!$R$35)-1+i_Ris_Diab))*$D$12))/2)</f>
        <v>0.0001863595452</v>
      </c>
      <c r="Q18" s="28">
        <f>1-Q20-Q16-Q17</f>
        <v>0.9582591634</v>
      </c>
      <c r="R18" s="28">
        <v>0.0</v>
      </c>
      <c r="S18" s="28">
        <v>0.0</v>
      </c>
      <c r="T18" s="6"/>
      <c r="U18" s="26"/>
      <c r="V18" s="26" t="s">
        <v>411</v>
      </c>
      <c r="W18" s="28">
        <v>0.0</v>
      </c>
      <c r="X18" s="28">
        <v>0.0</v>
      </c>
      <c r="Y18" s="28">
        <v>0.0</v>
      </c>
      <c r="Z18" s="28">
        <v>0.0</v>
      </c>
      <c r="AA18" s="28">
        <v>0.0</v>
      </c>
      <c r="AB18" s="28">
        <v>0.0</v>
      </c>
      <c r="AC18" s="28">
        <v>0.0</v>
      </c>
      <c r="AD18" s="28">
        <f>(((Calculations!$R$38*(1-$D$11))+((i_Ris_DSWI/((1/Calculations!$R$38)-1+i_Ris_DSWI))*$D$11))/2)+(((Calculations!$R$38*(1-$D$12))+((i_Ris_Diab/((1/Calculations!$R$38)-1+i_Ris_Diab))*$D$12))/2)</f>
        <v>0.001253389291</v>
      </c>
      <c r="AE18" s="28">
        <f>(((Calculations!$R$38*(1-$D$11))+((i_Ris_DSWI/((1/Calculations!$R$38)-1+i_Ris_DSWI))*$D$11))/2)+(((Calculations!$R$38*(1-$D$12))+((i_Ris_Diab/((1/Calculations!$R$38)-1+i_Ris_Diab))*$D$12))/2)</f>
        <v>0.001253389291</v>
      </c>
      <c r="AF18" s="28">
        <v>0.0</v>
      </c>
      <c r="AG18" s="28">
        <v>0.0</v>
      </c>
      <c r="AH18" s="28">
        <v>0.0</v>
      </c>
      <c r="AI18" s="6"/>
      <c r="AJ18" s="6"/>
      <c r="AK18" s="6"/>
      <c r="AL18" s="6"/>
      <c r="AM18" s="6"/>
      <c r="AN18" s="6"/>
      <c r="AO18" s="6">
        <f>SUM(OFFSET($S$26,93,0,2,12))</f>
        <v>285.6298992</v>
      </c>
      <c r="AP18" s="6"/>
      <c r="AQ18" s="6"/>
      <c r="AR18" s="6"/>
      <c r="AS18" s="6"/>
      <c r="AT18" s="6"/>
      <c r="AU18" s="6"/>
    </row>
    <row r="19" ht="14.25" customHeight="1">
      <c r="A19" s="12"/>
      <c r="B19" s="6"/>
      <c r="C19" s="26"/>
      <c r="D19" s="26"/>
      <c r="E19" s="26"/>
      <c r="F19" s="26"/>
      <c r="G19" s="26" t="s">
        <v>412</v>
      </c>
      <c r="H19" s="28">
        <v>0.0</v>
      </c>
      <c r="I19" s="28">
        <v>0.0</v>
      </c>
      <c r="J19" s="28">
        <v>0.0</v>
      </c>
      <c r="K19" s="28">
        <v>0.0</v>
      </c>
      <c r="L19" s="28">
        <v>0.0</v>
      </c>
      <c r="M19" s="28">
        <v>0.0</v>
      </c>
      <c r="N19" s="28">
        <v>0.0</v>
      </c>
      <c r="O19" s="28">
        <f>Calculations!$Q$35</f>
        <v>0.0002076096041</v>
      </c>
      <c r="P19" s="28">
        <f>Calculations!$Q$35</f>
        <v>0.0002076096041</v>
      </c>
      <c r="Q19" s="28">
        <v>0.0</v>
      </c>
      <c r="R19" s="28">
        <f>1-R20-R16-R17</f>
        <v>0.9332857925</v>
      </c>
      <c r="S19" s="28">
        <v>0.0</v>
      </c>
      <c r="T19" s="6"/>
      <c r="U19" s="26"/>
      <c r="V19" s="26" t="s">
        <v>412</v>
      </c>
      <c r="W19" s="28">
        <v>0.0</v>
      </c>
      <c r="X19" s="28">
        <v>0.0</v>
      </c>
      <c r="Y19" s="28">
        <v>0.0</v>
      </c>
      <c r="Z19" s="28">
        <v>0.0</v>
      </c>
      <c r="AA19" s="28">
        <v>0.0</v>
      </c>
      <c r="AB19" s="28">
        <v>0.0</v>
      </c>
      <c r="AC19" s="28">
        <v>0.0</v>
      </c>
      <c r="AD19" s="28">
        <f>Calculations!$Q$38</f>
        <v>0.001393388659</v>
      </c>
      <c r="AE19" s="28">
        <f>Calculations!$Q$38</f>
        <v>0.001393388659</v>
      </c>
      <c r="AF19" s="28">
        <v>0.0</v>
      </c>
      <c r="AG19" s="28">
        <v>0.0</v>
      </c>
      <c r="AH19" s="28">
        <v>0.0</v>
      </c>
      <c r="AI19" s="6"/>
      <c r="AJ19" s="6"/>
      <c r="AK19" s="6"/>
      <c r="AL19" s="6"/>
      <c r="AM19" s="6"/>
      <c r="AN19" s="6"/>
      <c r="AO19" s="6">
        <f>SUM(OFFSET($AI$26,94,0,2,3))</f>
        <v>0</v>
      </c>
      <c r="AP19" s="6"/>
      <c r="AQ19" s="6"/>
      <c r="AR19" s="6"/>
      <c r="AS19" s="6"/>
      <c r="AT19" s="6"/>
      <c r="AU19" s="6"/>
    </row>
    <row r="20" ht="14.25" customHeight="1">
      <c r="A20" s="60" t="s">
        <v>183</v>
      </c>
      <c r="B20" s="6"/>
      <c r="C20" s="26"/>
      <c r="D20" s="26"/>
      <c r="E20" s="26"/>
      <c r="F20" s="26"/>
      <c r="G20" s="26" t="s">
        <v>413</v>
      </c>
      <c r="H20" s="28">
        <f>(i_Bac_CABG_death/100*(1-$D$11))+((i_Ris_Hosp/((1/(i_Bac_CABG_death/100))-1+i_Ris_Hosp))*$D$11)</f>
        <v>0.006331905776</v>
      </c>
      <c r="I20" s="28">
        <f>((1-EXP(-((-LN(1-i_Adv_In_h/100))/i_Adv_Mort)*1))*(1-$D$11))+((i_Ris_Hosp/((1/((1-EXP(-((-LN(1-i_Adv_In_h/100))/i_Adv_Mort)*1))))-1+i_Ris_Hosp))*$D$11)</f>
        <v>0.002183748752</v>
      </c>
      <c r="J20" s="28">
        <f>((1-EXP(-((-LN(1-i_Adv_In_h/100))/i_Adv_Mort)*1))*(1-$D$11))+((i_Ris_Hosp/((1/((1-EXP(-((-LN(1-i_Adv_In_h/100))/i_Adv_Mort)*1))))-1+i_Ris_Hosp))*$D$11)</f>
        <v>0.002183748752</v>
      </c>
      <c r="K20" s="28">
        <f>((1-EXP(-((-LN(1-i_Adv_In_h/100))/i_Adv_Mort)*1))*(1-$D$11))+((i_Ris_Hosp/((1/((1-EXP(-((-LN(1-i_Adv_In_h/100))/i_Adv_Mort)*1))))-1+i_Ris_Hosp))*$D$11)</f>
        <v>0.002183748752</v>
      </c>
      <c r="L20" s="28">
        <f>((1-EXP(-((-LN(1-i_Adv_In_h/100))/i_Adv_Mort)*1))*(1-$D$11))+((i_Ris_Hosp/((1/((1-EXP(-((-LN(1-i_Adv_In_h/100))/i_Adv_Mort)*1))))-1+i_Ris_Hosp))*$D$11)</f>
        <v>0.002183748752</v>
      </c>
      <c r="M20" s="28">
        <f>((1-EXP(-((-LN(1-i_Adv_In_h/100))/i_Adv_Mort)*1))*(1-$D$11))+((i_Ris_Hosp/((1/((1-EXP(-((-LN(1-i_Adv_In_h/100))/i_Adv_Mort)*1))))-1+i_Ris_Hosp))*$D$11)</f>
        <v>0.002183748752</v>
      </c>
      <c r="N20" s="28">
        <f>((1-EXP(-((-LN(1-i_Adv_In_h/100))/i_Adv_Mort)*1))*(1-$D$11))+((i_Ris_Hosp/((1/((1-EXP(-((-LN(1-i_Adv_In_h/100))/i_Adv_Mort)*1))))-1+i_Ris_Hosp))*$D$11)</f>
        <v>0.002183748752</v>
      </c>
      <c r="O20" s="28">
        <f>((1-EXP(-((-LN(1-Death_per_year))/365.25)*1)))</f>
        <v>0.00007416994568</v>
      </c>
      <c r="P20" s="28">
        <f>((1-EXP(-((-LN(1-Death_per_year))/365.25)*1)))</f>
        <v>0.00007416994568</v>
      </c>
      <c r="Q20" s="28">
        <f>((1-EXP(-((-LN(1-Death_per_year))/365.25)*1)))</f>
        <v>0.00007416994568</v>
      </c>
      <c r="R20" s="28">
        <f>((1-EXP(-((-LN(1-Death_per_year))/365.25)*1)))</f>
        <v>0.00007416994568</v>
      </c>
      <c r="S20" s="28">
        <v>1.0</v>
      </c>
      <c r="T20" s="6"/>
      <c r="U20" s="26"/>
      <c r="V20" s="26" t="s">
        <v>413</v>
      </c>
      <c r="W20" s="28">
        <f>i_Bac_CABG_death/100</f>
        <v>0.0061</v>
      </c>
      <c r="X20" s="28">
        <f>((1-EXP(-((-LN(1-i_Adv_In_h/100))/i_Adv_Mort)*91.3)))</f>
        <v>0.1748829472</v>
      </c>
      <c r="Y20" s="28">
        <f>((1-EXP(-((-LN(1-i_Adv_In_h/100))/i_Adv_Mort)*91.3)))</f>
        <v>0.1748829472</v>
      </c>
      <c r="Z20" s="28">
        <f>((1-EXP(-((-LN(1-i_Adv_In_h/100))/i_Adv_Mort)*91.3)))</f>
        <v>0.1748829472</v>
      </c>
      <c r="AA20" s="28">
        <f>((1-EXP(-((-LN(1-i_Adv_In_h/100))/i_Adv_Mort)*91.3)))</f>
        <v>0.1748829472</v>
      </c>
      <c r="AB20" s="28">
        <f>((1-EXP(-((-LN(1-i_Adv_In_h/100))/i_Adv_Mort)*91.3))*(1-$D$11))+((i_Ris_Hosp/((1/((1-EXP(-((-LN(1-i_Adv_In_h/100))/i_Adv_Mort)*91.3))))-1+i_Ris_Hosp))*$D$11)</f>
        <v>0.1798662666</v>
      </c>
      <c r="AC20" s="28">
        <f>((1-EXP(-((-LN(1-i_Adv_In_h/100))/i_Adv_Mort)*91.3)))</f>
        <v>0.1748829472</v>
      </c>
      <c r="AD20" s="28">
        <f>((1-EXP(-((-LN(1-Mean_mortality))/365.25)*91.3)))</f>
        <v>0.007059999323</v>
      </c>
      <c r="AE20" s="28">
        <f>((1-EXP(-((-LN(1-Mean_mortality))/365.25)*91.3)))</f>
        <v>0.007059999323</v>
      </c>
      <c r="AF20" s="28">
        <f>((1-EXP(-((-LN(1-Mean_mortality))/365.25)*91.3)))</f>
        <v>0.007059999323</v>
      </c>
      <c r="AG20" s="28">
        <f>((1-EXP(-((-LN(1-Mean_mortality))/365.25)*91.3)))</f>
        <v>0.007059999323</v>
      </c>
      <c r="AH20" s="28">
        <v>1.0</v>
      </c>
      <c r="AI20" s="6"/>
      <c r="AJ20" s="6"/>
      <c r="AK20" s="6"/>
      <c r="AL20" s="6"/>
      <c r="AM20" s="6"/>
      <c r="AN20" s="6"/>
      <c r="AO20" s="6"/>
      <c r="AP20" s="6"/>
      <c r="AQ20" s="6"/>
      <c r="AR20" s="6"/>
      <c r="AS20" s="6"/>
      <c r="AT20" s="6"/>
      <c r="AU20" s="6"/>
    </row>
    <row r="21" ht="14.25" customHeight="1">
      <c r="A21" s="12"/>
      <c r="B21" s="6"/>
      <c r="C21" s="26"/>
      <c r="D21" s="26"/>
      <c r="E21" s="26"/>
      <c r="F21" s="26"/>
      <c r="G21" s="26"/>
      <c r="H21" s="26"/>
      <c r="I21" s="26"/>
      <c r="J21" s="26"/>
      <c r="K21" s="26"/>
      <c r="L21" s="26"/>
      <c r="M21" s="26"/>
      <c r="N21" s="26"/>
      <c r="O21" s="2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row>
    <row r="22" ht="14.25" customHeight="1">
      <c r="A22" s="12"/>
      <c r="B22" s="6"/>
      <c r="C22" s="26"/>
      <c r="D22" s="26"/>
      <c r="E22" s="26"/>
      <c r="F22" s="26"/>
      <c r="G22" s="26"/>
      <c r="H22" s="83" t="s">
        <v>419</v>
      </c>
      <c r="I22" s="26"/>
      <c r="J22" s="26"/>
      <c r="K22" s="26"/>
      <c r="L22" s="26"/>
      <c r="M22" s="26"/>
      <c r="N22" s="26"/>
      <c r="O22" s="26"/>
      <c r="P22" s="6"/>
      <c r="Q22" s="6"/>
      <c r="R22" s="6"/>
      <c r="S22" s="6">
        <f>Markov!S23-MarkovKendall!S23</f>
        <v>-0.2428954299</v>
      </c>
      <c r="T22" s="6">
        <f>Markov!T23-MarkovKendall!T23</f>
        <v>-1.880351994</v>
      </c>
      <c r="U22" s="6">
        <f>Markov!U23-MarkovKendall!U23</f>
        <v>-1.475796377</v>
      </c>
      <c r="V22" s="6">
        <f>Markov!V23-MarkovKendall!V23</f>
        <v>2.370447429</v>
      </c>
      <c r="W22" s="6">
        <f>Markov!W23-MarkovKendall!W23</f>
        <v>96.79806087</v>
      </c>
      <c r="X22" s="6">
        <f>Markov!X23-MarkovKendall!X23</f>
        <v>161.0898244</v>
      </c>
      <c r="Y22" s="6">
        <f>Markov!Y23-MarkovKendall!Y23</f>
        <v>29.93188102</v>
      </c>
      <c r="Z22" s="6">
        <f>Markov!Z23-MarkovKendall!Z23</f>
        <v>0</v>
      </c>
      <c r="AA22" s="6">
        <f>Markov!AA23-MarkovKendall!AA23</f>
        <v>182.1823358</v>
      </c>
      <c r="AB22" s="6">
        <f>Markov!AB23-MarkovKendall!AB23</f>
        <v>297.4693185</v>
      </c>
      <c r="AC22" s="6">
        <f>Markov!AC23-MarkovKendall!AC23</f>
        <v>36.25757135</v>
      </c>
      <c r="AD22" s="6">
        <f>Markov!AD23-MarkovKendall!AD23</f>
        <v>0</v>
      </c>
      <c r="AE22" s="6"/>
      <c r="AF22" s="6"/>
      <c r="AG22" s="6"/>
      <c r="AH22" s="6"/>
      <c r="AI22" s="6"/>
      <c r="AJ22" s="6"/>
      <c r="AK22" s="6"/>
      <c r="AL22" s="6"/>
      <c r="AM22" s="6"/>
      <c r="AN22" s="6"/>
      <c r="AO22" s="6"/>
      <c r="AP22" s="6"/>
      <c r="AQ22" s="6"/>
      <c r="AR22" s="6"/>
      <c r="AS22" s="6"/>
      <c r="AT22" s="6"/>
      <c r="AU22" s="6"/>
    </row>
    <row r="23" ht="14.25" customHeight="1">
      <c r="A23" s="12"/>
      <c r="B23" s="6"/>
      <c r="C23" s="26"/>
      <c r="D23" s="26"/>
      <c r="E23" s="26"/>
      <c r="F23" s="26"/>
      <c r="G23" s="26"/>
      <c r="H23" s="26"/>
      <c r="I23" s="26"/>
      <c r="J23" s="26"/>
      <c r="K23" s="26"/>
      <c r="L23" s="26"/>
      <c r="M23" s="26"/>
      <c r="N23" s="26"/>
      <c r="O23" s="26"/>
      <c r="P23" s="6"/>
      <c r="Q23" s="6"/>
      <c r="R23" s="6"/>
      <c r="S23" s="26">
        <f t="shared" ref="S23:AD23" si="3">SUM(S26:S136)</f>
        <v>10369.48993</v>
      </c>
      <c r="T23" s="26">
        <f t="shared" si="3"/>
        <v>2979.718702</v>
      </c>
      <c r="U23" s="26">
        <f t="shared" si="3"/>
        <v>949.6399254</v>
      </c>
      <c r="V23" s="26">
        <f t="shared" si="3"/>
        <v>2748.159392</v>
      </c>
      <c r="W23" s="26">
        <f t="shared" si="3"/>
        <v>275.8892305</v>
      </c>
      <c r="X23" s="26">
        <f t="shared" si="3"/>
        <v>459.6007336</v>
      </c>
      <c r="Y23" s="26">
        <f t="shared" si="3"/>
        <v>14272.25615</v>
      </c>
      <c r="Z23" s="26">
        <f t="shared" si="3"/>
        <v>0</v>
      </c>
      <c r="AA23" s="26">
        <f t="shared" si="3"/>
        <v>3481.345009</v>
      </c>
      <c r="AB23" s="26">
        <f t="shared" si="3"/>
        <v>855.3023067</v>
      </c>
      <c r="AC23" s="26">
        <f t="shared" si="3"/>
        <v>104.2030033</v>
      </c>
      <c r="AD23" s="26">
        <f t="shared" si="3"/>
        <v>0</v>
      </c>
      <c r="AE23" s="6"/>
      <c r="AF23" s="6"/>
      <c r="AG23" s="6"/>
      <c r="AH23" s="6"/>
      <c r="AI23" s="6"/>
      <c r="AJ23" s="6"/>
      <c r="AK23" s="6">
        <f>i_Int_Kend_leadsoff</f>
        <v>0.71</v>
      </c>
      <c r="AL23" s="6"/>
      <c r="AM23" s="6"/>
      <c r="AN23" s="6"/>
      <c r="AO23" s="6"/>
      <c r="AP23" s="6"/>
      <c r="AQ23" s="6" t="s">
        <v>422</v>
      </c>
      <c r="AR23" s="6"/>
      <c r="AS23" s="6"/>
      <c r="AT23" s="6"/>
      <c r="AU23" s="6"/>
    </row>
    <row r="24" ht="14.25" customHeight="1">
      <c r="A24" s="12"/>
      <c r="B24" s="6"/>
      <c r="C24" s="6" t="s">
        <v>423</v>
      </c>
      <c r="D24" s="6"/>
      <c r="E24" s="6"/>
      <c r="F24" s="6"/>
      <c r="G24" s="6"/>
      <c r="H24" s="6"/>
      <c r="I24" s="6"/>
      <c r="J24" s="6"/>
      <c r="K24" s="6"/>
      <c r="L24" s="6"/>
      <c r="M24" s="6"/>
      <c r="N24" s="6"/>
      <c r="O24" s="6"/>
      <c r="P24" s="6"/>
      <c r="Q24" s="6"/>
      <c r="R24" s="6" t="s">
        <v>35</v>
      </c>
      <c r="S24" s="26" t="s">
        <v>107</v>
      </c>
      <c r="T24" s="26" t="s">
        <v>406</v>
      </c>
      <c r="U24" s="26" t="s">
        <v>407</v>
      </c>
      <c r="V24" s="26" t="s">
        <v>408</v>
      </c>
      <c r="W24" s="6" t="s">
        <v>302</v>
      </c>
      <c r="X24" s="6" t="s">
        <v>309</v>
      </c>
      <c r="Y24" s="26" t="s">
        <v>409</v>
      </c>
      <c r="Z24" s="26" t="s">
        <v>7</v>
      </c>
      <c r="AA24" s="26" t="s">
        <v>410</v>
      </c>
      <c r="AB24" s="26" t="s">
        <v>411</v>
      </c>
      <c r="AC24" s="26" t="s">
        <v>412</v>
      </c>
      <c r="AD24" s="26" t="s">
        <v>413</v>
      </c>
      <c r="AE24" s="6"/>
      <c r="AF24" s="6" t="s">
        <v>424</v>
      </c>
      <c r="AG24" s="6" t="s">
        <v>425</v>
      </c>
      <c r="AH24" s="6" t="s">
        <v>426</v>
      </c>
      <c r="AI24" s="6" t="s">
        <v>427</v>
      </c>
      <c r="AJ24" s="6" t="s">
        <v>131</v>
      </c>
      <c r="AK24" s="6" t="s">
        <v>428</v>
      </c>
      <c r="AL24" s="6" t="s">
        <v>143</v>
      </c>
      <c r="AM24" s="6" t="s">
        <v>144</v>
      </c>
      <c r="AN24" s="6" t="s">
        <v>179</v>
      </c>
      <c r="AO24" s="6" t="s">
        <v>141</v>
      </c>
      <c r="AP24" s="6" t="s">
        <v>179</v>
      </c>
      <c r="AQ24" s="6">
        <v>1.0</v>
      </c>
      <c r="AR24" s="6">
        <v>2.0</v>
      </c>
      <c r="AS24" s="6">
        <v>3.0</v>
      </c>
      <c r="AT24" s="6">
        <v>4.0</v>
      </c>
      <c r="AU24" s="6">
        <v>5.0</v>
      </c>
    </row>
    <row r="25" ht="14.25" customHeight="1">
      <c r="A25" s="12"/>
      <c r="B25" s="26" t="s">
        <v>429</v>
      </c>
      <c r="C25" s="26">
        <v>0.0</v>
      </c>
      <c r="D25" s="26" t="s">
        <v>179</v>
      </c>
      <c r="E25" s="26" t="s">
        <v>107</v>
      </c>
      <c r="F25" s="26" t="s">
        <v>406</v>
      </c>
      <c r="G25" s="26" t="s">
        <v>407</v>
      </c>
      <c r="H25" s="26" t="s">
        <v>408</v>
      </c>
      <c r="I25" s="6" t="s">
        <v>302</v>
      </c>
      <c r="J25" s="6" t="s">
        <v>309</v>
      </c>
      <c r="K25" s="26" t="s">
        <v>409</v>
      </c>
      <c r="L25" s="26" t="s">
        <v>7</v>
      </c>
      <c r="M25" s="26" t="s">
        <v>410</v>
      </c>
      <c r="N25" s="26" t="s">
        <v>411</v>
      </c>
      <c r="O25" s="26" t="s">
        <v>412</v>
      </c>
      <c r="P25" s="26" t="s">
        <v>413</v>
      </c>
      <c r="Q25" s="26"/>
      <c r="R25" s="26" t="s">
        <v>430</v>
      </c>
      <c r="S25" s="49">
        <f>i_Cos_CABG</f>
        <v>10244.05</v>
      </c>
      <c r="T25" s="49">
        <f>i_Cos_Mech+i_Cos_ICU</f>
        <v>3291.27</v>
      </c>
      <c r="U25" s="49">
        <f>i_Cos_Mech+i_Cos_ICU</f>
        <v>3291.27</v>
      </c>
      <c r="V25" s="49">
        <f>i_Cos_ICU</f>
        <v>2535.52</v>
      </c>
      <c r="W25" s="84">
        <f>i_Cos_Inpa_SSI+(Y25*(1-i_Bac_ICU))+(V25*i_Bac_ICU)</f>
        <v>2232.190509</v>
      </c>
      <c r="X25" s="84">
        <f>i_Cos_Inpa_DSWI+(Y25*(1-i_Bac_ICU))+(V25*i_Bac_ICU)</f>
        <v>2232.190509</v>
      </c>
      <c r="Y25" s="49">
        <f>i_Cos_Gene</f>
        <v>2357.3</v>
      </c>
      <c r="Z25" s="49">
        <f>i_Cos_Pati</f>
        <v>0</v>
      </c>
      <c r="AA25" s="49">
        <f>i_Cos_Care</f>
        <v>420.43</v>
      </c>
      <c r="AB25" s="49">
        <f>i_Cos_Read</f>
        <v>23585.82</v>
      </c>
      <c r="AC25" s="49">
        <f>i_Cos_Outp</f>
        <v>2582.6</v>
      </c>
      <c r="AD25" s="49">
        <f>i_Cos_Mort</f>
        <v>0</v>
      </c>
      <c r="AE25" s="6"/>
      <c r="AF25" s="6"/>
      <c r="AG25" s="6"/>
      <c r="AH25" s="6"/>
      <c r="AI25" s="6">
        <f>i_Int_Kend_cost/i_Eve_ECG</f>
        <v>1.875</v>
      </c>
      <c r="AJ25" s="6">
        <f>i_Cos_Nurs/60*i_Cos_Fals</f>
        <v>1.931</v>
      </c>
      <c r="AK25" s="6">
        <f>i_Cos_Nurs/60*i_Cos_Lead</f>
        <v>0.9655</v>
      </c>
      <c r="AL25" s="6"/>
      <c r="AM25" s="6"/>
      <c r="AN25" s="6">
        <v>0.5</v>
      </c>
      <c r="AO25" s="30" t="str">
        <f>SUM(OFFSET($S$26,0,0,93,12))+SUM(OFFSET($AI$26,0,0,93,3))</f>
        <v>#VALUE!</v>
      </c>
      <c r="AP25" s="6">
        <v>0.5</v>
      </c>
      <c r="AQ25" s="85" t="str">
        <f>$AO25*i_Set_CABG*POWER((1-(i_Set_Cost/100)),ROUNDDOWN($AN25-1,0))</f>
        <v>#VALUE!</v>
      </c>
      <c r="AR25" s="85" t="str">
        <f>$AO25*i_Set_CABG*POWER((1-(i_Set_Cost/100)),ROUNDDOWN($AN25+0.5,0))</f>
        <v>#VALUE!</v>
      </c>
      <c r="AS25" s="85" t="str">
        <f>$AO25*i_Set_CABG*POWER((1-(i_Set_Cost/100)),ROUNDDOWN($AN25+1.5,0))</f>
        <v>#VALUE!</v>
      </c>
      <c r="AT25" s="85" t="str">
        <f>$AO25*i_Set_CABG*POWER((1-(i_Set_Cost/100)),ROUNDDOWN($AN25+2.5,0))</f>
        <v>#VALUE!</v>
      </c>
      <c r="AU25" s="85" t="str">
        <f>$AO25*i_Set_CABG*POWER((1-(i_Set_Cost/100)),ROUNDDOWN($AN25+3.5,0))</f>
        <v>#VALUE!</v>
      </c>
    </row>
    <row r="26" ht="14.25" customHeight="1">
      <c r="A26" s="12"/>
      <c r="B26" s="26">
        <v>0.0</v>
      </c>
      <c r="C26" s="26">
        <v>0.0</v>
      </c>
      <c r="D26" s="26">
        <f t="shared" ref="D26:D136" si="6">ROUND(C26/365.25,1)</f>
        <v>0</v>
      </c>
      <c r="E26" s="28">
        <v>1.0</v>
      </c>
      <c r="F26" s="28">
        <v>0.0</v>
      </c>
      <c r="G26" s="28">
        <v>0.0</v>
      </c>
      <c r="H26" s="28">
        <v>0.0</v>
      </c>
      <c r="I26" s="28">
        <v>0.0</v>
      </c>
      <c r="J26" s="28">
        <v>0.0</v>
      </c>
      <c r="K26" s="28">
        <v>0.0</v>
      </c>
      <c r="L26" s="28">
        <v>0.0</v>
      </c>
      <c r="M26" s="28">
        <v>0.0</v>
      </c>
      <c r="N26" s="28">
        <v>0.0</v>
      </c>
      <c r="O26" s="28">
        <v>0.0</v>
      </c>
      <c r="P26" s="28">
        <v>0.0</v>
      </c>
      <c r="Q26" s="26"/>
      <c r="R26" s="26">
        <f t="shared" ref="R26:R136" si="7">SUM(E26:P26)</f>
        <v>1</v>
      </c>
      <c r="S26" s="30">
        <f t="shared" ref="S26:S136" si="8">E26*S$25</f>
        <v>10244.05</v>
      </c>
      <c r="T26" s="30">
        <f t="shared" ref="T26:AD26" si="4">F26*T$25*($C26-$C25)</f>
        <v>0</v>
      </c>
      <c r="U26" s="30">
        <f t="shared" si="4"/>
        <v>0</v>
      </c>
      <c r="V26" s="30">
        <f t="shared" si="4"/>
        <v>0</v>
      </c>
      <c r="W26" s="30">
        <f t="shared" si="4"/>
        <v>0</v>
      </c>
      <c r="X26" s="30">
        <f t="shared" si="4"/>
        <v>0</v>
      </c>
      <c r="Y26" s="30">
        <f t="shared" si="4"/>
        <v>0</v>
      </c>
      <c r="Z26" s="30">
        <f t="shared" si="4"/>
        <v>0</v>
      </c>
      <c r="AA26" s="30">
        <f t="shared" si="4"/>
        <v>0</v>
      </c>
      <c r="AB26" s="30">
        <f t="shared" si="4"/>
        <v>0</v>
      </c>
      <c r="AC26" s="30">
        <f t="shared" si="4"/>
        <v>0</v>
      </c>
      <c r="AD26" s="30">
        <f t="shared" si="4"/>
        <v>0</v>
      </c>
      <c r="AE26" s="6"/>
      <c r="AF26" s="30">
        <f t="shared" ref="AF26:AF136" si="11">SUM(L26:P26)-M26</f>
        <v>0</v>
      </c>
      <c r="AG26" s="30">
        <f>E26</f>
        <v>1</v>
      </c>
      <c r="AH26" s="30">
        <f t="shared" ref="AH26:AH136" si="12">IF(AG26+AF26&gt;1,
IF(AG26-AF26&lt;0,AG26,AG26-AF26),AG26)</f>
        <v>1</v>
      </c>
      <c r="AI26" s="30">
        <f t="shared" ref="AI26:AI136" si="13">AH26*AI$25</f>
        <v>1.875</v>
      </c>
      <c r="AJ26" s="30">
        <f>(AH26*(i_Adv_Fals/i_Adv_Alar)*i_Int_Kend_false)*AJ$25</f>
        <v>1.53126369</v>
      </c>
      <c r="AK26" s="30">
        <f>(AH26*(i_Adv_Lead/i_Adv_Alar)*i_Int_Kend_leadsoff)*AK$25</f>
        <v>0.280371545</v>
      </c>
      <c r="AL26" s="30">
        <v>0.0</v>
      </c>
      <c r="AM26" s="30">
        <v>1.0</v>
      </c>
      <c r="AN26" s="6">
        <v>1.0</v>
      </c>
      <c r="AO26" s="30">
        <f>SUM(OFFSET($S$26,93,0,2,12))+SUM(OFFSET($AI$26,93,0,2,3))</f>
        <v>285.6298992</v>
      </c>
      <c r="AP26" s="6">
        <v>1.0</v>
      </c>
      <c r="AQ26" s="85">
        <f>AO26*i_Set_CABG*POWER((1-(i_Set_Cost/100)),ROUNDDOWN($AN26-1,0))</f>
        <v>57125.97984</v>
      </c>
      <c r="AR26" s="85">
        <f>$AO26*i_Set_CABG*POWER((1-(i_Set_Cost/100)),ROUNDDOWN($AN26+0.5,0))</f>
        <v>55126.57054</v>
      </c>
      <c r="AS26" s="85">
        <f>$AO26*i_Set_CABG*POWER((1-(i_Set_Cost/100)),ROUNDDOWN($AN26+1.5,0))</f>
        <v>53197.14057</v>
      </c>
      <c r="AT26" s="85">
        <f>$AO26*i_Set_CABG*POWER((1-(i_Set_Cost/100)),ROUNDDOWN($AN26+2.5,0))</f>
        <v>51335.24065</v>
      </c>
      <c r="AU26" s="85">
        <f>$AO26*i_Set_CABG*POWER((1-(i_Set_Cost/100)),ROUNDDOWN($AN26+3.5,0))</f>
        <v>49538.50723</v>
      </c>
    </row>
    <row r="27" ht="14.25" customHeight="1">
      <c r="A27" s="12"/>
      <c r="B27" s="26">
        <f t="shared" ref="B27:C27" si="5">B26+1</f>
        <v>1</v>
      </c>
      <c r="C27" s="26">
        <f t="shared" si="5"/>
        <v>1</v>
      </c>
      <c r="D27" s="26">
        <f t="shared" si="6"/>
        <v>0</v>
      </c>
      <c r="E27" s="28">
        <f t="shared" ref="E27:E117" si="15">SUMPRODUCT($E26:$P26,$H$9:$S$9)</f>
        <v>0</v>
      </c>
      <c r="F27" s="28">
        <f t="shared" ref="F27:F117" si="16">SUMPRODUCT($E26:$P26,$H$10:$S$10)</f>
        <v>0.8838155416</v>
      </c>
      <c r="G27" s="28">
        <f t="shared" ref="G27:G117" si="17">SUMPRODUCT($E26:$P26,$H$11:$S$11)</f>
        <v>0.1098525527</v>
      </c>
      <c r="H27" s="28">
        <f t="shared" ref="H27:H117" si="18">SUMPRODUCT($E26:$P26,$H$12:$S$12)</f>
        <v>0</v>
      </c>
      <c r="I27" s="28">
        <f t="shared" ref="I27:I117" si="19">SUMPRODUCT($E26:$P26,$H$13:$S$13)</f>
        <v>0</v>
      </c>
      <c r="J27" s="28">
        <f t="shared" ref="J27:J117" si="20">SUMPRODUCT($E26:$P26,$H$14:$S$14)</f>
        <v>0</v>
      </c>
      <c r="K27" s="28">
        <f t="shared" ref="K27:K117" si="21">SUMPRODUCT($E26:$P26,$H$15:$S$15)</f>
        <v>0</v>
      </c>
      <c r="L27" s="28">
        <f t="shared" ref="L27:L117" si="22">SUMPRODUCT($E26:$P26,$H$16:$S$16)</f>
        <v>0</v>
      </c>
      <c r="M27" s="28">
        <f t="shared" ref="M27:M117" si="23">SUMPRODUCT($E26:$P26,$H$17:$S$17)</f>
        <v>0</v>
      </c>
      <c r="N27" s="28">
        <f t="shared" ref="N27:N117" si="24">SUMPRODUCT($E26:$P26,$H$18:$S$18)</f>
        <v>0</v>
      </c>
      <c r="O27" s="28">
        <f t="shared" ref="O27:O117" si="25">SUMPRODUCT($E26:$P26,$H$19:$S$19)</f>
        <v>0</v>
      </c>
      <c r="P27" s="28">
        <f t="shared" ref="P27:P117" si="26">SUMPRODUCT($E26:$P26,$H$20:$S$20)</f>
        <v>0.006331905776</v>
      </c>
      <c r="Q27" s="26"/>
      <c r="R27" s="26">
        <f t="shared" si="7"/>
        <v>1</v>
      </c>
      <c r="S27" s="30">
        <f t="shared" si="8"/>
        <v>0</v>
      </c>
      <c r="T27" s="30">
        <f t="shared" ref="T27:U27" si="9">((F26+F27)/2)*T$25*($C27-$C26)</f>
        <v>1454.437789</v>
      </c>
      <c r="U27" s="30">
        <f t="shared" si="9"/>
        <v>180.7772055</v>
      </c>
      <c r="V27" s="30">
        <f t="shared" ref="V27:V136" si="28">((H27+H26)/2)*V$25*($C27-$C26)</f>
        <v>0</v>
      </c>
      <c r="W27" s="30">
        <f t="shared" ref="W27:X27" si="10">((I26+I27)/2)*W$25*($C27-$C26)</f>
        <v>0</v>
      </c>
      <c r="X27" s="30">
        <f t="shared" si="10"/>
        <v>0</v>
      </c>
      <c r="Y27" s="30">
        <f t="shared" ref="Y27:Y136" si="30">((K27+K26)/2)*Y$25*($C27-$C26)</f>
        <v>0</v>
      </c>
      <c r="Z27" s="30">
        <f>(L27-OFFSET(L27,-IF(C27-C26&gt;i_Cos_Days,1,MIN(B27,i_Cos_Days)),0))*MIN(i_Cos_Days,($C27-$C26))</f>
        <v>0</v>
      </c>
      <c r="AA27" s="30">
        <f t="shared" ref="AA27:AA136" si="31">((M26+M27)/2)*AA$25*($C27-$C26)</f>
        <v>0</v>
      </c>
      <c r="AB27" s="30">
        <f t="shared" ref="AB27:AB117" si="32">(N27-(N26*$Q$18))*AB$25</f>
        <v>0</v>
      </c>
      <c r="AC27" s="30">
        <f t="shared" ref="AC27:AC117" si="33">(O27-(O26*$R$19))*AC$25</f>
        <v>0</v>
      </c>
      <c r="AD27" s="30">
        <f t="shared" ref="AD27:AD136" si="34">((P27-P26)*AD$25)</f>
        <v>0</v>
      </c>
      <c r="AE27" s="6"/>
      <c r="AF27" s="30">
        <f t="shared" si="11"/>
        <v>0.006331905776</v>
      </c>
      <c r="AG27" s="30" t="str">
        <f>MIN(1,SUM(OFFSET(E27,0,0,-i_Eve_ECG,1)))</f>
        <v>#VALUE!</v>
      </c>
      <c r="AH27" s="30" t="str">
        <f t="shared" si="12"/>
        <v>#VALUE!</v>
      </c>
      <c r="AI27" s="30" t="str">
        <f t="shared" si="13"/>
        <v>#VALUE!</v>
      </c>
      <c r="AJ27" s="30" t="str">
        <f>(AH27*(i_Adv_Fals/i_Adv_Alar)*i_Int_Kend_false)*AJ$25</f>
        <v>#VALUE!</v>
      </c>
      <c r="AK27" s="30" t="str">
        <f>(AH27*(i_Adv_Lead/i_Adv_Alar)*i_Int_Kend_leadsoff)*AK$25</f>
        <v>#VALUE!</v>
      </c>
      <c r="AL27" s="30">
        <f>((SUM(F26:J26)-((I26+J26)*(1-i_Bac_ICU)))+(SUM(F27:J27)-((I27+J27)*(1-i_Bac_ICU))))/2*(C27-C26)</f>
        <v>0.4968340471</v>
      </c>
      <c r="AM27" s="30">
        <f>(((I26+J26)*(1-i_Bac_ICU))+((I27+J27)*(1-i_Bac_ICU))+K26+E26+E27+K27)/2*(C27-C26)</f>
        <v>0.5</v>
      </c>
      <c r="AN27" s="6">
        <v>2.0</v>
      </c>
      <c r="AO27" s="30">
        <f>SUM(OFFSET($S$26,95,0,4,12))+SUM(OFFSET($AI$26,95,0,4,3))</f>
        <v>223.7895834</v>
      </c>
      <c r="AP27" s="6">
        <v>2.0</v>
      </c>
      <c r="AQ27" s="85">
        <f>AO27*i_Set_CABG*POWER((1-(i_Set_Cost/100)),ROUNDDOWN($AN27-1,0))</f>
        <v>43191.38959</v>
      </c>
      <c r="AR27" s="85">
        <f>$AO27*i_Set_CABG*POWER((1-(i_Set_Cost/100)),ROUNDDOWN($AN27+0.5,0))</f>
        <v>41679.69096</v>
      </c>
      <c r="AS27" s="85">
        <f>$AO27*i_Set_CABG*POWER((1-(i_Set_Cost/100)),ROUNDDOWN($AN27+1.5,0))</f>
        <v>40220.90178</v>
      </c>
      <c r="AT27" s="85">
        <f>$AO27*i_Set_CABG*POWER((1-(i_Set_Cost/100)),ROUNDDOWN($AN27+2.5,0))</f>
        <v>38813.17021</v>
      </c>
      <c r="AU27" s="84">
        <v>0.0</v>
      </c>
    </row>
    <row r="28" ht="14.25" customHeight="1">
      <c r="A28" s="12"/>
      <c r="B28" s="26">
        <f t="shared" ref="B28:C28" si="14">B27+1</f>
        <v>2</v>
      </c>
      <c r="C28" s="26">
        <f t="shared" si="14"/>
        <v>2</v>
      </c>
      <c r="D28" s="26">
        <f t="shared" si="6"/>
        <v>0</v>
      </c>
      <c r="E28" s="28">
        <f t="shared" si="15"/>
        <v>0.0001395343776</v>
      </c>
      <c r="F28" s="28">
        <f t="shared" si="16"/>
        <v>0.005302075528</v>
      </c>
      <c r="G28" s="28">
        <f t="shared" si="17"/>
        <v>0.06727591168</v>
      </c>
      <c r="H28" s="28">
        <f t="shared" si="18"/>
        <v>0.9171145153</v>
      </c>
      <c r="I28" s="28">
        <f t="shared" si="19"/>
        <v>0.0008772628494</v>
      </c>
      <c r="J28" s="28">
        <f t="shared" si="20"/>
        <v>0.0007888730482</v>
      </c>
      <c r="K28" s="28">
        <f t="shared" si="21"/>
        <v>0</v>
      </c>
      <c r="L28" s="28">
        <f t="shared" si="22"/>
        <v>0</v>
      </c>
      <c r="M28" s="28">
        <f t="shared" si="23"/>
        <v>0</v>
      </c>
      <c r="N28" s="28">
        <f t="shared" si="24"/>
        <v>0</v>
      </c>
      <c r="O28" s="28">
        <f t="shared" si="25"/>
        <v>0</v>
      </c>
      <c r="P28" s="28">
        <f t="shared" si="26"/>
        <v>0.008501827237</v>
      </c>
      <c r="Q28" s="26"/>
      <c r="R28" s="26">
        <f t="shared" si="7"/>
        <v>1</v>
      </c>
      <c r="S28" s="30">
        <f t="shared" si="8"/>
        <v>1.429397141</v>
      </c>
      <c r="T28" s="30">
        <f t="shared" ref="T28:U28" si="27">((F27+F28)/2)*T$25*($C28-$C27)</f>
        <v>1463.16307</v>
      </c>
      <c r="U28" s="30">
        <f t="shared" si="27"/>
        <v>291.4888004</v>
      </c>
      <c r="V28" s="30">
        <f t="shared" si="28"/>
        <v>1162.681098</v>
      </c>
      <c r="W28" s="30">
        <f t="shared" ref="W28:X28" si="29">((I27+I28)/2)*W$25*($C28-$C27)</f>
        <v>0.9791089033</v>
      </c>
      <c r="X28" s="30">
        <f t="shared" si="29"/>
        <v>0.8804574657</v>
      </c>
      <c r="Y28" s="30">
        <f t="shared" si="30"/>
        <v>0</v>
      </c>
      <c r="Z28" s="30">
        <f>(L28-OFFSET(L28,-IF(C28-C27&gt;i_Cos_Days,1,MIN(B28,i_Cos_Days)),0))*MIN(i_Cos_Days,($C28-$C27))</f>
        <v>0</v>
      </c>
      <c r="AA28" s="30">
        <f t="shared" si="31"/>
        <v>0</v>
      </c>
      <c r="AB28" s="30">
        <f t="shared" si="32"/>
        <v>0</v>
      </c>
      <c r="AC28" s="30">
        <f t="shared" si="33"/>
        <v>0</v>
      </c>
      <c r="AD28" s="30">
        <f t="shared" si="34"/>
        <v>0</v>
      </c>
      <c r="AE28" s="6"/>
      <c r="AF28" s="30">
        <f t="shared" si="11"/>
        <v>0.008501827237</v>
      </c>
      <c r="AG28" s="30" t="str">
        <f>MIN(1,SUM(OFFSET(E28,0,0,-i_Eve_ECG,1)))</f>
        <v>#VALUE!</v>
      </c>
      <c r="AH28" s="30" t="str">
        <f t="shared" si="12"/>
        <v>#VALUE!</v>
      </c>
      <c r="AI28" s="30" t="str">
        <f t="shared" si="13"/>
        <v>#VALUE!</v>
      </c>
      <c r="AJ28" s="30" t="str">
        <f>(AH28*(i_Adv_Fals/i_Adv_Alar)*i_Int_Kend_false)*AJ$25</f>
        <v>#VALUE!</v>
      </c>
      <c r="AK28" s="30" t="str">
        <f>(AH28*(i_Adv_Lead/i_Adv_Alar)*i_Int_Kend_leadsoff)*AK$25</f>
        <v>#VALUE!</v>
      </c>
      <c r="AL28" s="30">
        <f>((SUM(F27:J27)-((I27+J27)*(1-i_Bac_ICU)))+(SUM(F28:J28)-((I28+J28)*(1-i_Bac_ICU))))/2*(C28-C27)</f>
        <v>0.9918321713</v>
      </c>
      <c r="AM28" s="30">
        <f>(((I27+J27)*(1-i_Bac_ICU))+((I28+J28)*(1-i_Bac_ICU))+K27+E27+E28+K28)/2*(C28-C27)</f>
        <v>0.0007509621603</v>
      </c>
      <c r="AN28" s="6">
        <v>3.0</v>
      </c>
      <c r="AO28" s="30">
        <f>SUM(OFFSET($S$26,99,0,4,12))+SUM(OFFSET($AI$26,99,0,4,3))</f>
        <v>216.7724687</v>
      </c>
      <c r="AP28" s="6">
        <v>3.0</v>
      </c>
      <c r="AQ28" s="85">
        <f>AO28*i_Set_CABG*POWER((1-(i_Set_Cost/100)),ROUNDDOWN($AN28-1,0))</f>
        <v>40372.78842</v>
      </c>
      <c r="AR28" s="85">
        <f>$AO28*i_Set_CABG*POWER((1-(i_Set_Cost/100)),ROUNDDOWN($AN28+0.5,0))</f>
        <v>38959.74083</v>
      </c>
      <c r="AS28" s="85">
        <f>$AO28*i_Set_CABG*POWER((1-(i_Set_Cost/100)),ROUNDDOWN($AN28+1.5,0))</f>
        <v>37596.1499</v>
      </c>
      <c r="AT28" s="84">
        <v>0.0</v>
      </c>
      <c r="AU28" s="84">
        <v>0.0</v>
      </c>
    </row>
    <row r="29" ht="14.25" customHeight="1">
      <c r="A29" s="12"/>
      <c r="B29" s="26">
        <f t="shared" ref="B29:C29" si="35">B28+1</f>
        <v>3</v>
      </c>
      <c r="C29" s="26">
        <f t="shared" si="35"/>
        <v>3</v>
      </c>
      <c r="D29" s="26">
        <f t="shared" si="6"/>
        <v>0</v>
      </c>
      <c r="E29" s="28">
        <f t="shared" si="15"/>
        <v>0.0001392100756</v>
      </c>
      <c r="F29" s="28">
        <f t="shared" si="16"/>
        <v>0.0001551301991</v>
      </c>
      <c r="G29" s="28">
        <f t="shared" si="17"/>
        <v>0.04121644901</v>
      </c>
      <c r="H29" s="28">
        <f t="shared" si="18"/>
        <v>0.07108312393</v>
      </c>
      <c r="I29" s="28">
        <f t="shared" si="19"/>
        <v>0.001698917065</v>
      </c>
      <c r="J29" s="28">
        <f t="shared" si="20"/>
        <v>0.001548844802</v>
      </c>
      <c r="K29" s="28">
        <f t="shared" si="21"/>
        <v>0.873490736</v>
      </c>
      <c r="L29" s="28">
        <f t="shared" si="22"/>
        <v>0</v>
      </c>
      <c r="M29" s="28">
        <f t="shared" si="23"/>
        <v>0</v>
      </c>
      <c r="N29" s="28">
        <f t="shared" si="24"/>
        <v>0</v>
      </c>
      <c r="O29" s="28">
        <f t="shared" si="25"/>
        <v>0</v>
      </c>
      <c r="P29" s="28">
        <f t="shared" si="26"/>
        <v>0.01066758894</v>
      </c>
      <c r="Q29" s="26"/>
      <c r="R29" s="26">
        <f t="shared" si="7"/>
        <v>1</v>
      </c>
      <c r="S29" s="30">
        <f t="shared" si="8"/>
        <v>1.426074975</v>
      </c>
      <c r="T29" s="30">
        <f t="shared" ref="T29:U29" si="36">((F28+F29)/2)*T$25*($C29-$C28)</f>
        <v>8.980568746</v>
      </c>
      <c r="U29" s="30">
        <f t="shared" si="36"/>
        <v>178.538826</v>
      </c>
      <c r="V29" s="30">
        <f t="shared" si="28"/>
        <v>1252.797439</v>
      </c>
      <c r="W29" s="30">
        <f t="shared" ref="W29:X29" si="37">((I28+I29)/2)*W$25*($C29-$C28)</f>
        <v>2.875262177</v>
      </c>
      <c r="X29" s="30">
        <f t="shared" si="37"/>
        <v>2.609115799</v>
      </c>
      <c r="Y29" s="30">
        <f t="shared" si="30"/>
        <v>1029.539856</v>
      </c>
      <c r="Z29" s="30">
        <f>(L29-OFFSET(L29,-IF(C29-C28&gt;i_Cos_Days,1,MIN(B29,i_Cos_Days)),0))*MIN(i_Cos_Days,($C29-$C28))</f>
        <v>0</v>
      </c>
      <c r="AA29" s="30">
        <f t="shared" si="31"/>
        <v>0</v>
      </c>
      <c r="AB29" s="30">
        <f t="shared" si="32"/>
        <v>0</v>
      </c>
      <c r="AC29" s="30">
        <f t="shared" si="33"/>
        <v>0</v>
      </c>
      <c r="AD29" s="30">
        <f t="shared" si="34"/>
        <v>0</v>
      </c>
      <c r="AE29" s="6"/>
      <c r="AF29" s="30">
        <f t="shared" si="11"/>
        <v>0.01066758894</v>
      </c>
      <c r="AG29" s="30" t="str">
        <f>MIN(1,SUM(OFFSET(E29,0,0,-i_Eve_ECG,1)))</f>
        <v>#VALUE!</v>
      </c>
      <c r="AH29" s="30" t="str">
        <f t="shared" si="12"/>
        <v>#VALUE!</v>
      </c>
      <c r="AI29" s="30" t="str">
        <f t="shared" si="13"/>
        <v>#VALUE!</v>
      </c>
      <c r="AJ29" s="30" t="str">
        <f>(AH29*(i_Adv_Fals/i_Adv_Alar)*i_Int_Kend_false)*AJ$25</f>
        <v>#VALUE!</v>
      </c>
      <c r="AK29" s="30" t="str">
        <f>(AH29*(i_Adv_Lead/i_Adv_Alar)*i_Int_Kend_leadsoff)*AK$25</f>
        <v>#VALUE!</v>
      </c>
      <c r="AL29" s="30">
        <f>((SUM(F28:J28)-((I28+J28)*(1-i_Bac_ICU)))+(SUM(F29:J29)-((I29+J29)*(1-i_Bac_ICU))))/2*(C29-C28)</f>
        <v>0.5515215184</v>
      </c>
      <c r="AM29" s="30">
        <f>(((I28+J28)*(1-i_Bac_ICU))+((I29+J29)*(1-i_Bac_ICU))+K28+E28+E29+K29)/2*(C29-C28)</f>
        <v>0.4388937735</v>
      </c>
      <c r="AN29" s="6">
        <v>4.0</v>
      </c>
      <c r="AO29" s="30" t="str">
        <f>SUM(OFFSET($S$26,103,0,4,12))+SUM(OFFSET($AI$26,103,0,4,3))</f>
        <v>#VALUE!</v>
      </c>
      <c r="AP29" s="6">
        <v>4.0</v>
      </c>
      <c r="AQ29" s="85" t="str">
        <f>AO29*i_Set_CABG*POWER((1-(i_Set_Cost/100)),ROUNDDOWN($AN29-1,0))</f>
        <v>#VALUE!</v>
      </c>
      <c r="AR29" s="85" t="str">
        <f>$AO29*i_Set_CABG*POWER((1-(i_Set_Cost/100)),ROUNDDOWN($AN29+0.5,0))</f>
        <v>#VALUE!</v>
      </c>
      <c r="AS29" s="84">
        <v>0.0</v>
      </c>
      <c r="AT29" s="84">
        <v>0.0</v>
      </c>
      <c r="AU29" s="84">
        <v>0.0</v>
      </c>
    </row>
    <row r="30" ht="14.25" customHeight="1">
      <c r="A30" s="12"/>
      <c r="B30" s="26">
        <f t="shared" ref="B30:C30" si="38">B29+1</f>
        <v>4</v>
      </c>
      <c r="C30" s="26">
        <f t="shared" si="38"/>
        <v>4</v>
      </c>
      <c r="D30" s="26">
        <f t="shared" si="6"/>
        <v>0</v>
      </c>
      <c r="E30" s="28">
        <f t="shared" si="15"/>
        <v>0.0001389059973</v>
      </c>
      <c r="F30" s="28">
        <f t="shared" si="16"/>
        <v>0.0001239666661</v>
      </c>
      <c r="G30" s="28">
        <f t="shared" si="17"/>
        <v>0.02525707455</v>
      </c>
      <c r="H30" s="28">
        <f t="shared" si="18"/>
        <v>0.01913492115</v>
      </c>
      <c r="I30" s="28">
        <f t="shared" si="19"/>
        <v>0.002468466881</v>
      </c>
      <c r="J30" s="28">
        <f t="shared" si="20"/>
        <v>0.00228103989</v>
      </c>
      <c r="K30" s="28">
        <f t="shared" si="21"/>
        <v>0.7931078646</v>
      </c>
      <c r="L30" s="28">
        <f t="shared" si="22"/>
        <v>0.1077710596</v>
      </c>
      <c r="M30" s="28">
        <f t="shared" si="23"/>
        <v>0.0368880808</v>
      </c>
      <c r="N30" s="28">
        <f t="shared" si="24"/>
        <v>0</v>
      </c>
      <c r="O30" s="28">
        <f t="shared" si="25"/>
        <v>0</v>
      </c>
      <c r="P30" s="28">
        <f t="shared" si="26"/>
        <v>0.01282861983</v>
      </c>
      <c r="Q30" s="26"/>
      <c r="R30" s="26">
        <f t="shared" si="7"/>
        <v>1</v>
      </c>
      <c r="S30" s="30">
        <f t="shared" si="8"/>
        <v>1.422959981</v>
      </c>
      <c r="T30" s="30">
        <f t="shared" ref="T30:U30" si="39">((F29+F30)/2)*T$25*($C30-$C29)</f>
        <v>0.4592915696</v>
      </c>
      <c r="U30" s="30">
        <f t="shared" si="39"/>
        <v>109.3911569</v>
      </c>
      <c r="V30" s="30">
        <f t="shared" si="28"/>
        <v>114.3748288</v>
      </c>
      <c r="W30" s="30">
        <f t="shared" ref="W30:X30" si="40">((I29+I30)/2)*W$25*($C30-$C29)</f>
        <v>4.651197446</v>
      </c>
      <c r="X30" s="30">
        <f t="shared" si="40"/>
        <v>4.274516131</v>
      </c>
      <c r="Y30" s="30">
        <f t="shared" si="30"/>
        <v>1964.336441</v>
      </c>
      <c r="Z30" s="30">
        <f>(L30-OFFSET(L30,-IF(C30-C29&gt;i_Cos_Days,1,MIN(B30,i_Cos_Days)),0))*MIN(i_Cos_Days,($C30-$C29))</f>
        <v>0</v>
      </c>
      <c r="AA30" s="30">
        <f t="shared" si="31"/>
        <v>7.754427906</v>
      </c>
      <c r="AB30" s="30">
        <f t="shared" si="32"/>
        <v>0</v>
      </c>
      <c r="AC30" s="30">
        <f t="shared" si="33"/>
        <v>0</v>
      </c>
      <c r="AD30" s="30">
        <f t="shared" si="34"/>
        <v>0</v>
      </c>
      <c r="AE30" s="6"/>
      <c r="AF30" s="30">
        <f t="shared" si="11"/>
        <v>0.1205996794</v>
      </c>
      <c r="AG30" s="30" t="str">
        <f>MIN(1,SUM(OFFSET(E30,0,0,-i_Eve_ECG,1)))</f>
        <v>#VALUE!</v>
      </c>
      <c r="AH30" s="30" t="str">
        <f t="shared" si="12"/>
        <v>#VALUE!</v>
      </c>
      <c r="AI30" s="30" t="str">
        <f t="shared" si="13"/>
        <v>#VALUE!</v>
      </c>
      <c r="AJ30" s="30" t="str">
        <f>(AH30*(i_Adv_Fals/i_Adv_Alar)*i_Int_Kend_false)*AJ$25</f>
        <v>#VALUE!</v>
      </c>
      <c r="AK30" s="30" t="str">
        <f>(AH30*(i_Adv_Lead/i_Adv_Alar)*i_Int_Kend_leadsoff)*AK$25</f>
        <v>#VALUE!</v>
      </c>
      <c r="AL30" s="30">
        <f>((SUM(F29:J29)-((I29+J29)*(1-i_Bac_ICU)))+(SUM(F30:J30)-((I30+J30)*(1-i_Bac_ICU))))/2*(C30-C29)</f>
        <v>0.0792143063</v>
      </c>
      <c r="AM30" s="30">
        <f>(((I29+J29)*(1-i_Bac_ICU))+((I30+J30)*(1-i_Bac_ICU))+K29+E29+E30+K30)/2*(C30-C29)</f>
        <v>0.8367080191</v>
      </c>
      <c r="AN30" s="6">
        <v>5.0</v>
      </c>
      <c r="AO30" s="30" t="str">
        <f>SUM(OFFSET($S$26,107,0,4,12))+SUM(OFFSET($AI$26,107,0,4,3))</f>
        <v>#VALUE!</v>
      </c>
      <c r="AP30" s="6">
        <v>5.0</v>
      </c>
      <c r="AQ30" s="85" t="str">
        <f>AO30*i_Set_CABG*POWER((1-(i_Set_Cost/100)),ROUNDDOWN($AN30-1,0))</f>
        <v>#VALUE!</v>
      </c>
      <c r="AR30" s="84">
        <v>0.0</v>
      </c>
      <c r="AS30" s="84">
        <v>0.0</v>
      </c>
      <c r="AT30" s="84">
        <v>0.0</v>
      </c>
      <c r="AU30" s="84">
        <v>0.0</v>
      </c>
    </row>
    <row r="31" ht="14.25" customHeight="1">
      <c r="A31" s="12"/>
      <c r="B31" s="26">
        <f t="shared" ref="B31:C31" si="41">B30+1</f>
        <v>5</v>
      </c>
      <c r="C31" s="26">
        <f t="shared" si="41"/>
        <v>5</v>
      </c>
      <c r="D31" s="26">
        <f t="shared" si="6"/>
        <v>0</v>
      </c>
      <c r="E31" s="28">
        <f t="shared" si="15"/>
        <v>0.0001386025804</v>
      </c>
      <c r="F31" s="28">
        <f t="shared" si="16"/>
        <v>0.0001235109645</v>
      </c>
      <c r="G31" s="28">
        <f t="shared" si="17"/>
        <v>0.01548319939</v>
      </c>
      <c r="H31" s="28">
        <f t="shared" si="18"/>
        <v>0.01075020241</v>
      </c>
      <c r="I31" s="28">
        <f t="shared" si="19"/>
        <v>0.003061368595</v>
      </c>
      <c r="J31" s="28">
        <f t="shared" si="20"/>
        <v>0.002871587086</v>
      </c>
      <c r="K31" s="28">
        <f t="shared" si="21"/>
        <v>0.6769167692</v>
      </c>
      <c r="L31" s="28">
        <f t="shared" si="22"/>
        <v>0.2069251412</v>
      </c>
      <c r="M31" s="28">
        <f t="shared" si="23"/>
        <v>0.06899286685</v>
      </c>
      <c r="N31" s="28">
        <f t="shared" si="24"/>
        <v>0.00002695861161</v>
      </c>
      <c r="O31" s="28">
        <f t="shared" si="25"/>
        <v>0.00003003262688</v>
      </c>
      <c r="P31" s="28">
        <f t="shared" si="26"/>
        <v>0.01467976045</v>
      </c>
      <c r="Q31" s="26"/>
      <c r="R31" s="26">
        <f t="shared" si="7"/>
        <v>1</v>
      </c>
      <c r="S31" s="30">
        <f t="shared" si="8"/>
        <v>1.419851764</v>
      </c>
      <c r="T31" s="30">
        <f t="shared" ref="T31:U31" si="42">((F30+F31)/2)*T$25*($C31-$C30)</f>
        <v>0.4072578506</v>
      </c>
      <c r="U31" s="30">
        <f t="shared" si="42"/>
        <v>67.04362071</v>
      </c>
      <c r="V31" s="30">
        <f t="shared" si="28"/>
        <v>37.88716425</v>
      </c>
      <c r="W31" s="30">
        <f t="shared" ref="W31:X31" si="43">((I30+I31)/2)*W$25*($C31-$C30)</f>
        <v>6.171823134</v>
      </c>
      <c r="X31" s="30">
        <f t="shared" si="43"/>
        <v>5.750822517</v>
      </c>
      <c r="Y31" s="30">
        <f t="shared" si="30"/>
        <v>1732.644535</v>
      </c>
      <c r="Z31" s="30">
        <f>(L31-OFFSET(L31,-IF(C31-C30&gt;i_Cos_Days,1,MIN(B31,i_Cos_Days)),0))*MIN(i_Cos_Days,($C31-$C30))</f>
        <v>0</v>
      </c>
      <c r="AA31" s="30">
        <f t="shared" si="31"/>
        <v>22.25776341</v>
      </c>
      <c r="AB31" s="30">
        <f t="shared" si="32"/>
        <v>0.6358409609</v>
      </c>
      <c r="AC31" s="30">
        <f t="shared" si="33"/>
        <v>0.07756226217</v>
      </c>
      <c r="AD31" s="30">
        <f t="shared" si="34"/>
        <v>0</v>
      </c>
      <c r="AE31" s="6"/>
      <c r="AF31" s="30">
        <f t="shared" si="11"/>
        <v>0.2216618929</v>
      </c>
      <c r="AG31" s="30" t="str">
        <f>MIN(1,SUM(OFFSET(E31,0,0,-i_Eve_ECG,1)))</f>
        <v>#VALUE!</v>
      </c>
      <c r="AH31" s="30" t="str">
        <f t="shared" si="12"/>
        <v>#VALUE!</v>
      </c>
      <c r="AI31" s="30" t="str">
        <f t="shared" si="13"/>
        <v>#VALUE!</v>
      </c>
      <c r="AJ31" s="30" t="str">
        <f>(AH31*(i_Adv_Fals/i_Adv_Alar)*i_Int_Kend_false)*AJ$25</f>
        <v>#VALUE!</v>
      </c>
      <c r="AK31" s="30" t="str">
        <f>(AH31*(i_Adv_Lead/i_Adv_Alar)*i_Int_Kend_leadsoff)*AK$25</f>
        <v>#VALUE!</v>
      </c>
      <c r="AL31" s="30">
        <f>((SUM(F30:J30)-((I30+J30)*(1-i_Bac_ICU)))+(SUM(F31:J31)-((I31+J31)*(1-i_Bac_ICU))))/2*(C31-C30)</f>
        <v>0.03641017409</v>
      </c>
      <c r="AM31" s="30">
        <f>(((I30+J30)*(1-i_Bac_ICU))+((I31+J31)*(1-i_Bac_ICU))+K30+E30+E31+K31)/2*(C31-C30)</f>
        <v>0.7395185659</v>
      </c>
      <c r="AP31" s="6"/>
      <c r="AQ31" s="6"/>
      <c r="AR31" s="6"/>
      <c r="AS31" s="6"/>
      <c r="AT31" s="6"/>
      <c r="AU31" s="6"/>
    </row>
    <row r="32" ht="14.25" customHeight="1">
      <c r="A32" s="12"/>
      <c r="B32" s="26">
        <f t="shared" ref="B32:C32" si="44">B31+1</f>
        <v>6</v>
      </c>
      <c r="C32" s="26">
        <f t="shared" si="44"/>
        <v>6</v>
      </c>
      <c r="D32" s="26">
        <f t="shared" si="6"/>
        <v>0</v>
      </c>
      <c r="E32" s="28">
        <f t="shared" si="15"/>
        <v>0.0001383346764</v>
      </c>
      <c r="F32" s="28">
        <f t="shared" si="16"/>
        <v>0.0001232400662</v>
      </c>
      <c r="G32" s="28">
        <f t="shared" si="17"/>
        <v>0.009497448421</v>
      </c>
      <c r="H32" s="28">
        <f t="shared" si="18"/>
        <v>0.006660943056</v>
      </c>
      <c r="I32" s="28">
        <f t="shared" si="19"/>
        <v>0.003500447712</v>
      </c>
      <c r="J32" s="28">
        <f t="shared" si="20"/>
        <v>0.00333620105</v>
      </c>
      <c r="K32" s="28">
        <f t="shared" si="21"/>
        <v>0.5724733146</v>
      </c>
      <c r="L32" s="28">
        <f t="shared" si="22"/>
        <v>0.2928748396</v>
      </c>
      <c r="M32" s="28">
        <f t="shared" si="23"/>
        <v>0.09498282911</v>
      </c>
      <c r="N32" s="28">
        <f t="shared" si="24"/>
        <v>0.0000772532911</v>
      </c>
      <c r="O32" s="28">
        <f t="shared" si="25"/>
        <v>0.00008531225241</v>
      </c>
      <c r="P32" s="28">
        <f t="shared" si="26"/>
        <v>0.01624983622</v>
      </c>
      <c r="Q32" s="26"/>
      <c r="R32" s="26">
        <f t="shared" si="7"/>
        <v>1</v>
      </c>
      <c r="S32" s="30">
        <f t="shared" si="8"/>
        <v>1.417107342</v>
      </c>
      <c r="T32" s="30">
        <f t="shared" ref="T32:U32" si="45">((F31+F32)/2)*T$25*($C32-$C31)</f>
        <v>0.4060621324</v>
      </c>
      <c r="U32" s="30">
        <f t="shared" si="45"/>
        <v>41.10902836</v>
      </c>
      <c r="V32" s="30">
        <f t="shared" si="28"/>
        <v>22.07315378</v>
      </c>
      <c r="W32" s="30">
        <f t="shared" ref="W32:X32" si="46">((I31+I32)/2)*W$25*($C32-$C31)</f>
        <v>7.323612043</v>
      </c>
      <c r="X32" s="30">
        <f t="shared" si="46"/>
        <v>6.928482881</v>
      </c>
      <c r="Y32" s="30">
        <f t="shared" si="30"/>
        <v>1472.593622</v>
      </c>
      <c r="Z32" s="30">
        <f>(L32-OFFSET(L32,-IF(C32-C31&gt;i_Cos_Days,1,MIN(B32,i_Cos_Days)),0))*MIN(i_Cos_Days,($C32-$C31))</f>
        <v>0</v>
      </c>
      <c r="AA32" s="30">
        <f t="shared" si="31"/>
        <v>34.47015093</v>
      </c>
      <c r="AB32" s="30">
        <f t="shared" si="32"/>
        <v>1.212781791</v>
      </c>
      <c r="AC32" s="30">
        <f t="shared" si="33"/>
        <v>0.1479396658</v>
      </c>
      <c r="AD32" s="30">
        <f t="shared" si="34"/>
        <v>0</v>
      </c>
      <c r="AE32" s="6"/>
      <c r="AF32" s="30">
        <f t="shared" si="11"/>
        <v>0.3092872413</v>
      </c>
      <c r="AG32" s="30" t="str">
        <f>MIN(1,SUM(OFFSET(E32,0,0,-i_Eve_ECG,1)))</f>
        <v>#VALUE!</v>
      </c>
      <c r="AH32" s="30" t="str">
        <f t="shared" si="12"/>
        <v>#VALUE!</v>
      </c>
      <c r="AI32" s="30" t="str">
        <f t="shared" si="13"/>
        <v>#VALUE!</v>
      </c>
      <c r="AJ32" s="30" t="str">
        <f>(AH32*(i_Adv_Fals/i_Adv_Alar)*i_Int_Kend_false)*AJ$25</f>
        <v>#VALUE!</v>
      </c>
      <c r="AK32" s="30" t="str">
        <f>(AH32*(i_Adv_Lead/i_Adv_Alar)*i_Int_Kend_leadsoff)*AK$25</f>
        <v>#VALUE!</v>
      </c>
      <c r="AL32" s="30">
        <f>((SUM(F31:J31)-((I31+J31)*(1-i_Bac_ICU)))+(SUM(F32:J32)-((I32+J32)*(1-i_Bac_ICU))))/2*(C32-C31)</f>
        <v>0.02248325755</v>
      </c>
      <c r="AM32" s="30">
        <f>(((I31+J31)*(1-i_Bac_ICU))+((I32+J32)*(1-i_Bac_ICU))+K31+E31+E32+K32)/2*(C32-C31)</f>
        <v>0.6300543273</v>
      </c>
      <c r="AN32" s="6"/>
      <c r="AO32" s="6"/>
      <c r="AP32" s="6"/>
      <c r="AQ32" s="6"/>
      <c r="AR32" s="6"/>
      <c r="AS32" s="6"/>
      <c r="AT32" s="6"/>
      <c r="AU32" s="6"/>
    </row>
    <row r="33" ht="14.25" customHeight="1">
      <c r="A33" s="12"/>
      <c r="B33" s="26">
        <f t="shared" ref="B33:C33" si="47">B32+1</f>
        <v>7</v>
      </c>
      <c r="C33" s="26">
        <f t="shared" si="47"/>
        <v>7</v>
      </c>
      <c r="D33" s="26">
        <f t="shared" si="6"/>
        <v>0</v>
      </c>
      <c r="E33" s="28">
        <f t="shared" si="15"/>
        <v>0.0001380994133</v>
      </c>
      <c r="F33" s="28">
        <f t="shared" si="16"/>
        <v>0.0001230016633</v>
      </c>
      <c r="G33" s="28">
        <f t="shared" si="17"/>
        <v>0.005831624763</v>
      </c>
      <c r="H33" s="28">
        <f t="shared" si="18"/>
        <v>0.004205920696</v>
      </c>
      <c r="I33" s="28">
        <f t="shared" si="19"/>
        <v>0.003812347648</v>
      </c>
      <c r="J33" s="28">
        <f t="shared" si="20"/>
        <v>0.003694735801</v>
      </c>
      <c r="K33" s="28">
        <f t="shared" si="21"/>
        <v>0.4818696374</v>
      </c>
      <c r="L33" s="28">
        <f t="shared" si="22"/>
        <v>0.3668532748</v>
      </c>
      <c r="M33" s="28">
        <f t="shared" si="23"/>
        <v>0.1155847905</v>
      </c>
      <c r="N33" s="28">
        <f t="shared" si="24"/>
        <v>0.0001463096528</v>
      </c>
      <c r="O33" s="28">
        <f t="shared" si="25"/>
        <v>0.0001601436902</v>
      </c>
      <c r="P33" s="28">
        <f t="shared" si="26"/>
        <v>0.01758011399</v>
      </c>
      <c r="Q33" s="26"/>
      <c r="R33" s="26">
        <f t="shared" si="7"/>
        <v>1</v>
      </c>
      <c r="S33" s="30">
        <f t="shared" si="8"/>
        <v>1.414697295</v>
      </c>
      <c r="T33" s="30">
        <f t="shared" ref="T33:U33" si="48">((F32+F33)/2)*T$25*($C33-$C32)</f>
        <v>0.4052240085</v>
      </c>
      <c r="U33" s="30">
        <f t="shared" si="48"/>
        <v>25.22605935</v>
      </c>
      <c r="V33" s="30">
        <f t="shared" si="28"/>
        <v>13.77657519</v>
      </c>
      <c r="W33" s="30">
        <f t="shared" ref="W33:X33" si="49">((I32+I33)/2)*W$25*($C33-$C32)</f>
        <v>8.1617762</v>
      </c>
      <c r="X33" s="30">
        <f t="shared" si="49"/>
        <v>7.847195256</v>
      </c>
      <c r="Y33" s="30">
        <f t="shared" si="30"/>
        <v>1242.70132</v>
      </c>
      <c r="Z33" s="30">
        <f>(L33-OFFSET(L33,-IF(C33-C32&gt;i_Cos_Days,1,MIN(B33,i_Cos_Days)),0))*MIN(i_Cos_Days,($C33-$C32))</f>
        <v>0</v>
      </c>
      <c r="AA33" s="30">
        <f t="shared" si="31"/>
        <v>44.26447216</v>
      </c>
      <c r="AB33" s="30">
        <f t="shared" si="32"/>
        <v>1.704806154</v>
      </c>
      <c r="AC33" s="30">
        <f t="shared" si="33"/>
        <v>0.2079586406</v>
      </c>
      <c r="AD33" s="30">
        <f t="shared" si="34"/>
        <v>0</v>
      </c>
      <c r="AE33" s="6"/>
      <c r="AF33" s="30">
        <f t="shared" si="11"/>
        <v>0.3847398421</v>
      </c>
      <c r="AG33" s="30" t="str">
        <f>MIN(1,SUM(OFFSET(E33,0,0,-i_Eve_ECG,1)))</f>
        <v>#VALUE!</v>
      </c>
      <c r="AH33" s="30" t="str">
        <f t="shared" si="12"/>
        <v>#VALUE!</v>
      </c>
      <c r="AI33" s="30" t="str">
        <f t="shared" si="13"/>
        <v>#VALUE!</v>
      </c>
      <c r="AJ33" s="30" t="str">
        <f>(AH33*(i_Adv_Fals/i_Adv_Alar)*i_Int_Kend_false)*AJ$25</f>
        <v>#VALUE!</v>
      </c>
      <c r="AK33" s="30" t="str">
        <f>(AH33*(i_Adv_Lead/i_Adv_Alar)*i_Int_Kend_leadsoff)*AK$25</f>
        <v>#VALUE!</v>
      </c>
      <c r="AL33" s="30">
        <f>((SUM(F32:J32)-((I32+J32)*(1-i_Bac_ICU)))+(SUM(F33:J33)-((I33+J33)*(1-i_Bac_ICU))))/2*(C33-C32)</f>
        <v>0.0145285609</v>
      </c>
      <c r="AM33" s="30">
        <f>(((I32+J32)*(1-i_Bac_ICU))+((I33+J33)*(1-i_Bac_ICU))+K32+E32+E33+K33)/2*(C33-C32)</f>
        <v>0.5331740876</v>
      </c>
      <c r="AN33" s="6"/>
      <c r="AO33" s="6"/>
      <c r="AP33" s="6"/>
      <c r="AQ33" s="6"/>
      <c r="AR33" s="6"/>
      <c r="AS33" s="6"/>
      <c r="AT33" s="6"/>
      <c r="AU33" s="6"/>
    </row>
    <row r="34" ht="14.25" customHeight="1">
      <c r="A34" s="12"/>
      <c r="B34" s="26">
        <f t="shared" ref="B34:C34" si="50">B33+1</f>
        <v>8</v>
      </c>
      <c r="C34" s="26">
        <f t="shared" si="50"/>
        <v>8</v>
      </c>
      <c r="D34" s="26">
        <f t="shared" si="6"/>
        <v>0</v>
      </c>
      <c r="E34" s="28">
        <f t="shared" si="15"/>
        <v>0.0001378924388</v>
      </c>
      <c r="F34" s="28">
        <f t="shared" si="16"/>
        <v>0.000122792304</v>
      </c>
      <c r="G34" s="28">
        <f t="shared" si="17"/>
        <v>0.003586574814</v>
      </c>
      <c r="H34" s="28">
        <f t="shared" si="18"/>
        <v>0.002706831609</v>
      </c>
      <c r="I34" s="28">
        <f t="shared" si="19"/>
        <v>0.004020330766</v>
      </c>
      <c r="J34" s="28">
        <f t="shared" si="20"/>
        <v>0.003964779896</v>
      </c>
      <c r="K34" s="28">
        <f t="shared" si="21"/>
        <v>0.4043095549</v>
      </c>
      <c r="L34" s="28">
        <f t="shared" si="22"/>
        <v>0.4303774023</v>
      </c>
      <c r="M34" s="28">
        <f t="shared" si="23"/>
        <v>0.1315864554</v>
      </c>
      <c r="N34" s="28">
        <f t="shared" si="24"/>
        <v>0.0002301095039</v>
      </c>
      <c r="O34" s="28">
        <f t="shared" si="25"/>
        <v>0.0002496186065</v>
      </c>
      <c r="P34" s="28">
        <f t="shared" si="26"/>
        <v>0.01870765744</v>
      </c>
      <c r="Q34" s="26"/>
      <c r="R34" s="26">
        <f t="shared" si="7"/>
        <v>1</v>
      </c>
      <c r="S34" s="30">
        <f t="shared" si="8"/>
        <v>1.412577038</v>
      </c>
      <c r="T34" s="30">
        <f t="shared" ref="T34:U34" si="51">((F33+F34)/2)*T$25*($C34-$C33)</f>
        <v>0.4044871553</v>
      </c>
      <c r="U34" s="30">
        <f t="shared" si="51"/>
        <v>15.49891886</v>
      </c>
      <c r="V34" s="30">
        <f t="shared" si="28"/>
        <v>8.763710862</v>
      </c>
      <c r="W34" s="30">
        <f t="shared" ref="W34:X34" si="52">((I33+I34)/2)*W$25*($C34-$C33)</f>
        <v>8.74201521</v>
      </c>
      <c r="X34" s="30">
        <f t="shared" si="52"/>
        <v>8.548749123</v>
      </c>
      <c r="Y34" s="30">
        <f t="shared" si="30"/>
        <v>1044.495105</v>
      </c>
      <c r="Z34" s="30">
        <f>(L34-OFFSET(L34,-IF(C34-C33&gt;i_Cos_Days,1,MIN(B34,i_Cos_Days)),0))*MIN(i_Cos_Days,($C34-$C33))</f>
        <v>0</v>
      </c>
      <c r="AA34" s="30">
        <f t="shared" si="31"/>
        <v>51.95910346</v>
      </c>
      <c r="AB34" s="30">
        <f t="shared" si="32"/>
        <v>2.120528866</v>
      </c>
      <c r="AC34" s="30">
        <f t="shared" si="33"/>
        <v>0.2586700543</v>
      </c>
      <c r="AD34" s="30">
        <f t="shared" si="34"/>
        <v>0</v>
      </c>
      <c r="AE34" s="6"/>
      <c r="AF34" s="30">
        <f t="shared" si="11"/>
        <v>0.4495647879</v>
      </c>
      <c r="AG34" s="30" t="str">
        <f>MIN(1,SUM(OFFSET(E34,0,0,-i_Eve_ECG,1)))</f>
        <v>#VALUE!</v>
      </c>
      <c r="AH34" s="30" t="str">
        <f t="shared" si="12"/>
        <v>#VALUE!</v>
      </c>
      <c r="AI34" s="30" t="str">
        <f t="shared" si="13"/>
        <v>#VALUE!</v>
      </c>
      <c r="AJ34" s="30" t="str">
        <f>(AH34*(i_Adv_Fals/i_Adv_Alar)*i_Int_Kend_false)*AJ$25</f>
        <v>#VALUE!</v>
      </c>
      <c r="AK34" s="30" t="str">
        <f>(AH34*(i_Adv_Lead/i_Adv_Alar)*i_Int_Kend_leadsoff)*AK$25</f>
        <v>#VALUE!</v>
      </c>
      <c r="AL34" s="30">
        <f>((SUM(F33:J33)-((I33+J33)*(1-i_Bac_ICU)))+(SUM(F34:J34)-((I34+J34)*(1-i_Bac_ICU))))/2*(C34-C33)</f>
        <v>0.009700530028</v>
      </c>
      <c r="AM34" s="30">
        <f>(((I33+J33)*(1-i_Bac_ICU))+((I34+J34)*(1-i_Bac_ICU))+K33+E33+E34+K34)/2*(C34-C33)</f>
        <v>0.449561532</v>
      </c>
      <c r="AN34" s="6"/>
      <c r="AO34" s="6" t="s">
        <v>143</v>
      </c>
      <c r="AP34" s="26" t="s">
        <v>144</v>
      </c>
      <c r="AQ34" s="6"/>
      <c r="AR34" s="6"/>
      <c r="AS34" s="6"/>
      <c r="AT34" s="6"/>
      <c r="AU34" s="6"/>
    </row>
    <row r="35" ht="14.25" customHeight="1">
      <c r="A35" s="12"/>
      <c r="B35" s="26">
        <f t="shared" ref="B35:C35" si="53">B34+1</f>
        <v>9</v>
      </c>
      <c r="C35" s="26">
        <f t="shared" si="53"/>
        <v>9</v>
      </c>
      <c r="D35" s="26">
        <f t="shared" si="6"/>
        <v>0</v>
      </c>
      <c r="E35" s="28">
        <f t="shared" si="15"/>
        <v>0.0001377098024</v>
      </c>
      <c r="F35" s="28">
        <f t="shared" si="16"/>
        <v>0.0001226081207</v>
      </c>
      <c r="G35" s="28">
        <f t="shared" si="17"/>
        <v>0.002211638355</v>
      </c>
      <c r="H35" s="28">
        <f t="shared" si="18"/>
        <v>0.00179012831</v>
      </c>
      <c r="I35" s="28">
        <f t="shared" si="19"/>
        <v>0.00414418235</v>
      </c>
      <c r="J35" s="28">
        <f t="shared" si="20"/>
        <v>0.00416146345</v>
      </c>
      <c r="K35" s="28">
        <f t="shared" si="21"/>
        <v>0.3384868442</v>
      </c>
      <c r="L35" s="28">
        <f t="shared" si="22"/>
        <v>0.4848937962</v>
      </c>
      <c r="M35" s="28">
        <f t="shared" si="23"/>
        <v>0.1437121565</v>
      </c>
      <c r="N35" s="28">
        <f t="shared" si="24"/>
        <v>0.0003252318697</v>
      </c>
      <c r="O35" s="28">
        <f t="shared" si="25"/>
        <v>0.0003496345931</v>
      </c>
      <c r="P35" s="28">
        <f t="shared" si="26"/>
        <v>0.0196646063</v>
      </c>
      <c r="Q35" s="26"/>
      <c r="R35" s="26">
        <f t="shared" si="7"/>
        <v>1</v>
      </c>
      <c r="S35" s="30">
        <f t="shared" si="8"/>
        <v>1.410706102</v>
      </c>
      <c r="T35" s="30">
        <f t="shared" ref="T35:U35" si="54">((F34+F35)/2)*T$25*($C35-$C34)</f>
        <v>0.4038395279</v>
      </c>
      <c r="U35" s="30">
        <f t="shared" si="54"/>
        <v>9.541742529</v>
      </c>
      <c r="V35" s="30">
        <f t="shared" si="28"/>
        <v>5.701065906</v>
      </c>
      <c r="W35" s="30">
        <f t="shared" ref="W35:X35" si="55">((I34+I35)/2)*W$25*($C35-$C34)</f>
        <v>9.112374346</v>
      </c>
      <c r="X35" s="30">
        <f t="shared" si="55"/>
        <v>9.069661637</v>
      </c>
      <c r="Y35" s="30">
        <f t="shared" si="30"/>
        <v>875.4969758</v>
      </c>
      <c r="Z35" s="30">
        <f>(L35-OFFSET(L35,-IF(C35-C34&gt;i_Cos_Days,1,MIN(B35,i_Cos_Days)),0))*MIN(i_Cos_Days,($C35-$C34))</f>
        <v>0</v>
      </c>
      <c r="AA35" s="30">
        <f t="shared" si="31"/>
        <v>57.87189769</v>
      </c>
      <c r="AB35" s="30">
        <f t="shared" si="32"/>
        <v>2.470079929</v>
      </c>
      <c r="AC35" s="30">
        <f t="shared" si="33"/>
        <v>0.3013096023</v>
      </c>
      <c r="AD35" s="30">
        <f t="shared" si="34"/>
        <v>0</v>
      </c>
      <c r="AE35" s="6"/>
      <c r="AF35" s="30">
        <f t="shared" si="11"/>
        <v>0.5052332689</v>
      </c>
      <c r="AG35" s="30" t="str">
        <f>MIN(1,SUM(OFFSET(E35,0,0,-i_Eve_ECG,1)))</f>
        <v>#VALUE!</v>
      </c>
      <c r="AH35" s="30" t="str">
        <f t="shared" si="12"/>
        <v>#VALUE!</v>
      </c>
      <c r="AI35" s="30" t="str">
        <f t="shared" si="13"/>
        <v>#VALUE!</v>
      </c>
      <c r="AJ35" s="30" t="str">
        <f>(AH35*(i_Adv_Fals/i_Adv_Alar)*i_Int_Kend_false)*AJ$25</f>
        <v>#VALUE!</v>
      </c>
      <c r="AK35" s="30" t="str">
        <f>(AH35*(i_Adv_Lead/i_Adv_Alar)*i_Int_Kend_leadsoff)*AK$25</f>
        <v>#VALUE!</v>
      </c>
      <c r="AL35" s="30">
        <f>((SUM(F34:J34)-((I34+J34)*(1-i_Bac_ICU)))+(SUM(F35:J35)-((I35+J35)*(1-i_Bac_ICU))))/2*(C35-C34)</f>
        <v>0.006755235067</v>
      </c>
      <c r="AM35" s="30">
        <f>(((I34+J34)*(1-i_Bac_ICU))+((I35+J35)*(1-i_Bac_ICU))+K34+E34+E35+K35)/2*(C35-C34)</f>
        <v>0.3781964306</v>
      </c>
      <c r="AN35" s="6"/>
      <c r="AO35" s="88">
        <f>SUM(OFFSET(AL26,0,0,93+IF(i_Set_Time&gt;0.5,2,0),1))*i_Set_CABG</f>
        <v>467.5611237</v>
      </c>
      <c r="AP35" s="88">
        <f>(SUM(OFFSET(AM26,0,0,93+IF(i_Set_Time&gt;0.5,2,0),1))*i_Set_CABG)+AO35</f>
        <v>2036.012615</v>
      </c>
      <c r="AQ35" s="26"/>
      <c r="AR35" s="6"/>
      <c r="AS35" s="6"/>
      <c r="AT35" s="6"/>
      <c r="AU35" s="6"/>
    </row>
    <row r="36" ht="14.25" customHeight="1">
      <c r="A36" s="12"/>
      <c r="B36" s="26">
        <f t="shared" ref="B36:C36" si="56">B35+1</f>
        <v>10</v>
      </c>
      <c r="C36" s="26">
        <f t="shared" si="56"/>
        <v>10</v>
      </c>
      <c r="D36" s="26">
        <f t="shared" si="6"/>
        <v>0</v>
      </c>
      <c r="E36" s="28">
        <f t="shared" si="15"/>
        <v>0.0001375480479</v>
      </c>
      <c r="F36" s="28">
        <f t="shared" si="16"/>
        <v>0.0001224455989</v>
      </c>
      <c r="G36" s="28">
        <f t="shared" si="17"/>
        <v>0.001369579564</v>
      </c>
      <c r="H36" s="28">
        <f t="shared" si="18"/>
        <v>0.001229090289</v>
      </c>
      <c r="I36" s="28">
        <f t="shared" si="19"/>
        <v>0.004200543532</v>
      </c>
      <c r="J36" s="28">
        <f t="shared" si="20"/>
        <v>0.004297652061</v>
      </c>
      <c r="K36" s="28">
        <f t="shared" si="21"/>
        <v>0.2829618625</v>
      </c>
      <c r="L36" s="28">
        <f t="shared" si="22"/>
        <v>0.5317134796</v>
      </c>
      <c r="M36" s="28">
        <f t="shared" si="23"/>
        <v>0.1526037158</v>
      </c>
      <c r="N36" s="28">
        <f t="shared" si="24"/>
        <v>0.0004288031387</v>
      </c>
      <c r="O36" s="28">
        <f t="shared" si="25"/>
        <v>0.0004568136312</v>
      </c>
      <c r="P36" s="28">
        <f t="shared" si="26"/>
        <v>0.02047846626</v>
      </c>
      <c r="Q36" s="6"/>
      <c r="R36" s="26">
        <f t="shared" si="7"/>
        <v>1</v>
      </c>
      <c r="S36" s="30">
        <f t="shared" si="8"/>
        <v>1.40904908</v>
      </c>
      <c r="T36" s="30">
        <f t="shared" ref="T36:U36" si="57">((F35+F36)/2)*T$25*($C36-$C35)</f>
        <v>0.4032689779</v>
      </c>
      <c r="U36" s="30">
        <f t="shared" si="57"/>
        <v>5.893377551</v>
      </c>
      <c r="V36" s="30">
        <f t="shared" si="28"/>
        <v>3.827644571</v>
      </c>
      <c r="W36" s="30">
        <f t="shared" ref="W36:X36" si="58">((I35+I36)/2)*W$25*($C36-$C35)</f>
        <v>9.313508959</v>
      </c>
      <c r="X36" s="30">
        <f t="shared" si="58"/>
        <v>9.44117868</v>
      </c>
      <c r="Y36" s="30">
        <f t="shared" si="30"/>
        <v>732.4705182</v>
      </c>
      <c r="Z36" s="30">
        <f>(L36-OFFSET(L36,-IF(C36-C35&gt;i_Cos_Days,1,MIN(B36,i_Cos_Days)),0))*MIN(i_Cos_Days,($C36-$C35))</f>
        <v>0</v>
      </c>
      <c r="AA36" s="30">
        <f t="shared" si="31"/>
        <v>62.29004108</v>
      </c>
      <c r="AB36" s="30">
        <f t="shared" si="32"/>
        <v>2.763001438</v>
      </c>
      <c r="AC36" s="30">
        <f t="shared" si="33"/>
        <v>0.3370412652</v>
      </c>
      <c r="AD36" s="30">
        <f t="shared" si="34"/>
        <v>0</v>
      </c>
      <c r="AE36" s="6"/>
      <c r="AF36" s="30">
        <f t="shared" si="11"/>
        <v>0.5530775627</v>
      </c>
      <c r="AG36" s="30" t="str">
        <f>MIN(1,SUM(OFFSET(E36,0,0,-i_Eve_ECG,1)))</f>
        <v>#VALUE!</v>
      </c>
      <c r="AH36" s="30" t="str">
        <f t="shared" si="12"/>
        <v>#VALUE!</v>
      </c>
      <c r="AI36" s="30" t="str">
        <f t="shared" si="13"/>
        <v>#VALUE!</v>
      </c>
      <c r="AJ36" s="30" t="str">
        <f>(AH36*(i_Adv_Fals/i_Adv_Alar)*i_Int_Kend_false)*AJ$25</f>
        <v>#VALUE!</v>
      </c>
      <c r="AK36" s="30" t="str">
        <f>(AH36*(i_Adv_Lead/i_Adv_Alar)*i_Int_Kend_leadsoff)*AK$25</f>
        <v>#VALUE!</v>
      </c>
      <c r="AL36" s="30">
        <f>((SUM(F35:J35)-((I35+J35)*(1-i_Bac_ICU)))+(SUM(F36:J36)-((I36+J36)*(1-i_Bac_ICU))))/2*(C36-C35)</f>
        <v>0.004954462565</v>
      </c>
      <c r="AM36" s="30">
        <f>(((I35+J35)*(1-i_Bac_ICU))+((I36+J36)*(1-i_Bac_ICU))+K35+E35+E36+K36)/2*(C36-C35)</f>
        <v>0.3177321855</v>
      </c>
      <c r="AN36" s="6"/>
      <c r="AO36" s="6" t="s">
        <v>146</v>
      </c>
      <c r="AP36" s="6"/>
      <c r="AQ36" s="6"/>
      <c r="AR36" s="6"/>
      <c r="AS36" s="6"/>
      <c r="AT36" s="6"/>
      <c r="AU36" s="6"/>
    </row>
    <row r="37" ht="14.25" customHeight="1">
      <c r="A37" s="12"/>
      <c r="B37" s="26">
        <f t="shared" ref="B37:C37" si="59">B36+1</f>
        <v>11</v>
      </c>
      <c r="C37" s="26">
        <f t="shared" si="59"/>
        <v>11</v>
      </c>
      <c r="D37" s="26">
        <f t="shared" si="6"/>
        <v>0</v>
      </c>
      <c r="E37" s="28">
        <f t="shared" si="15"/>
        <v>0.0001374041913</v>
      </c>
      <c r="F37" s="28">
        <f t="shared" si="16"/>
        <v>0.0001223016628</v>
      </c>
      <c r="G37" s="28">
        <f t="shared" si="17"/>
        <v>0.0008538680625</v>
      </c>
      <c r="H37" s="28">
        <f t="shared" si="18"/>
        <v>0.0008851409694</v>
      </c>
      <c r="I37" s="28">
        <f t="shared" si="19"/>
        <v>0.004203298275</v>
      </c>
      <c r="J37" s="28">
        <f t="shared" si="20"/>
        <v>0.004384200794</v>
      </c>
      <c r="K37" s="28">
        <f t="shared" si="21"/>
        <v>0.2363238891</v>
      </c>
      <c r="L37" s="28">
        <f t="shared" si="22"/>
        <v>0.5719925483</v>
      </c>
      <c r="M37" s="28">
        <f t="shared" si="23"/>
        <v>0.1588179302</v>
      </c>
      <c r="N37" s="28">
        <f t="shared" si="24"/>
        <v>0.0005384335783</v>
      </c>
      <c r="O37" s="28">
        <f t="shared" si="25"/>
        <v>0.0005684084939</v>
      </c>
      <c r="P37" s="28">
        <f t="shared" si="26"/>
        <v>0.02117257642</v>
      </c>
      <c r="Q37" s="6"/>
      <c r="R37" s="26">
        <f t="shared" si="7"/>
        <v>1</v>
      </c>
      <c r="S37" s="30">
        <f t="shared" si="8"/>
        <v>1.407575405</v>
      </c>
      <c r="T37" s="30">
        <f t="shared" ref="T37:U37" si="60">((F36+F37)/2)*T$25*($C37-$C36)</f>
        <v>0.40276466</v>
      </c>
      <c r="U37" s="30">
        <f t="shared" si="60"/>
        <v>3.658983235</v>
      </c>
      <c r="V37" s="30">
        <f t="shared" si="28"/>
        <v>2.68033782</v>
      </c>
      <c r="W37" s="30">
        <f t="shared" ref="W37:X37" si="61">((I36+I37)/2)*W$25*($C37-$C36)</f>
        <v>9.379487963</v>
      </c>
      <c r="X37" s="30">
        <f t="shared" si="61"/>
        <v>9.689774773</v>
      </c>
      <c r="Y37" s="30">
        <f t="shared" si="30"/>
        <v>612.0561511</v>
      </c>
      <c r="Z37" s="30">
        <f>(L37-OFFSET(L37,-IF(C37-C36&gt;i_Cos_Days,1,MIN(B37,i_Cos_Days)),0))*MIN(i_Cos_Days,($C37-$C36))</f>
        <v>0</v>
      </c>
      <c r="AA37" s="30">
        <f t="shared" si="31"/>
        <v>65.4655013</v>
      </c>
      <c r="AB37" s="30">
        <f t="shared" si="32"/>
        <v>3.007877013</v>
      </c>
      <c r="AC37" s="30">
        <f t="shared" si="33"/>
        <v>0.366912105</v>
      </c>
      <c r="AD37" s="30">
        <f t="shared" si="34"/>
        <v>0</v>
      </c>
      <c r="AE37" s="6"/>
      <c r="AF37" s="30">
        <f t="shared" si="11"/>
        <v>0.5942719668</v>
      </c>
      <c r="AG37" s="30" t="str">
        <f>MIN(1,SUM(OFFSET(E37,0,0,-i_Eve_ECG,1)))</f>
        <v>#VALUE!</v>
      </c>
      <c r="AH37" s="30" t="str">
        <f t="shared" si="12"/>
        <v>#VALUE!</v>
      </c>
      <c r="AI37" s="30" t="str">
        <f t="shared" si="13"/>
        <v>#VALUE!</v>
      </c>
      <c r="AJ37" s="30" t="str">
        <f>(AH37*(i_Adv_Fals/i_Adv_Alar)*i_Int_Kend_false)*AJ$25</f>
        <v>#VALUE!</v>
      </c>
      <c r="AK37" s="30" t="str">
        <f>(AH37*(i_Adv_Lead/i_Adv_Alar)*i_Int_Kend_leadsoff)*AK$25</f>
        <v>#VALUE!</v>
      </c>
      <c r="AL37" s="30">
        <f>((SUM(F36:J36)-((I36+J36)*(1-i_Bac_ICU)))+(SUM(F37:J37)-((I37+J37)*(1-i_Bac_ICU))))/2*(C37-C36)</f>
        <v>0.003848622238</v>
      </c>
      <c r="AM37" s="30">
        <f>(((I36+J36)*(1-i_Bac_ICU))+((I37+J37)*(1-i_Bac_ICU))+K36+E36+E37+K37)/2*(C37-C36)</f>
        <v>0.2667657901</v>
      </c>
      <c r="AN37" s="6" t="s">
        <v>433</v>
      </c>
      <c r="AO37" s="30">
        <f>(SUM(AB26:AB118)/$AB$25)</f>
        <v>0.01587240089</v>
      </c>
      <c r="AP37" s="30">
        <f>AO37*i_Set_CABG</f>
        <v>3.174480177</v>
      </c>
      <c r="AQ37" s="92">
        <f>SUM(OFFSET(AP37,0,0,1+i_Set_Time,1))</f>
        <v>3.6535426</v>
      </c>
      <c r="AR37" s="6"/>
      <c r="AS37" s="6"/>
      <c r="AT37" s="6"/>
      <c r="AU37" s="6"/>
    </row>
    <row r="38" ht="14.25" customHeight="1">
      <c r="A38" s="12"/>
      <c r="B38" s="26">
        <f t="shared" ref="B38:C38" si="62">B37+1</f>
        <v>12</v>
      </c>
      <c r="C38" s="26">
        <f t="shared" si="62"/>
        <v>12</v>
      </c>
      <c r="D38" s="26">
        <f t="shared" si="6"/>
        <v>0</v>
      </c>
      <c r="E38" s="28">
        <f t="shared" si="15"/>
        <v>0.0001372756768</v>
      </c>
      <c r="F38" s="28">
        <f t="shared" si="16"/>
        <v>0.0001221736565</v>
      </c>
      <c r="G38" s="28">
        <f t="shared" si="17"/>
        <v>0.0005380201684</v>
      </c>
      <c r="H38" s="28">
        <f t="shared" si="18"/>
        <v>0.0006735745112</v>
      </c>
      <c r="I38" s="28">
        <f t="shared" si="19"/>
        <v>0.004163955865</v>
      </c>
      <c r="J38" s="28">
        <f t="shared" si="20"/>
        <v>0.004430216503</v>
      </c>
      <c r="K38" s="28">
        <f t="shared" si="21"/>
        <v>0.1972700589</v>
      </c>
      <c r="L38" s="28">
        <f t="shared" si="22"/>
        <v>0.6067327338</v>
      </c>
      <c r="M38" s="28">
        <f t="shared" si="23"/>
        <v>0.1628310054</v>
      </c>
      <c r="N38" s="28">
        <f t="shared" si="24"/>
        <v>0.0006521524186</v>
      </c>
      <c r="O38" s="28">
        <f t="shared" si="25"/>
        <v>0.0006822108458</v>
      </c>
      <c r="P38" s="28">
        <f t="shared" si="26"/>
        <v>0.02176662229</v>
      </c>
      <c r="Q38" s="6"/>
      <c r="R38" s="26">
        <f t="shared" si="7"/>
        <v>1</v>
      </c>
      <c r="S38" s="30">
        <f t="shared" si="8"/>
        <v>1.406258897</v>
      </c>
      <c r="T38" s="30">
        <f t="shared" ref="T38:U38" si="63">((F37+F38)/2)*T$25*($C38-$C37)</f>
        <v>0.4023171421</v>
      </c>
      <c r="U38" s="30">
        <f t="shared" si="63"/>
        <v>2.290539989</v>
      </c>
      <c r="V38" s="30">
        <f t="shared" si="28"/>
        <v>1.976077138</v>
      </c>
      <c r="W38" s="30">
        <f t="shared" ref="W38:X38" si="64">((I37+I38)/2)*W$25*($C38-$C37)</f>
        <v>9.338652641</v>
      </c>
      <c r="X38" s="30">
        <f t="shared" si="64"/>
        <v>9.837729318</v>
      </c>
      <c r="Y38" s="30">
        <f t="shared" si="30"/>
        <v>511.0555068</v>
      </c>
      <c r="Z38" s="30">
        <f>(L38-OFFSET(L38,-IF(C38-C37&gt;i_Cos_Days,1,MIN(B38,i_Cos_Days)),0))*MIN(i_Cos_Days,($C38-$C37))</f>
        <v>0</v>
      </c>
      <c r="AA38" s="30">
        <f t="shared" si="31"/>
        <v>67.615431</v>
      </c>
      <c r="AB38" s="30">
        <f t="shared" si="32"/>
        <v>3.212235574</v>
      </c>
      <c r="AC38" s="30">
        <f t="shared" si="33"/>
        <v>0.3918405278</v>
      </c>
      <c r="AD38" s="30">
        <f t="shared" si="34"/>
        <v>0</v>
      </c>
      <c r="AE38" s="6"/>
      <c r="AF38" s="30">
        <f t="shared" si="11"/>
        <v>0.6298337193</v>
      </c>
      <c r="AG38" s="30" t="str">
        <f>MIN(1,SUM(OFFSET(E38,0,0,-i_Eve_ECG,1)))</f>
        <v>#VALUE!</v>
      </c>
      <c r="AH38" s="30" t="str">
        <f t="shared" si="12"/>
        <v>#VALUE!</v>
      </c>
      <c r="AI38" s="30" t="str">
        <f t="shared" si="13"/>
        <v>#VALUE!</v>
      </c>
      <c r="AJ38" s="30" t="str">
        <f>(AH38*(i_Adv_Fals/i_Adv_Alar)*i_Int_Kend_false)*AJ$25</f>
        <v>#VALUE!</v>
      </c>
      <c r="AK38" s="30" t="str">
        <f>(AH38*(i_Adv_Lead/i_Adv_Alar)*i_Int_Kend_leadsoff)*AK$25</f>
        <v>#VALUE!</v>
      </c>
      <c r="AL38" s="30">
        <f>((SUM(F37:J37)-((I37+J37)*(1-i_Bac_ICU)))+(SUM(F38:J38)-((I38+J38)*(1-i_Bac_ICU))))/2*(C38-C37)</f>
        <v>0.003163697234</v>
      </c>
      <c r="AM38" s="30">
        <f>(((I37+J37)*(1-i_Bac_ICU))+((I38+J38)*(1-i_Bac_ICU))+K37+E37+E38+K38)/2*(C38-C37)</f>
        <v>0.2239589919</v>
      </c>
      <c r="AN38" s="6" t="s">
        <v>434</v>
      </c>
      <c r="AO38" s="30">
        <f>SUM(AB119:AB120)/$AB$25</f>
        <v>0.002395312114</v>
      </c>
      <c r="AP38" s="30">
        <f>AO38*i_Set_CABG</f>
        <v>0.4790624228</v>
      </c>
      <c r="AQ38" s="6"/>
      <c r="AR38" s="6"/>
      <c r="AS38" s="6"/>
      <c r="AT38" s="6"/>
      <c r="AU38" s="6"/>
    </row>
    <row r="39" ht="14.25" customHeight="1">
      <c r="A39" s="12"/>
      <c r="B39" s="26">
        <f t="shared" ref="B39:C39" si="65">B38+1</f>
        <v>13</v>
      </c>
      <c r="C39" s="26">
        <f t="shared" si="65"/>
        <v>13</v>
      </c>
      <c r="D39" s="26">
        <f t="shared" si="6"/>
        <v>0</v>
      </c>
      <c r="E39" s="28">
        <f t="shared" si="15"/>
        <v>0.0001371603275</v>
      </c>
      <c r="F39" s="28">
        <f t="shared" si="16"/>
        <v>0.0001220593056</v>
      </c>
      <c r="G39" s="28">
        <f t="shared" si="17"/>
        <v>0.0003445744508</v>
      </c>
      <c r="H39" s="28">
        <f t="shared" si="18"/>
        <v>0.0005426445437</v>
      </c>
      <c r="I39" s="28">
        <f t="shared" si="19"/>
        <v>0.004092005383</v>
      </c>
      <c r="J39" s="28">
        <f t="shared" si="20"/>
        <v>0.004443306828</v>
      </c>
      <c r="K39" s="28">
        <f t="shared" si="21"/>
        <v>0.1646382805</v>
      </c>
      <c r="L39" s="28">
        <f t="shared" si="22"/>
        <v>0.6367918634</v>
      </c>
      <c r="M39" s="28">
        <f t="shared" si="23"/>
        <v>0.1650461548</v>
      </c>
      <c r="N39" s="28">
        <f t="shared" si="24"/>
        <v>0.0007683465795</v>
      </c>
      <c r="O39" s="28">
        <f t="shared" si="25"/>
        <v>0.0007964665131</v>
      </c>
      <c r="P39" s="28">
        <f t="shared" si="26"/>
        <v>0.02227713735</v>
      </c>
      <c r="Q39" s="6"/>
      <c r="R39" s="26">
        <f t="shared" si="7"/>
        <v>1</v>
      </c>
      <c r="S39" s="30">
        <f t="shared" si="8"/>
        <v>1.405077253</v>
      </c>
      <c r="T39" s="30">
        <f t="shared" ref="T39:U39" si="66">((F38+F39)/2)*T$25*($C39-$C38)</f>
        <v>0.4019183106</v>
      </c>
      <c r="U39" s="30">
        <f t="shared" si="66"/>
        <v>1.452428596</v>
      </c>
      <c r="V39" s="30">
        <f t="shared" si="28"/>
        <v>1.541873869</v>
      </c>
      <c r="W39" s="30">
        <f t="shared" ref="W39:X39" si="67">((I38+I39)/2)*W$25*($C39-$C38)</f>
        <v>9.214439172</v>
      </c>
      <c r="X39" s="30">
        <f t="shared" si="67"/>
        <v>9.903697283</v>
      </c>
      <c r="Y39" s="30">
        <f t="shared" si="30"/>
        <v>426.5632643</v>
      </c>
      <c r="Z39" s="30">
        <f>(L39-OFFSET(L39,-IF(C39-C38&gt;i_Cos_Days,1,MIN(B39,i_Cos_Days)),0))*MIN(i_Cos_Days,($C39-$C38))</f>
        <v>0</v>
      </c>
      <c r="AA39" s="30">
        <f t="shared" si="31"/>
        <v>68.92469724</v>
      </c>
      <c r="AB39" s="30">
        <f t="shared" si="32"/>
        <v>3.38257331</v>
      </c>
      <c r="AC39" s="30">
        <f t="shared" si="33"/>
        <v>0.4126189629</v>
      </c>
      <c r="AD39" s="30">
        <f t="shared" si="34"/>
        <v>0</v>
      </c>
      <c r="AE39" s="6"/>
      <c r="AF39" s="30">
        <f t="shared" si="11"/>
        <v>0.6606338138</v>
      </c>
      <c r="AG39" s="30" t="str">
        <f>MIN(1,SUM(OFFSET(E39,0,0,-i_Eve_ECG,1)))</f>
        <v>#VALUE!</v>
      </c>
      <c r="AH39" s="30" t="str">
        <f t="shared" si="12"/>
        <v>#VALUE!</v>
      </c>
      <c r="AI39" s="30" t="str">
        <f t="shared" si="13"/>
        <v>#VALUE!</v>
      </c>
      <c r="AJ39" s="30" t="str">
        <f>(AH39*(i_Adv_Fals/i_Adv_Alar)*i_Int_Kend_false)*AJ$25</f>
        <v>#VALUE!</v>
      </c>
      <c r="AK39" s="30" t="str">
        <f>(AH39*(i_Adv_Lead/i_Adv_Alar)*i_Int_Kend_leadsoff)*AK$25</f>
        <v>#VALUE!</v>
      </c>
      <c r="AL39" s="30">
        <f>((SUM(F38:J38)-((I38+J38)*(1-i_Bac_ICU)))+(SUM(F39:J39)-((I39+J39)*(1-i_Bac_ICU))))/2*(C39-C38)</f>
        <v>0.002732924057</v>
      </c>
      <c r="AM39" s="30">
        <f>(((I38+J38)*(1-i_Bac_ICU))+((I39+J39)*(1-i_Bac_ICU))+K38+E38+E39+K39)/2*(C39-C38)</f>
        <v>0.1880947293</v>
      </c>
      <c r="AN39" s="6" t="s">
        <v>435</v>
      </c>
      <c r="AO39" s="30">
        <f>SUM(AB121:AB124)/$AB$25</f>
        <v>0.004691943149</v>
      </c>
      <c r="AP39" s="30">
        <f>AO39*i_Set_CABG</f>
        <v>0.9383886298</v>
      </c>
      <c r="AQ39" s="6"/>
      <c r="AR39" s="6"/>
      <c r="AS39" s="6"/>
      <c r="AT39" s="6"/>
      <c r="AU39" s="6"/>
    </row>
    <row r="40" ht="14.25" customHeight="1">
      <c r="A40" s="12"/>
      <c r="B40" s="26">
        <f t="shared" ref="B40:C40" si="68">B39+1</f>
        <v>14</v>
      </c>
      <c r="C40" s="26">
        <f t="shared" si="68"/>
        <v>14</v>
      </c>
      <c r="D40" s="26">
        <f t="shared" si="6"/>
        <v>0</v>
      </c>
      <c r="E40" s="28">
        <f t="shared" si="15"/>
        <v>0.0001370562948</v>
      </c>
      <c r="F40" s="28">
        <f t="shared" si="16"/>
        <v>0.0001219566721</v>
      </c>
      <c r="G40" s="28">
        <f t="shared" si="17"/>
        <v>0.0002260917329</v>
      </c>
      <c r="H40" s="28">
        <f t="shared" si="18"/>
        <v>0.0004607658393</v>
      </c>
      <c r="I40" s="28">
        <f t="shared" si="19"/>
        <v>0.003995232347</v>
      </c>
      <c r="J40" s="28">
        <f t="shared" si="20"/>
        <v>0.004429805968</v>
      </c>
      <c r="K40" s="28">
        <f t="shared" si="21"/>
        <v>0.1374146697</v>
      </c>
      <c r="L40" s="28">
        <f t="shared" si="22"/>
        <v>0.6628986492</v>
      </c>
      <c r="M40" s="28">
        <f t="shared" si="23"/>
        <v>0.165802301</v>
      </c>
      <c r="N40" s="28">
        <f t="shared" si="24"/>
        <v>0.0008857053188</v>
      </c>
      <c r="O40" s="28">
        <f t="shared" si="25"/>
        <v>0.0009098001544</v>
      </c>
      <c r="P40" s="28">
        <f t="shared" si="26"/>
        <v>0.02271796581</v>
      </c>
      <c r="Q40" s="6"/>
      <c r="R40" s="26">
        <f t="shared" si="7"/>
        <v>1</v>
      </c>
      <c r="S40" s="30">
        <f t="shared" si="8"/>
        <v>1.404011537</v>
      </c>
      <c r="T40" s="30">
        <f t="shared" ref="T40:U40" si="69">((F39+F40)/2)*T$25*($C40-$C39)</f>
        <v>0.4015612333</v>
      </c>
      <c r="U40" s="30">
        <f t="shared" si="69"/>
        <v>0.9391082452</v>
      </c>
      <c r="V40" s="30">
        <f t="shared" si="28"/>
        <v>1.272083547</v>
      </c>
      <c r="W40" s="30">
        <f t="shared" ref="W40:X40" si="70">((I39+I40)/2)*W$25*($C40-$C39)</f>
        <v>9.026127654</v>
      </c>
      <c r="X40" s="30">
        <f t="shared" si="70"/>
        <v>9.903239087</v>
      </c>
      <c r="Y40" s="30">
        <f t="shared" si="30"/>
        <v>356.0147098</v>
      </c>
      <c r="Z40" s="30">
        <f>(L40-OFFSET(L40,-IF(C40-C39&gt;i_Cos_Days,1,MIN(B40,i_Cos_Days)),0))*MIN(i_Cos_Days,($C40-$C39))</f>
        <v>0</v>
      </c>
      <c r="AA40" s="30">
        <f t="shared" si="31"/>
        <v>69.54930813</v>
      </c>
      <c r="AB40" s="30">
        <f t="shared" si="32"/>
        <v>3.524433054</v>
      </c>
      <c r="AC40" s="30">
        <f t="shared" si="33"/>
        <v>0.4299235459</v>
      </c>
      <c r="AD40" s="30">
        <f t="shared" si="34"/>
        <v>0</v>
      </c>
      <c r="AE40" s="6"/>
      <c r="AF40" s="30">
        <f t="shared" si="11"/>
        <v>0.6874121205</v>
      </c>
      <c r="AG40" s="30" t="str">
        <f>MIN(1,SUM(OFFSET(E40,0,0,-i_Eve_ECG,1)))</f>
        <v>#VALUE!</v>
      </c>
      <c r="AH40" s="30" t="str">
        <f t="shared" si="12"/>
        <v>#VALUE!</v>
      </c>
      <c r="AI40" s="30" t="str">
        <f t="shared" si="13"/>
        <v>#VALUE!</v>
      </c>
      <c r="AJ40" s="30" t="str">
        <f>(AH40*(i_Adv_Fals/i_Adv_Alar)*i_Int_Kend_false)*AJ$25</f>
        <v>#VALUE!</v>
      </c>
      <c r="AK40" s="30" t="str">
        <f>(AH40*(i_Adv_Lead/i_Adv_Alar)*i_Int_Kend_leadsoff)*AK$25</f>
        <v>#VALUE!</v>
      </c>
      <c r="AL40" s="30">
        <f>((SUM(F39:J39)-((I39+J39)*(1-i_Bac_ICU)))+(SUM(F40:J40)-((I40+J40)*(1-i_Bac_ICU))))/2*(C40-C39)</f>
        <v>0.002455029966</v>
      </c>
      <c r="AM40" s="30">
        <f>(((I39+J39)*(1-i_Bac_ICU))+((I40+J40)*(1-i_Bac_ICU))+K39+E39+E40+K40)/2*(C40-C39)</f>
        <v>0.158097775</v>
      </c>
      <c r="AN40" s="6" t="s">
        <v>436</v>
      </c>
      <c r="AO40" s="30">
        <f>SUM(AB125:AB128)/$AB$25</f>
        <v>0.004560838782</v>
      </c>
      <c r="AP40" s="30">
        <f>AO40*i_Set_CABG</f>
        <v>0.9121677564</v>
      </c>
      <c r="AQ40" s="6"/>
      <c r="AR40" s="6"/>
      <c r="AS40" s="6"/>
      <c r="AT40" s="6"/>
      <c r="AU40" s="6"/>
    </row>
    <row r="41" ht="14.25" customHeight="1">
      <c r="A41" s="6"/>
      <c r="B41" s="26">
        <f t="shared" ref="B41:C41" si="71">B40+1</f>
        <v>15</v>
      </c>
      <c r="C41" s="26">
        <f t="shared" si="71"/>
        <v>15</v>
      </c>
      <c r="D41" s="26">
        <f t="shared" si="6"/>
        <v>0</v>
      </c>
      <c r="E41" s="28">
        <f t="shared" si="15"/>
        <v>0.0001369620121</v>
      </c>
      <c r="F41" s="28">
        <f t="shared" si="16"/>
        <v>0.0001218641106</v>
      </c>
      <c r="G41" s="28">
        <f t="shared" si="17"/>
        <v>0.0001535191063</v>
      </c>
      <c r="H41" s="28">
        <f t="shared" si="18"/>
        <v>0.0004086806451</v>
      </c>
      <c r="I41" s="28">
        <f t="shared" si="19"/>
        <v>0.003879995029</v>
      </c>
      <c r="J41" s="28">
        <f t="shared" si="20"/>
        <v>0.00439497374</v>
      </c>
      <c r="K41" s="28">
        <f t="shared" si="21"/>
        <v>0.1147275448</v>
      </c>
      <c r="L41" s="28">
        <f t="shared" si="22"/>
        <v>0.6856687023</v>
      </c>
      <c r="M41" s="28">
        <f t="shared" si="23"/>
        <v>0.1653827619</v>
      </c>
      <c r="N41" s="28">
        <f t="shared" si="24"/>
        <v>0.00100317157</v>
      </c>
      <c r="O41" s="28">
        <f t="shared" si="25"/>
        <v>0.001021149834</v>
      </c>
      <c r="P41" s="28">
        <f t="shared" si="26"/>
        <v>0.02310067504</v>
      </c>
      <c r="Q41" s="6"/>
      <c r="R41" s="26">
        <f t="shared" si="7"/>
        <v>1</v>
      </c>
      <c r="S41" s="30">
        <f t="shared" si="8"/>
        <v>1.4030457</v>
      </c>
      <c r="T41" s="30">
        <f t="shared" ref="T41:U41" si="72">((F40+F41)/2)*T$25*($C41-$C40)</f>
        <v>0.4012400137</v>
      </c>
      <c r="U41" s="30">
        <f t="shared" si="72"/>
        <v>0.6247008835</v>
      </c>
      <c r="V41" s="30">
        <f t="shared" si="28"/>
        <v>1.102249475</v>
      </c>
      <c r="W41" s="30">
        <f t="shared" ref="W41:X41" si="73">((I40+I41)/2)*W$25*($C41-$C40)</f>
        <v>8.789503904</v>
      </c>
      <c r="X41" s="30">
        <f t="shared" si="73"/>
        <v>9.849294756</v>
      </c>
      <c r="Y41" s="30">
        <f t="shared" si="30"/>
        <v>297.1874211</v>
      </c>
      <c r="Z41" s="30">
        <f>(L41-OFFSET(L41,-IF(C41-C40&gt;i_Cos_Days,1,MIN(B41,i_Cos_Days)),0))*MIN(i_Cos_Days,($C41-$C40))</f>
        <v>0</v>
      </c>
      <c r="AA41" s="30">
        <f t="shared" si="31"/>
        <v>69.62006798</v>
      </c>
      <c r="AB41" s="30">
        <f t="shared" si="32"/>
        <v>3.642507532</v>
      </c>
      <c r="AC41" s="30">
        <f t="shared" si="33"/>
        <v>0.444326713</v>
      </c>
      <c r="AD41" s="30">
        <f t="shared" si="34"/>
        <v>0</v>
      </c>
      <c r="AE41" s="6"/>
      <c r="AF41" s="30">
        <f t="shared" si="11"/>
        <v>0.7107936987</v>
      </c>
      <c r="AG41" s="30" t="str">
        <f>MIN(1,SUM(OFFSET(E41,0,0,-i_Eve_ECG,1)))</f>
        <v>#VALUE!</v>
      </c>
      <c r="AH41" s="30" t="str">
        <f t="shared" si="12"/>
        <v>#VALUE!</v>
      </c>
      <c r="AI41" s="30" t="str">
        <f t="shared" si="13"/>
        <v>#VALUE!</v>
      </c>
      <c r="AJ41" s="30" t="str">
        <f>(AH41*(i_Adv_Fals/i_Adv_Alar)*i_Int_Kend_false)*AJ$25</f>
        <v>#VALUE!</v>
      </c>
      <c r="AK41" s="30" t="str">
        <f>(AH41*(i_Adv_Lead/i_Adv_Alar)*i_Int_Kend_leadsoff)*AK$25</f>
        <v>#VALUE!</v>
      </c>
      <c r="AL41" s="30">
        <f>((SUM(F40:J40)-((I40+J40)*(1-i_Bac_ICU)))+(SUM(F41:J41)-((I41+J41)*(1-i_Bac_ICU))))/2*(C41-C40)</f>
        <v>0.00226869171</v>
      </c>
      <c r="AM41" s="30">
        <f>(((I40+J40)*(1-i_Bac_ICU))+((I41+J41)*(1-i_Bac_ICU))+K40+E40+E41+K41)/2*(C41-C40)</f>
        <v>0.1330358673</v>
      </c>
      <c r="AN41" s="6" t="s">
        <v>437</v>
      </c>
      <c r="AO41" s="30">
        <f>SUM(AB129:AB132)/$AB$25</f>
        <v>0.00443339827</v>
      </c>
      <c r="AP41" s="30">
        <f>AO41*i_Set_CABG</f>
        <v>0.886679654</v>
      </c>
      <c r="AQ41" s="6"/>
      <c r="AR41" s="6"/>
      <c r="AS41" s="6"/>
      <c r="AT41" s="6"/>
      <c r="AU41" s="6"/>
    </row>
    <row r="42" ht="14.25" customHeight="1">
      <c r="A42" s="6"/>
      <c r="B42" s="26">
        <f t="shared" ref="B42:C42" si="74">B41+1</f>
        <v>16</v>
      </c>
      <c r="C42" s="26">
        <f t="shared" si="74"/>
        <v>16</v>
      </c>
      <c r="D42" s="26">
        <f t="shared" si="6"/>
        <v>0</v>
      </c>
      <c r="E42" s="28">
        <f t="shared" si="15"/>
        <v>0.0001368761528</v>
      </c>
      <c r="F42" s="28">
        <f t="shared" si="16"/>
        <v>0.0001217802268</v>
      </c>
      <c r="G42" s="28">
        <f t="shared" si="17"/>
        <v>0.0001090638136</v>
      </c>
      <c r="H42" s="28">
        <f t="shared" si="18"/>
        <v>0.0003746646274</v>
      </c>
      <c r="I42" s="28">
        <f t="shared" si="19"/>
        <v>0.003751461877</v>
      </c>
      <c r="J42" s="28">
        <f t="shared" si="20"/>
        <v>0.004343167924</v>
      </c>
      <c r="K42" s="28">
        <f t="shared" si="21"/>
        <v>0.09583499151</v>
      </c>
      <c r="L42" s="28">
        <f t="shared" si="22"/>
        <v>0.7056201119</v>
      </c>
      <c r="M42" s="28">
        <f t="shared" si="23"/>
        <v>0.1640233557</v>
      </c>
      <c r="N42" s="28">
        <f t="shared" si="24"/>
        <v>0.001119899913</v>
      </c>
      <c r="O42" s="28">
        <f t="shared" si="25"/>
        <v>0.00112971109</v>
      </c>
      <c r="P42" s="28">
        <f t="shared" si="26"/>
        <v>0.02343491527</v>
      </c>
      <c r="Q42" s="6"/>
      <c r="R42" s="26">
        <f t="shared" si="7"/>
        <v>1</v>
      </c>
      <c r="S42" s="30">
        <f t="shared" si="8"/>
        <v>1.402166153</v>
      </c>
      <c r="T42" s="30">
        <f t="shared" ref="T42:U42" si="75">((F41+F42)/2)*T$25*($C42-$C41)</f>
        <v>0.4009496492</v>
      </c>
      <c r="U42" s="30">
        <f t="shared" si="75"/>
        <v>0.4321156435</v>
      </c>
      <c r="V42" s="30">
        <f t="shared" si="28"/>
        <v>0.9930938027</v>
      </c>
      <c r="W42" s="30">
        <f t="shared" ref="W42:X42" si="76">((I41+I42)/2)*W$25*($C42-$C41)</f>
        <v>8.517432839</v>
      </c>
      <c r="X42" s="30">
        <f t="shared" si="76"/>
        <v>9.752598446</v>
      </c>
      <c r="Y42" s="30">
        <f t="shared" si="30"/>
        <v>248.1795334</v>
      </c>
      <c r="Z42" s="30">
        <f>(L42-OFFSET(L42,-IF(C42-C41&gt;i_Cos_Days,1,MIN(B42,i_Cos_Days)),0))*MIN(i_Cos_Days,($C42-$C41))</f>
        <v>0</v>
      </c>
      <c r="AA42" s="30">
        <f t="shared" si="31"/>
        <v>69.24610701</v>
      </c>
      <c r="AB42" s="30">
        <f t="shared" si="32"/>
        <v>3.740747935</v>
      </c>
      <c r="AC42" s="30">
        <f t="shared" si="33"/>
        <v>0.4563104453</v>
      </c>
      <c r="AD42" s="30">
        <f t="shared" si="34"/>
        <v>0</v>
      </c>
      <c r="AE42" s="6"/>
      <c r="AF42" s="30">
        <f t="shared" si="11"/>
        <v>0.7313046382</v>
      </c>
      <c r="AG42" s="30" t="str">
        <f>MIN(1,SUM(OFFSET(E42,0,0,-i_Eve_ECG,1)))</f>
        <v>#VALUE!</v>
      </c>
      <c r="AH42" s="30" t="str">
        <f t="shared" si="12"/>
        <v>#VALUE!</v>
      </c>
      <c r="AI42" s="30" t="str">
        <f t="shared" si="13"/>
        <v>#VALUE!</v>
      </c>
      <c r="AJ42" s="30" t="str">
        <f>(AH42*(i_Adv_Fals/i_Adv_Alar)*i_Int_Kend_false)*AJ$25</f>
        <v>#VALUE!</v>
      </c>
      <c r="AK42" s="30" t="str">
        <f>(AH42*(i_Adv_Lead/i_Adv_Alar)*i_Int_Kend_leadsoff)*AK$25</f>
        <v>#VALUE!</v>
      </c>
      <c r="AL42" s="30">
        <f>((SUM(F41:J41)-((I41+J41)*(1-i_Bac_ICU)))+(SUM(F42:J42)-((I42+J42)*(1-i_Bac_ICU))))/2*(C42-C41)</f>
        <v>0.002136921255</v>
      </c>
      <c r="AM42" s="30">
        <f>(((I41+J41)*(1-i_Bac_ICU))+((I42+J42)*(1-i_Bac_ICU))+K41+E41+E42+K42)/2*(C42-C41)</f>
        <v>0.1121108515</v>
      </c>
      <c r="AN42" s="6" t="s">
        <v>438</v>
      </c>
      <c r="AO42" s="30">
        <f>SUM(AB133:AB136)/$AB$25</f>
        <v>0.004309518744</v>
      </c>
      <c r="AP42" s="30">
        <f>AO42*i_Set_CABG</f>
        <v>0.8619037489</v>
      </c>
      <c r="AQ42" s="6"/>
      <c r="AR42" s="6"/>
      <c r="AS42" s="6"/>
      <c r="AT42" s="6"/>
      <c r="AU42" s="6"/>
    </row>
    <row r="43" ht="14.25" customHeight="1">
      <c r="A43" s="6"/>
      <c r="B43" s="26">
        <f t="shared" ref="B43:C43" si="77">B42+1</f>
        <v>17</v>
      </c>
      <c r="C43" s="26">
        <f t="shared" si="77"/>
        <v>17</v>
      </c>
      <c r="D43" s="26">
        <f t="shared" si="6"/>
        <v>0</v>
      </c>
      <c r="E43" s="28">
        <f t="shared" si="15"/>
        <v>0.0001367975937</v>
      </c>
      <c r="F43" s="28">
        <f t="shared" si="16"/>
        <v>0.0001217038398</v>
      </c>
      <c r="G43" s="28">
        <f t="shared" si="17"/>
        <v>0.00008182906683</v>
      </c>
      <c r="H43" s="28">
        <f t="shared" si="18"/>
        <v>0.0003515937398</v>
      </c>
      <c r="I43" s="28">
        <f t="shared" si="19"/>
        <v>0.003613813335</v>
      </c>
      <c r="J43" s="28">
        <f t="shared" si="20"/>
        <v>0.004277991642</v>
      </c>
      <c r="K43" s="28">
        <f t="shared" si="21"/>
        <v>0.08010997996</v>
      </c>
      <c r="L43" s="28">
        <f t="shared" si="22"/>
        <v>0.7231877776</v>
      </c>
      <c r="M43" s="28">
        <f t="shared" si="23"/>
        <v>0.1619196742</v>
      </c>
      <c r="N43" s="28">
        <f t="shared" si="24"/>
        <v>0.001235220715</v>
      </c>
      <c r="O43" s="28">
        <f t="shared" si="25"/>
        <v>0.001234889646</v>
      </c>
      <c r="P43" s="28">
        <f t="shared" si="26"/>
        <v>0.02372872868</v>
      </c>
      <c r="Q43" s="6"/>
      <c r="R43" s="26">
        <f t="shared" si="7"/>
        <v>1</v>
      </c>
      <c r="S43" s="30">
        <f t="shared" si="8"/>
        <v>1.40136139</v>
      </c>
      <c r="T43" s="30">
        <f t="shared" ref="T43:U43" si="78">((F42+F43)/2)*T$25*($C43-$C42)</f>
        <v>0.400685902</v>
      </c>
      <c r="U43" s="30">
        <f t="shared" si="78"/>
        <v>0.3141400054</v>
      </c>
      <c r="V43" s="30">
        <f t="shared" si="28"/>
        <v>0.9207213075</v>
      </c>
      <c r="W43" s="30">
        <f t="shared" ref="W43:X43" si="79">((I42+I43)/2)*W$25*($C43-$C42)</f>
        <v>8.220348713</v>
      </c>
      <c r="X43" s="30">
        <f t="shared" si="79"/>
        <v>9.622035281</v>
      </c>
      <c r="Y43" s="30">
        <f t="shared" si="30"/>
        <v>207.3775406</v>
      </c>
      <c r="Z43" s="30">
        <f>(L43-OFFSET(L43,-IF(C43-C42&gt;i_Cos_Days,1,MIN(B43,i_Cos_Days)),0))*MIN(i_Cos_Days,($C43-$C42))</f>
        <v>0</v>
      </c>
      <c r="AA43" s="30">
        <f t="shared" si="31"/>
        <v>68.51811403</v>
      </c>
      <c r="AB43" s="30">
        <f t="shared" si="32"/>
        <v>3.82246802</v>
      </c>
      <c r="AC43" s="30">
        <f t="shared" si="33"/>
        <v>0.4662789675</v>
      </c>
      <c r="AD43" s="30">
        <f t="shared" si="34"/>
        <v>0</v>
      </c>
      <c r="AE43" s="6"/>
      <c r="AF43" s="30">
        <f t="shared" si="11"/>
        <v>0.7493866167</v>
      </c>
      <c r="AG43" s="30" t="str">
        <f>MIN(1,SUM(OFFSET(E43,0,0,-i_Eve_ECG,1)))</f>
        <v>#VALUE!</v>
      </c>
      <c r="AH43" s="30" t="str">
        <f t="shared" si="12"/>
        <v>#VALUE!</v>
      </c>
      <c r="AI43" s="30" t="str">
        <f t="shared" si="13"/>
        <v>#VALUE!</v>
      </c>
      <c r="AJ43" s="30" t="str">
        <f>(AH43*(i_Adv_Fals/i_Adv_Alar)*i_Int_Kend_false)*AJ$25</f>
        <v>#VALUE!</v>
      </c>
      <c r="AK43" s="30" t="str">
        <f>(AH43*(i_Adv_Lead/i_Adv_Alar)*i_Int_Kend_leadsoff)*AK$25</f>
        <v>#VALUE!</v>
      </c>
      <c r="AL43" s="30">
        <f>((SUM(F42:J42)-((I42+J42)*(1-i_Bac_ICU)))+(SUM(F43:J43)-((I43+J43)*(1-i_Bac_ICU))))/2*(C43-C42)</f>
        <v>0.002037526189</v>
      </c>
      <c r="AM43" s="30">
        <f>(((I42+J42)*(1-i_Bac_ICU))+((I43+J43)*(1-i_Bac_ICU))+K42+E42+E43+K43)/2*(C43-C42)</f>
        <v>0.09464533146</v>
      </c>
      <c r="AN43" s="6"/>
      <c r="AO43" s="6"/>
      <c r="AP43" s="6"/>
      <c r="AQ43" s="6"/>
      <c r="AR43" s="6"/>
      <c r="AS43" s="6"/>
      <c r="AT43" s="6"/>
      <c r="AU43" s="6"/>
    </row>
    <row r="44" ht="14.25" customHeight="1">
      <c r="A44" s="6"/>
      <c r="B44" s="26">
        <f t="shared" ref="B44:C44" si="80">B43+1</f>
        <v>18</v>
      </c>
      <c r="C44" s="26">
        <f t="shared" si="80"/>
        <v>18</v>
      </c>
      <c r="D44" s="26">
        <f t="shared" si="6"/>
        <v>0</v>
      </c>
      <c r="E44" s="28">
        <f t="shared" si="15"/>
        <v>0.0001367253831</v>
      </c>
      <c r="F44" s="28">
        <f t="shared" si="16"/>
        <v>0.0001216339498</v>
      </c>
      <c r="G44" s="28">
        <f t="shared" si="17"/>
        <v>0.00006514133045</v>
      </c>
      <c r="H44" s="28">
        <f t="shared" si="18"/>
        <v>0.0003351502682</v>
      </c>
      <c r="I44" s="28">
        <f t="shared" si="19"/>
        <v>0.003470412093</v>
      </c>
      <c r="J44" s="28">
        <f t="shared" si="20"/>
        <v>0.00420241832</v>
      </c>
      <c r="K44" s="28">
        <f t="shared" si="21"/>
        <v>0.06702522058</v>
      </c>
      <c r="L44" s="28">
        <f t="shared" si="22"/>
        <v>0.7387361617</v>
      </c>
      <c r="M44" s="28">
        <f t="shared" si="23"/>
        <v>0.1592334523</v>
      </c>
      <c r="N44" s="28">
        <f t="shared" si="24"/>
        <v>0.001348609791</v>
      </c>
      <c r="O44" s="28">
        <f t="shared" si="25"/>
        <v>0.001336261769</v>
      </c>
      <c r="P44" s="28">
        <f t="shared" si="26"/>
        <v>0.02398881249</v>
      </c>
      <c r="Q44" s="6"/>
      <c r="R44" s="26">
        <f t="shared" si="7"/>
        <v>1</v>
      </c>
      <c r="S44" s="30">
        <f t="shared" si="8"/>
        <v>1.400621661</v>
      </c>
      <c r="T44" s="30">
        <f t="shared" ref="T44:U44" si="81">((F43+F44)/2)*T$25*($C44-$C43)</f>
        <v>0.4004451835</v>
      </c>
      <c r="U44" s="30">
        <f t="shared" si="81"/>
        <v>0.2418596297</v>
      </c>
      <c r="V44" s="30">
        <f t="shared" si="28"/>
        <v>0.8706265835</v>
      </c>
      <c r="W44" s="30">
        <f t="shared" ref="W44:X44" si="82">((I43+I44)/2)*W$25*($C44-$C43)</f>
        <v>7.906670384</v>
      </c>
      <c r="X44" s="30">
        <f t="shared" si="82"/>
        <v>9.464945317</v>
      </c>
      <c r="Y44" s="30">
        <f t="shared" si="30"/>
        <v>173.4209041</v>
      </c>
      <c r="Z44" s="30">
        <f>(L44-OFFSET(L44,-IF(C44-C43&gt;i_Cos_Days,1,MIN(B44,i_Cos_Days)),0))*MIN(i_Cos_Days,($C44-$C43))</f>
        <v>0</v>
      </c>
      <c r="AA44" s="30">
        <f t="shared" si="31"/>
        <v>67.51120448</v>
      </c>
      <c r="AB44" s="30">
        <f t="shared" si="32"/>
        <v>3.890439077</v>
      </c>
      <c r="AC44" s="30">
        <f t="shared" si="33"/>
        <v>0.4745703315</v>
      </c>
      <c r="AD44" s="30">
        <f t="shared" si="34"/>
        <v>0</v>
      </c>
      <c r="AE44" s="6"/>
      <c r="AF44" s="30">
        <f t="shared" si="11"/>
        <v>0.7654098458</v>
      </c>
      <c r="AG44" s="30" t="str">
        <f>MIN(1,SUM(OFFSET(E44,0,0,-i_Eve_ECG,1)))</f>
        <v>#VALUE!</v>
      </c>
      <c r="AH44" s="30" t="str">
        <f t="shared" si="12"/>
        <v>#VALUE!</v>
      </c>
      <c r="AI44" s="30" t="str">
        <f t="shared" si="13"/>
        <v>#VALUE!</v>
      </c>
      <c r="AJ44" s="30" t="str">
        <f>(AH44*(i_Adv_Fals/i_Adv_Alar)*i_Int_Kend_false)*AJ$25</f>
        <v>#VALUE!</v>
      </c>
      <c r="AK44" s="30" t="str">
        <f>(AH44*(i_Adv_Lead/i_Adv_Alar)*i_Int_Kend_leadsoff)*AK$25</f>
        <v>#VALUE!</v>
      </c>
      <c r="AL44" s="30">
        <f>((SUM(F43:J43)-((I43+J43)*(1-i_Bac_ICU)))+(SUM(F44:J44)-((I44+J44)*(1-i_Bac_ICU))))/2*(C44-C43)</f>
        <v>0.001957286428</v>
      </c>
      <c r="AM44" s="30">
        <f>(((I43+J43)*(1-i_Bac_ICU))+((I44+J44)*(1-i_Bac_ICU))+K43+E43+E44+K44)/2*(C44-C43)</f>
        <v>0.08006791912</v>
      </c>
      <c r="AN44" s="6"/>
      <c r="AO44" s="6"/>
      <c r="AP44" s="6"/>
      <c r="AQ44" s="6"/>
      <c r="AR44" s="6"/>
      <c r="AS44" s="6"/>
      <c r="AT44" s="6"/>
      <c r="AU44" s="6"/>
    </row>
    <row r="45" ht="14.25" customHeight="1">
      <c r="A45" s="6"/>
      <c r="B45" s="26">
        <f t="shared" ref="B45:C45" si="83">B44+1</f>
        <v>19</v>
      </c>
      <c r="C45" s="26">
        <f t="shared" si="83"/>
        <v>19</v>
      </c>
      <c r="D45" s="26">
        <f t="shared" si="6"/>
        <v>0.1</v>
      </c>
      <c r="E45" s="28">
        <f t="shared" si="15"/>
        <v>0.0001366587139</v>
      </c>
      <c r="F45" s="28">
        <f t="shared" si="16"/>
        <v>0.0001215697097</v>
      </c>
      <c r="G45" s="28">
        <f t="shared" si="17"/>
        <v>0.0000549134927</v>
      </c>
      <c r="H45" s="28">
        <f t="shared" si="18"/>
        <v>0.0003227261255</v>
      </c>
      <c r="I45" s="28">
        <f t="shared" si="19"/>
        <v>0.003323945915</v>
      </c>
      <c r="J45" s="28">
        <f t="shared" si="20"/>
        <v>0.004118897005</v>
      </c>
      <c r="K45" s="28">
        <f t="shared" si="21"/>
        <v>0.05613888692</v>
      </c>
      <c r="L45" s="28">
        <f t="shared" si="22"/>
        <v>0.7525703979</v>
      </c>
      <c r="M45" s="28">
        <f t="shared" si="23"/>
        <v>0.1560980588</v>
      </c>
      <c r="N45" s="28">
        <f t="shared" si="24"/>
        <v>0.001459662899</v>
      </c>
      <c r="O45" s="28">
        <f t="shared" si="25"/>
        <v>0.001433541241</v>
      </c>
      <c r="P45" s="28">
        <f t="shared" si="26"/>
        <v>0.02422074125</v>
      </c>
      <c r="Q45" s="6"/>
      <c r="R45" s="26">
        <f t="shared" si="7"/>
        <v>1</v>
      </c>
      <c r="S45" s="30">
        <f t="shared" si="8"/>
        <v>1.399938698</v>
      </c>
      <c r="T45" s="30">
        <f t="shared" ref="T45:U45" si="84">((F44+F45)/2)*T$25*($C45-$C44)</f>
        <v>0.4002244543</v>
      </c>
      <c r="U45" s="30">
        <f t="shared" si="84"/>
        <v>0.1975664189</v>
      </c>
      <c r="V45" s="30">
        <f t="shared" si="28"/>
        <v>0.8340293769</v>
      </c>
      <c r="W45" s="30">
        <f t="shared" ref="W45:X45" si="85">((I44+I45)/2)*W$25*($C45-$C44)</f>
        <v>7.583150732</v>
      </c>
      <c r="X45" s="30">
        <f t="shared" si="85"/>
        <v>9.287380547</v>
      </c>
      <c r="Y45" s="30">
        <f t="shared" si="30"/>
        <v>145.1673753</v>
      </c>
      <c r="Z45" s="30">
        <f>(L45-OFFSET(L45,-IF(C45-C44&gt;i_Cos_Days,1,MIN(B45,i_Cos_Days)),0))*MIN(i_Cos_Days,($C45-$C44))</f>
        <v>0</v>
      </c>
      <c r="AA45" s="30">
        <f t="shared" si="31"/>
        <v>66.28741362</v>
      </c>
      <c r="AB45" s="30">
        <f t="shared" si="32"/>
        <v>3.946973974</v>
      </c>
      <c r="AC45" s="30">
        <f t="shared" si="33"/>
        <v>0.4814666701</v>
      </c>
      <c r="AD45" s="30">
        <f t="shared" si="34"/>
        <v>0</v>
      </c>
      <c r="AE45" s="6"/>
      <c r="AF45" s="30">
        <f t="shared" si="11"/>
        <v>0.7796843433</v>
      </c>
      <c r="AG45" s="30" t="str">
        <f>MIN(1,SUM(OFFSET(E45,0,0,-i_Eve_ECG,1)))</f>
        <v>#VALUE!</v>
      </c>
      <c r="AH45" s="30" t="str">
        <f t="shared" si="12"/>
        <v>#VALUE!</v>
      </c>
      <c r="AI45" s="30" t="str">
        <f t="shared" si="13"/>
        <v>#VALUE!</v>
      </c>
      <c r="AJ45" s="30" t="str">
        <f>(AH45*(i_Adv_Fals/i_Adv_Alar)*i_Int_Kend_false)*AJ$25</f>
        <v>#VALUE!</v>
      </c>
      <c r="AK45" s="30" t="str">
        <f>(AH45*(i_Adv_Lead/i_Adv_Alar)*i_Int_Kend_leadsoff)*AK$25</f>
        <v>#VALUE!</v>
      </c>
      <c r="AL45" s="30">
        <f>((SUM(F44:J44)-((I44+J44)*(1-i_Bac_ICU)))+(SUM(F45:J45)-((I45+J45)*(1-i_Bac_ICU))))/2*(C45-C44)</f>
        <v>0.001888403613</v>
      </c>
      <c r="AM45" s="30">
        <f>(((I44+J44)*(1-i_Bac_ICU))+((I45+J45)*(1-i_Bac_ICU))+K44+E44+E45+K45)/2*(C45-C44)</f>
        <v>0.06789874629</v>
      </c>
      <c r="AN45" s="6"/>
      <c r="AO45" s="6"/>
      <c r="AP45" s="6"/>
      <c r="AQ45" s="6"/>
      <c r="AR45" s="6"/>
      <c r="AS45" s="6"/>
      <c r="AT45" s="6"/>
      <c r="AU45" s="6"/>
    </row>
    <row r="46" ht="14.25" customHeight="1">
      <c r="A46" s="6"/>
      <c r="B46" s="26">
        <f t="shared" ref="B46:C46" si="86">B45+1</f>
        <v>20</v>
      </c>
      <c r="C46" s="26">
        <f t="shared" si="86"/>
        <v>20</v>
      </c>
      <c r="D46" s="26">
        <f t="shared" si="6"/>
        <v>0.1</v>
      </c>
      <c r="E46" s="28">
        <f t="shared" si="15"/>
        <v>0.0001365969002</v>
      </c>
      <c r="F46" s="28">
        <f t="shared" si="16"/>
        <v>0.000121510401</v>
      </c>
      <c r="G46" s="28">
        <f t="shared" si="17"/>
        <v>0.00004864243545</v>
      </c>
      <c r="H46" s="28">
        <f t="shared" si="18"/>
        <v>0.0003127528189</v>
      </c>
      <c r="I46" s="28">
        <f t="shared" si="19"/>
        <v>0.003176546964</v>
      </c>
      <c r="J46" s="28">
        <f t="shared" si="20"/>
        <v>0.004029440735</v>
      </c>
      <c r="K46" s="28">
        <f t="shared" si="21"/>
        <v>0.04708172119</v>
      </c>
      <c r="L46" s="28">
        <f t="shared" si="22"/>
        <v>0.7649458327</v>
      </c>
      <c r="M46" s="28">
        <f t="shared" si="23"/>
        <v>0.1526231757</v>
      </c>
      <c r="N46" s="28">
        <f t="shared" si="24"/>
        <v>0.001568074389</v>
      </c>
      <c r="O46" s="28">
        <f t="shared" si="25"/>
        <v>0.001526551971</v>
      </c>
      <c r="P46" s="28">
        <f t="shared" si="26"/>
        <v>0.02442915371</v>
      </c>
      <c r="Q46" s="6"/>
      <c r="R46" s="26">
        <f t="shared" si="7"/>
        <v>1</v>
      </c>
      <c r="S46" s="30">
        <f t="shared" si="8"/>
        <v>1.399305475</v>
      </c>
      <c r="T46" s="30">
        <f t="shared" ref="T46:U46" si="87">((F45+F46)/2)*T$25*($C46-$C45)</f>
        <v>0.400021138</v>
      </c>
      <c r="U46" s="30">
        <f t="shared" si="87"/>
        <v>0.1704152598</v>
      </c>
      <c r="V46" s="30">
        <f t="shared" si="28"/>
        <v>0.8056347865</v>
      </c>
      <c r="W46" s="30">
        <f t="shared" ref="W46:X46" si="88">((I45+I46)/2)*W$25*($C46-$C45)</f>
        <v>7.255169256</v>
      </c>
      <c r="X46" s="30">
        <f t="shared" si="88"/>
        <v>9.094321085</v>
      </c>
      <c r="Y46" s="30">
        <f t="shared" si="30"/>
        <v>121.6609697</v>
      </c>
      <c r="Z46" s="30">
        <f>(L46-OFFSET(L46,-IF(C46-C45&gt;i_Cos_Days,1,MIN(B46,i_Cos_Days)),0))*MIN(i_Cos_Days,($C46-$C45))</f>
        <v>0</v>
      </c>
      <c r="AA46" s="30">
        <f t="shared" si="31"/>
        <v>64.89783433</v>
      </c>
      <c r="AB46" s="30">
        <f t="shared" si="32"/>
        <v>3.994000124</v>
      </c>
      <c r="AC46" s="30">
        <f t="shared" si="33"/>
        <v>0.487203096</v>
      </c>
      <c r="AD46" s="30">
        <f t="shared" si="34"/>
        <v>0</v>
      </c>
      <c r="AE46" s="6"/>
      <c r="AF46" s="30">
        <f t="shared" si="11"/>
        <v>0.7924696128</v>
      </c>
      <c r="AG46" s="30" t="str">
        <f>MIN(1,SUM(OFFSET(E46,0,0,-i_Eve_ECG,1)))</f>
        <v>#VALUE!</v>
      </c>
      <c r="AH46" s="30" t="str">
        <f t="shared" si="12"/>
        <v>#VALUE!</v>
      </c>
      <c r="AI46" s="30" t="str">
        <f t="shared" si="13"/>
        <v>#VALUE!</v>
      </c>
      <c r="AJ46" s="30" t="str">
        <f>(AH46*(i_Adv_Fals/i_Adv_Alar)*i_Int_Kend_false)*AJ$25</f>
        <v>#VALUE!</v>
      </c>
      <c r="AK46" s="30" t="str">
        <f>(AH46*(i_Adv_Lead/i_Adv_Alar)*i_Int_Kend_leadsoff)*AK$25</f>
        <v>#VALUE!</v>
      </c>
      <c r="AL46" s="30">
        <f>((SUM(F45:J45)-((I45+J45)*(1-i_Bac_ICU)))+(SUM(F46:J46)-((I46+J46)*(1-i_Bac_ICU))))/2*(C46-C45)</f>
        <v>0.001826339639</v>
      </c>
      <c r="AM46" s="30">
        <f>(((I45+J45)*(1-i_Bac_ICU))+((I46+J46)*(1-i_Bac_ICU))+K45+E45+E46+K46)/2*(C46-C45)</f>
        <v>0.05773606502</v>
      </c>
      <c r="AN46" s="6"/>
      <c r="AO46" s="6"/>
      <c r="AP46" s="6"/>
      <c r="AQ46" s="6"/>
      <c r="AR46" s="6"/>
      <c r="AS46" s="6"/>
      <c r="AT46" s="6"/>
      <c r="AU46" s="6"/>
    </row>
    <row r="47" ht="14.25" customHeight="1">
      <c r="A47" s="6"/>
      <c r="B47" s="26">
        <f t="shared" ref="B47:C47" si="89">B46+1</f>
        <v>21</v>
      </c>
      <c r="C47" s="26">
        <f t="shared" si="89"/>
        <v>21</v>
      </c>
      <c r="D47" s="26">
        <f t="shared" si="6"/>
        <v>0.1</v>
      </c>
      <c r="E47" s="28">
        <f t="shared" si="15"/>
        <v>0.0001365393584</v>
      </c>
      <c r="F47" s="28">
        <f t="shared" si="16"/>
        <v>0.0001214554133</v>
      </c>
      <c r="G47" s="28">
        <f t="shared" si="17"/>
        <v>0.00004479512353</v>
      </c>
      <c r="H47" s="28">
        <f t="shared" si="18"/>
        <v>0.0003042924414</v>
      </c>
      <c r="I47" s="28">
        <f t="shared" si="19"/>
        <v>0.003029891183</v>
      </c>
      <c r="J47" s="28">
        <f t="shared" si="20"/>
        <v>0.003935700466</v>
      </c>
      <c r="K47" s="28">
        <f t="shared" si="21"/>
        <v>0.0395456934</v>
      </c>
      <c r="L47" s="28">
        <f t="shared" si="22"/>
        <v>0.7760761415</v>
      </c>
      <c r="M47" s="28">
        <f t="shared" si="23"/>
        <v>0.1488987568</v>
      </c>
      <c r="N47" s="28">
        <f t="shared" si="24"/>
        <v>0.001673619395</v>
      </c>
      <c r="O47" s="28">
        <f t="shared" si="25"/>
        <v>0.001615205405</v>
      </c>
      <c r="P47" s="28">
        <f t="shared" si="26"/>
        <v>0.02461790946</v>
      </c>
      <c r="Q47" s="6"/>
      <c r="R47" s="26">
        <f t="shared" si="7"/>
        <v>1</v>
      </c>
      <c r="S47" s="30">
        <f t="shared" si="8"/>
        <v>1.398716015</v>
      </c>
      <c r="T47" s="30">
        <f t="shared" ref="T47:U47" si="90">((F46+F47)/2)*T$25*($C47-$C46)</f>
        <v>0.3998330478</v>
      </c>
      <c r="U47" s="30">
        <f t="shared" si="90"/>
        <v>0.1537641174</v>
      </c>
      <c r="V47" s="30">
        <f t="shared" si="28"/>
        <v>0.7822652992</v>
      </c>
      <c r="W47" s="30">
        <f t="shared" ref="W47:X47" si="91">((I46+I47)/2)*W$25*($C47-$C46)</f>
        <v>6.926976164</v>
      </c>
      <c r="X47" s="30">
        <f t="shared" si="91"/>
        <v>8.889856298</v>
      </c>
      <c r="Y47" s="30">
        <f t="shared" si="30"/>
        <v>102.1034022</v>
      </c>
      <c r="Z47" s="30">
        <f>(L47-OFFSET(L47,-IF(C47-C46&gt;i_Cos_Days,1,MIN(B47,i_Cos_Days)),0))*MIN(i_Cos_Days,($C47-$C46))</f>
        <v>0</v>
      </c>
      <c r="AA47" s="30">
        <f t="shared" si="31"/>
        <v>63.38443305</v>
      </c>
      <c r="AB47" s="30">
        <f t="shared" si="32"/>
        <v>4.033121989</v>
      </c>
      <c r="AC47" s="30">
        <f t="shared" si="33"/>
        <v>0.4919753276</v>
      </c>
      <c r="AD47" s="30">
        <f t="shared" si="34"/>
        <v>0</v>
      </c>
      <c r="AE47" s="6"/>
      <c r="AF47" s="30">
        <f t="shared" si="11"/>
        <v>0.8039828758</v>
      </c>
      <c r="AG47" s="30" t="str">
        <f>MIN(1,SUM(OFFSET(E47,0,0,-i_Eve_ECG,1)))</f>
        <v>#VALUE!</v>
      </c>
      <c r="AH47" s="30" t="str">
        <f t="shared" si="12"/>
        <v>#VALUE!</v>
      </c>
      <c r="AI47" s="30" t="str">
        <f t="shared" si="13"/>
        <v>#VALUE!</v>
      </c>
      <c r="AJ47" s="30" t="str">
        <f>(AH47*(i_Adv_Fals/i_Adv_Alar)*i_Int_Kend_false)*AJ$25</f>
        <v>#VALUE!</v>
      </c>
      <c r="AK47" s="30" t="str">
        <f>(AH47*(i_Adv_Lead/i_Adv_Alar)*i_Int_Kend_leadsoff)*AK$25</f>
        <v>#VALUE!</v>
      </c>
      <c r="AL47" s="30">
        <f>((SUM(F46:J46)-((I46+J46)*(1-i_Bac_ICU)))+(SUM(F47:J47)-((I47+J47)*(1-i_Bac_ICU))))/2*(C47-C46)</f>
        <v>0.001768503668</v>
      </c>
      <c r="AM47" s="30">
        <f>(((I46+J46)*(1-i_Bac_ICU))+((I47+J47)*(1-i_Bac_ICU))+K46+E46+E47+K47)/2*(C47-C46)</f>
        <v>0.04924428575</v>
      </c>
      <c r="AN47" s="6"/>
      <c r="AO47" s="6"/>
      <c r="AP47" s="6"/>
      <c r="AQ47" s="6"/>
      <c r="AR47" s="6"/>
      <c r="AS47" s="6"/>
      <c r="AT47" s="6"/>
      <c r="AU47" s="6"/>
    </row>
    <row r="48" ht="14.25" customHeight="1">
      <c r="A48" s="6"/>
      <c r="B48" s="26">
        <f t="shared" ref="B48:C48" si="92">B47+1</f>
        <v>22</v>
      </c>
      <c r="C48" s="26">
        <f t="shared" si="92"/>
        <v>22</v>
      </c>
      <c r="D48" s="26">
        <f t="shared" si="6"/>
        <v>0.1</v>
      </c>
      <c r="E48" s="28">
        <f t="shared" si="15"/>
        <v>0.0001364855907</v>
      </c>
      <c r="F48" s="28">
        <f t="shared" si="16"/>
        <v>0.0001214042271</v>
      </c>
      <c r="G48" s="28">
        <f t="shared" si="17"/>
        <v>0.00004243263125</v>
      </c>
      <c r="H48" s="28">
        <f t="shared" si="18"/>
        <v>0.0002967882896</v>
      </c>
      <c r="I48" s="28">
        <f t="shared" si="19"/>
        <v>0.002885280856</v>
      </c>
      <c r="J48" s="28">
        <f t="shared" si="20"/>
        <v>0.003839026768</v>
      </c>
      <c r="K48" s="28">
        <f t="shared" si="21"/>
        <v>0.03327419854</v>
      </c>
      <c r="L48" s="28">
        <f t="shared" si="22"/>
        <v>0.7861401845</v>
      </c>
      <c r="M48" s="28">
        <f t="shared" si="23"/>
        <v>0.1449983579</v>
      </c>
      <c r="N48" s="28">
        <f t="shared" si="24"/>
        <v>0.001776139023</v>
      </c>
      <c r="O48" s="28">
        <f t="shared" si="25"/>
        <v>0.001699481929</v>
      </c>
      <c r="P48" s="28">
        <f t="shared" si="26"/>
        <v>0.02479021979</v>
      </c>
      <c r="Q48" s="6"/>
      <c r="R48" s="26">
        <f t="shared" si="7"/>
        <v>1</v>
      </c>
      <c r="S48" s="30">
        <f t="shared" si="8"/>
        <v>1.398165216</v>
      </c>
      <c r="T48" s="30">
        <f t="shared" ref="T48:U48" si="93">((F47+F48)/2)*T$25*($C48-$C47)</f>
        <v>0.3996583244</v>
      </c>
      <c r="U48" s="30">
        <f t="shared" si="93"/>
        <v>0.1435450462</v>
      </c>
      <c r="V48" s="30">
        <f t="shared" si="28"/>
        <v>0.7620261076</v>
      </c>
      <c r="W48" s="30">
        <f t="shared" ref="W48:X48" si="94">((I47+I48)/2)*W$25*($C48-$C47)</f>
        <v>6.601895443</v>
      </c>
      <c r="X48" s="30">
        <f t="shared" si="94"/>
        <v>8.677336173</v>
      </c>
      <c r="Y48" s="30">
        <f t="shared" si="30"/>
        <v>85.82916563</v>
      </c>
      <c r="Z48" s="30">
        <f>(L48-OFFSET(L48,-IF(C48-C47&gt;i_Cos_Days,1,MIN(B48,i_Cos_Days)),0))*MIN(i_Cos_Days,($C48-$C47))</f>
        <v>0</v>
      </c>
      <c r="AA48" s="30">
        <f t="shared" si="31"/>
        <v>61.78158197</v>
      </c>
      <c r="AB48" s="30">
        <f t="shared" si="32"/>
        <v>4.065674153</v>
      </c>
      <c r="AC48" s="30">
        <f t="shared" si="33"/>
        <v>0.4959461626</v>
      </c>
      <c r="AD48" s="30">
        <f t="shared" si="34"/>
        <v>0</v>
      </c>
      <c r="AE48" s="6"/>
      <c r="AF48" s="30">
        <f t="shared" si="11"/>
        <v>0.8144060252</v>
      </c>
      <c r="AG48" s="30" t="str">
        <f>MIN(1,SUM(OFFSET(E48,0,0,-i_Eve_ECG,1)))</f>
        <v>#VALUE!</v>
      </c>
      <c r="AH48" s="30" t="str">
        <f t="shared" si="12"/>
        <v>#VALUE!</v>
      </c>
      <c r="AI48" s="30" t="str">
        <f t="shared" si="13"/>
        <v>#VALUE!</v>
      </c>
      <c r="AJ48" s="30" t="str">
        <f>(AH48*(i_Adv_Fals/i_Adv_Alar)*i_Int_Kend_false)*AJ$25</f>
        <v>#VALUE!</v>
      </c>
      <c r="AK48" s="30" t="str">
        <f>(AH48*(i_Adv_Lead/i_Adv_Alar)*i_Int_Kend_leadsoff)*AK$25</f>
        <v>#VALUE!</v>
      </c>
      <c r="AL48" s="30">
        <f>((SUM(F47:J47)-((I47+J47)*(1-i_Bac_ICU)))+(SUM(F48:J48)-((I48+J48)*(1-i_Bac_ICU))))/2*(C48-C47)</f>
        <v>0.001713456919</v>
      </c>
      <c r="AM48" s="30">
        <f>(((I47+J47)*(1-i_Bac_ICU))+((I48+J48)*(1-i_Bac_ICU))+K47+E47+E48+K48)/2*(C48-C47)</f>
        <v>0.04214353522</v>
      </c>
      <c r="AN48" s="6"/>
      <c r="AO48" s="6"/>
      <c r="AP48" s="6"/>
      <c r="AQ48" s="6"/>
      <c r="AR48" s="6"/>
      <c r="AS48" s="6"/>
      <c r="AT48" s="6"/>
      <c r="AU48" s="6"/>
    </row>
    <row r="49" ht="14.25" customHeight="1">
      <c r="A49" s="6"/>
      <c r="B49" s="26">
        <f t="shared" ref="B49:C49" si="95">B48+1</f>
        <v>23</v>
      </c>
      <c r="C49" s="26">
        <f t="shared" si="95"/>
        <v>23</v>
      </c>
      <c r="D49" s="26">
        <f t="shared" si="6"/>
        <v>0.1</v>
      </c>
      <c r="E49" s="28">
        <f t="shared" si="15"/>
        <v>0.0001364351713</v>
      </c>
      <c r="F49" s="28">
        <f t="shared" si="16"/>
        <v>0.0001213563993</v>
      </c>
      <c r="G49" s="28">
        <f t="shared" si="17"/>
        <v>0.00004097988697</v>
      </c>
      <c r="H49" s="28">
        <f t="shared" si="18"/>
        <v>0.0002899130468</v>
      </c>
      <c r="I49" s="28">
        <f t="shared" si="19"/>
        <v>0.002743713065</v>
      </c>
      <c r="J49" s="28">
        <f t="shared" si="20"/>
        <v>0.003740521228</v>
      </c>
      <c r="K49" s="28">
        <f t="shared" si="21"/>
        <v>0.02805368211</v>
      </c>
      <c r="L49" s="28">
        <f t="shared" si="22"/>
        <v>0.7952877713</v>
      </c>
      <c r="M49" s="28">
        <f t="shared" si="23"/>
        <v>0.1409819272</v>
      </c>
      <c r="N49" s="28">
        <f t="shared" si="24"/>
        <v>0.001875528049</v>
      </c>
      <c r="O49" s="28">
        <f t="shared" si="25"/>
        <v>0.001779415643</v>
      </c>
      <c r="P49" s="28">
        <f t="shared" si="26"/>
        <v>0.02494875687</v>
      </c>
      <c r="Q49" s="6"/>
      <c r="R49" s="26">
        <f t="shared" si="7"/>
        <v>1</v>
      </c>
      <c r="S49" s="30">
        <f t="shared" si="8"/>
        <v>1.397648716</v>
      </c>
      <c r="T49" s="30">
        <f t="shared" ref="T49:U49" si="96">((F48+F49)/2)*T$25*($C49-$C48)</f>
        <v>0.3994953835</v>
      </c>
      <c r="U49" s="30">
        <f t="shared" si="96"/>
        <v>0.1372665594</v>
      </c>
      <c r="V49" s="30">
        <f t="shared" si="28"/>
        <v>0.7437964863</v>
      </c>
      <c r="W49" s="30">
        <f t="shared" ref="W49:X49" si="97">((I48+I49)/2)*W$25*($C49-$C48)</f>
        <v>6.282493405</v>
      </c>
      <c r="X49" s="30">
        <f t="shared" si="97"/>
        <v>8.459497551</v>
      </c>
      <c r="Y49" s="30">
        <f t="shared" si="30"/>
        <v>72.28410653</v>
      </c>
      <c r="Z49" s="30">
        <f>(L49-OFFSET(L49,-IF(C49-C48&gt;i_Cos_Days,1,MIN(B49,i_Cos_Days)),0))*MIN(i_Cos_Days,($C49-$C48))</f>
        <v>0</v>
      </c>
      <c r="AA49" s="30">
        <f t="shared" si="31"/>
        <v>60.11734564</v>
      </c>
      <c r="AB49" s="30">
        <f t="shared" si="32"/>
        <v>4.092766097</v>
      </c>
      <c r="AC49" s="30">
        <f t="shared" si="33"/>
        <v>0.4992509394</v>
      </c>
      <c r="AD49" s="30">
        <f t="shared" si="34"/>
        <v>0</v>
      </c>
      <c r="AE49" s="6"/>
      <c r="AF49" s="30">
        <f t="shared" si="11"/>
        <v>0.8238914718</v>
      </c>
      <c r="AG49" s="30" t="str">
        <f>MIN(1,SUM(OFFSET(E49,0,0,-i_Eve_ECG,1)))</f>
        <v>#VALUE!</v>
      </c>
      <c r="AH49" s="30" t="str">
        <f t="shared" si="12"/>
        <v>#VALUE!</v>
      </c>
      <c r="AI49" s="30" t="str">
        <f t="shared" si="13"/>
        <v>#VALUE!</v>
      </c>
      <c r="AJ49" s="30" t="str">
        <f>(AH49*(i_Adv_Fals/i_Adv_Alar)*i_Int_Kend_false)*AJ$25</f>
        <v>#VALUE!</v>
      </c>
      <c r="AK49" s="30" t="str">
        <f>(AH49*(i_Adv_Lead/i_Adv_Alar)*i_Int_Kend_leadsoff)*AK$25</f>
        <v>#VALUE!</v>
      </c>
      <c r="AL49" s="30">
        <f>((SUM(F48:J48)-((I48+J48)*(1-i_Bac_ICU)))+(SUM(F49:J49)-((I49+J49)*(1-i_Bac_ICU))))/2*(C49-C48)</f>
        <v>0.001660433019</v>
      </c>
      <c r="AM49" s="30">
        <f>(((I48+J48)*(1-i_Bac_ICU))+((I49+J49)*(1-i_Bac_ICU))+K48+E48+E49+K49)/2*(C49-C48)</f>
        <v>0.03620067589</v>
      </c>
      <c r="AN49" s="6"/>
      <c r="AO49" s="6"/>
      <c r="AP49" s="6"/>
      <c r="AQ49" s="6"/>
      <c r="AR49" s="6"/>
      <c r="AS49" s="6"/>
      <c r="AT49" s="6"/>
      <c r="AU49" s="6"/>
    </row>
    <row r="50" ht="14.25" customHeight="1">
      <c r="A50" s="6"/>
      <c r="B50" s="26">
        <f t="shared" ref="B50:C50" si="98">B49+1</f>
        <v>24</v>
      </c>
      <c r="C50" s="26">
        <f t="shared" si="98"/>
        <v>24</v>
      </c>
      <c r="D50" s="26">
        <f t="shared" si="6"/>
        <v>0.1</v>
      </c>
      <c r="E50" s="28">
        <f t="shared" si="15"/>
        <v>0.0001363877349</v>
      </c>
      <c r="F50" s="28">
        <f t="shared" si="16"/>
        <v>0.0001213115509</v>
      </c>
      <c r="G50" s="28">
        <f t="shared" si="17"/>
        <v>0.00004008465846</v>
      </c>
      <c r="H50" s="28">
        <f t="shared" si="18"/>
        <v>0.0002834765595</v>
      </c>
      <c r="I50" s="28">
        <f t="shared" si="19"/>
        <v>0.002605936341</v>
      </c>
      <c r="J50" s="28">
        <f t="shared" si="20"/>
        <v>0.003641079223</v>
      </c>
      <c r="K50" s="28">
        <f t="shared" si="21"/>
        <v>0.02370654431</v>
      </c>
      <c r="L50" s="28">
        <f t="shared" si="22"/>
        <v>0.8036444913</v>
      </c>
      <c r="M50" s="28">
        <f t="shared" si="23"/>
        <v>0.136898137</v>
      </c>
      <c r="N50" s="28">
        <f t="shared" si="24"/>
        <v>0.001971724734</v>
      </c>
      <c r="O50" s="28">
        <f t="shared" si="25"/>
        <v>0.00185508192</v>
      </c>
      <c r="P50" s="28">
        <f t="shared" si="26"/>
        <v>0.02509574465</v>
      </c>
      <c r="Q50" s="6"/>
      <c r="R50" s="26">
        <f t="shared" si="7"/>
        <v>1</v>
      </c>
      <c r="S50" s="30">
        <f t="shared" si="8"/>
        <v>1.397162776</v>
      </c>
      <c r="T50" s="30">
        <f t="shared" ref="T50:U50" si="99">((F49+F50)/2)*T$25*($C50-$C49)</f>
        <v>0.3993428723</v>
      </c>
      <c r="U50" s="30">
        <f t="shared" si="99"/>
        <v>0.1334026532</v>
      </c>
      <c r="V50" s="30">
        <f t="shared" si="28"/>
        <v>0.7269204073</v>
      </c>
      <c r="W50" s="30">
        <f t="shared" ref="W50:X50" si="100">((I49+I50)/2)*W$25*($C50-$C49)</f>
        <v>5.970718316</v>
      </c>
      <c r="X50" s="30">
        <f t="shared" si="100"/>
        <v>8.238569236</v>
      </c>
      <c r="Y50" s="30">
        <f t="shared" si="30"/>
        <v>61.00719087</v>
      </c>
      <c r="Z50" s="30">
        <f>(L50-OFFSET(L50,-IF(C50-C49&gt;i_Cos_Days,1,MIN(B50,i_Cos_Days)),0))*MIN(i_Cos_Days,($C50-$C49))</f>
        <v>0</v>
      </c>
      <c r="AA50" s="30">
        <f t="shared" si="31"/>
        <v>58.41455771</v>
      </c>
      <c r="AB50" s="30">
        <f t="shared" si="32"/>
        <v>4.1153198</v>
      </c>
      <c r="AC50" s="30">
        <f t="shared" si="33"/>
        <v>0.5020021246</v>
      </c>
      <c r="AD50" s="30">
        <f t="shared" si="34"/>
        <v>0</v>
      </c>
      <c r="AE50" s="6"/>
      <c r="AF50" s="30">
        <f t="shared" si="11"/>
        <v>0.8325670426</v>
      </c>
      <c r="AG50" s="30" t="str">
        <f>MIN(1,SUM(OFFSET(E50,0,0,-i_Eve_ECG,1)))</f>
        <v>#VALUE!</v>
      </c>
      <c r="AH50" s="30" t="str">
        <f t="shared" si="12"/>
        <v>#VALUE!</v>
      </c>
      <c r="AI50" s="30" t="str">
        <f t="shared" si="13"/>
        <v>#VALUE!</v>
      </c>
      <c r="AJ50" s="30" t="str">
        <f>(AH50*(i_Adv_Fals/i_Adv_Alar)*i_Int_Kend_false)*AJ$25</f>
        <v>#VALUE!</v>
      </c>
      <c r="AK50" s="30" t="str">
        <f>(AH50*(i_Adv_Lead/i_Adv_Alar)*i_Int_Kend_leadsoff)*AK$25</f>
        <v>#VALUE!</v>
      </c>
      <c r="AL50" s="30">
        <f>((SUM(F49:J49)-((I49+J49)*(1-i_Bac_ICU)))+(SUM(F50:J50)-((I50+J50)*(1-i_Bac_ICU))))/2*(C50-C49)</f>
        <v>0.001609050314</v>
      </c>
      <c r="AM50" s="30">
        <f>(((I49+J49)*(1-i_Bac_ICU))+((I50+J50)*(1-i_Bac_ICU))+K49+E49+E50+K50)/2*(C50-C49)</f>
        <v>0.03122166033</v>
      </c>
      <c r="AN50" s="6"/>
      <c r="AO50" s="6"/>
      <c r="AP50" s="6"/>
      <c r="AQ50" s="6"/>
      <c r="AR50" s="6"/>
      <c r="AS50" s="6"/>
      <c r="AT50" s="6"/>
      <c r="AU50" s="6"/>
    </row>
    <row r="51" ht="14.25" customHeight="1">
      <c r="A51" s="6"/>
      <c r="B51" s="26">
        <f t="shared" ref="B51:C51" si="101">B50+1</f>
        <v>25</v>
      </c>
      <c r="C51" s="26">
        <f t="shared" si="101"/>
        <v>25</v>
      </c>
      <c r="D51" s="26">
        <f t="shared" si="6"/>
        <v>0.1</v>
      </c>
      <c r="E51" s="28">
        <f t="shared" si="15"/>
        <v>0.0001363429674</v>
      </c>
      <c r="F51" s="28">
        <f t="shared" si="16"/>
        <v>0.0001212693569</v>
      </c>
      <c r="G51" s="28">
        <f t="shared" si="17"/>
        <v>0.00003953119152</v>
      </c>
      <c r="H51" s="28">
        <f t="shared" si="18"/>
        <v>0.000277369979</v>
      </c>
      <c r="I51" s="28">
        <f t="shared" si="19"/>
        <v>0.002472497486</v>
      </c>
      <c r="J51" s="28">
        <f t="shared" si="20"/>
        <v>0.003541425485</v>
      </c>
      <c r="K51" s="28">
        <f t="shared" si="21"/>
        <v>0.02008516207</v>
      </c>
      <c r="L51" s="28">
        <f t="shared" si="22"/>
        <v>0.81131575</v>
      </c>
      <c r="M51" s="28">
        <f t="shared" si="23"/>
        <v>0.1327863272</v>
      </c>
      <c r="N51" s="28">
        <f t="shared" si="24"/>
        <v>0.002064702391</v>
      </c>
      <c r="O51" s="28">
        <f t="shared" si="25"/>
        <v>0.001926587282</v>
      </c>
      <c r="P51" s="28">
        <f t="shared" si="26"/>
        <v>0.02523303461</v>
      </c>
      <c r="Q51" s="6"/>
      <c r="R51" s="26">
        <f t="shared" si="7"/>
        <v>1</v>
      </c>
      <c r="S51" s="30">
        <f t="shared" si="8"/>
        <v>1.396704175</v>
      </c>
      <c r="T51" s="30">
        <f t="shared" ref="T51:U51" si="102">((F50+F51)/2)*T$25*($C51-$C50)</f>
        <v>0.3991996322</v>
      </c>
      <c r="U51" s="30">
        <f t="shared" si="102"/>
        <v>0.1310186293</v>
      </c>
      <c r="V51" s="30">
        <f t="shared" si="28"/>
        <v>0.7110188077</v>
      </c>
      <c r="W51" s="30">
        <f t="shared" ref="W51:X51" si="103">((I50+I51)/2)*W$25*($C51-$C50)</f>
        <v>5.668015895</v>
      </c>
      <c r="X51" s="30">
        <f t="shared" si="103"/>
        <v>8.016359422</v>
      </c>
      <c r="Y51" s="30">
        <f t="shared" si="30"/>
        <v>51.61509472</v>
      </c>
      <c r="Z51" s="30">
        <f>(L51-OFFSET(L51,-IF(C51-C50&gt;i_Cos_Days,1,MIN(B51,i_Cos_Days)),0))*MIN(i_Cos_Days,($C51-$C50))</f>
        <v>0</v>
      </c>
      <c r="AA51" s="30">
        <f t="shared" si="31"/>
        <v>56.69171964</v>
      </c>
      <c r="AB51" s="30">
        <f t="shared" si="32"/>
        <v>4.134101218</v>
      </c>
      <c r="AC51" s="30">
        <f t="shared" si="33"/>
        <v>0.5042931523</v>
      </c>
      <c r="AD51" s="30">
        <f t="shared" si="34"/>
        <v>0</v>
      </c>
      <c r="AE51" s="6"/>
      <c r="AF51" s="30">
        <f t="shared" si="11"/>
        <v>0.8405400743</v>
      </c>
      <c r="AG51" s="30" t="str">
        <f>MIN(1,SUM(OFFSET(E51,0,0,-i_Eve_ECG,1)))</f>
        <v>#VALUE!</v>
      </c>
      <c r="AH51" s="30" t="str">
        <f t="shared" si="12"/>
        <v>#VALUE!</v>
      </c>
      <c r="AI51" s="30" t="str">
        <f t="shared" si="13"/>
        <v>#VALUE!</v>
      </c>
      <c r="AJ51" s="30" t="str">
        <f>(AH51*(i_Adv_Fals/i_Adv_Alar)*i_Int_Kend_false)*AJ$25</f>
        <v>#VALUE!</v>
      </c>
      <c r="AK51" s="30" t="str">
        <f>(AH51*(i_Adv_Lead/i_Adv_Alar)*i_Int_Kend_leadsoff)*AK$25</f>
        <v>#VALUE!</v>
      </c>
      <c r="AL51" s="30">
        <f>((SUM(F50:J50)-((I50+J50)*(1-i_Bac_ICU)))+(SUM(F51:J51)-((I51+J51)*(1-i_Bac_ICU))))/2*(C51-C50)</f>
        <v>0.00155914071</v>
      </c>
      <c r="AM51" s="30">
        <f>(((I50+J50)*(1-i_Bac_ICU))+((I51+J51)*(1-i_Bac_ICU))+K50+E50+E51+K51)/2*(C51-C50)</f>
        <v>0.02704506874</v>
      </c>
      <c r="AN51" s="6"/>
      <c r="AO51" s="6"/>
      <c r="AP51" s="6"/>
      <c r="AQ51" s="6"/>
      <c r="AR51" s="6"/>
      <c r="AS51" s="6"/>
      <c r="AT51" s="6"/>
      <c r="AU51" s="6"/>
    </row>
    <row r="52" ht="14.25" customHeight="1">
      <c r="A52" s="6"/>
      <c r="B52" s="26">
        <f t="shared" ref="B52:C52" si="104">B51+1</f>
        <v>26</v>
      </c>
      <c r="C52" s="26">
        <f t="shared" si="104"/>
        <v>26</v>
      </c>
      <c r="D52" s="26">
        <f t="shared" si="6"/>
        <v>0.1</v>
      </c>
      <c r="E52" s="28">
        <f t="shared" si="15"/>
        <v>0.0001363005977</v>
      </c>
      <c r="F52" s="28">
        <f t="shared" si="16"/>
        <v>0.0001212295375</v>
      </c>
      <c r="G52" s="28">
        <f t="shared" si="17"/>
        <v>0.00003918731941</v>
      </c>
      <c r="H52" s="28">
        <f t="shared" si="18"/>
        <v>0.0002715320631</v>
      </c>
      <c r="I52" s="28">
        <f t="shared" si="19"/>
        <v>0.002343780215</v>
      </c>
      <c r="J52" s="28">
        <f t="shared" si="20"/>
        <v>0.003442143636</v>
      </c>
      <c r="K52" s="28">
        <f t="shared" si="21"/>
        <v>0.0170668738</v>
      </c>
      <c r="L52" s="28">
        <f t="shared" si="22"/>
        <v>0.8183901374</v>
      </c>
      <c r="M52" s="28">
        <f t="shared" si="23"/>
        <v>0.1286781231</v>
      </c>
      <c r="N52" s="28">
        <f t="shared" si="24"/>
        <v>0.002154462419</v>
      </c>
      <c r="O52" s="28">
        <f t="shared" si="25"/>
        <v>0.001994061197</v>
      </c>
      <c r="P52" s="28">
        <f t="shared" si="26"/>
        <v>0.02536216866</v>
      </c>
      <c r="Q52" s="6"/>
      <c r="R52" s="26">
        <f t="shared" si="7"/>
        <v>1</v>
      </c>
      <c r="S52" s="30">
        <f t="shared" si="8"/>
        <v>1.396270138</v>
      </c>
      <c r="T52" s="30">
        <f t="shared" ref="T52:U52" si="105">((F51+F52)/2)*T$25*($C52-$C51)</f>
        <v>0.3990646681</v>
      </c>
      <c r="U52" s="30">
        <f t="shared" si="105"/>
        <v>0.1295419367</v>
      </c>
      <c r="V52" s="30">
        <f t="shared" si="28"/>
        <v>0.695876053</v>
      </c>
      <c r="W52" s="30">
        <f t="shared" ref="W52:X52" si="106">((I51+I52)/2)*W$25*($C52-$C51)</f>
        <v>5.375424687</v>
      </c>
      <c r="X52" s="30">
        <f t="shared" si="106"/>
        <v>7.794328358</v>
      </c>
      <c r="Y52" s="30">
        <f t="shared" si="30"/>
        <v>43.78924707</v>
      </c>
      <c r="Z52" s="30">
        <f>(L52-OFFSET(L52,-IF(C52-C51&gt;i_Cos_Days,1,MIN(B52,i_Cos_Days)),0))*MIN(i_Cos_Days,($C52-$C51))</f>
        <v>0</v>
      </c>
      <c r="AA52" s="30">
        <f t="shared" si="31"/>
        <v>54.96374941</v>
      </c>
      <c r="AB52" s="30">
        <f t="shared" si="32"/>
        <v>4.149746571</v>
      </c>
      <c r="AC52" s="30">
        <f t="shared" si="33"/>
        <v>0.5062016311</v>
      </c>
      <c r="AD52" s="30">
        <f t="shared" si="34"/>
        <v>0</v>
      </c>
      <c r="AE52" s="6"/>
      <c r="AF52" s="30">
        <f t="shared" si="11"/>
        <v>0.8479008297</v>
      </c>
      <c r="AG52" s="30" t="str">
        <f>MIN(1,SUM(OFFSET(E52,0,0,-i_Eve_ECG,1)))</f>
        <v>#VALUE!</v>
      </c>
      <c r="AH52" s="30" t="str">
        <f t="shared" si="12"/>
        <v>#VALUE!</v>
      </c>
      <c r="AI52" s="30" t="str">
        <f t="shared" si="13"/>
        <v>#VALUE!</v>
      </c>
      <c r="AJ52" s="30" t="str">
        <f>(AH52*(i_Adv_Fals/i_Adv_Alar)*i_Int_Kend_false)*AJ$25</f>
        <v>#VALUE!</v>
      </c>
      <c r="AK52" s="30" t="str">
        <f>(AH52*(i_Adv_Lead/i_Adv_Alar)*i_Int_Kend_leadsoff)*AK$25</f>
        <v>#VALUE!</v>
      </c>
      <c r="AL52" s="30">
        <f>((SUM(F51:J51)-((I51+J51)*(1-i_Bac_ICU)))+(SUM(F52:J52)-((I52+J52)*(1-i_Bac_ICU))))/2*(C52-C51)</f>
        <v>0.001510648978</v>
      </c>
      <c r="AM52" s="30">
        <f>(((I51+J51)*(1-i_Bac_ICU))+((I52+J52)*(1-i_Bac_ICU))+K51+E51+E52+K52)/2*(C52-C51)</f>
        <v>0.02353667387</v>
      </c>
      <c r="AN52" s="6"/>
      <c r="AO52" s="6"/>
      <c r="AP52" s="6"/>
      <c r="AQ52" s="6"/>
      <c r="AR52" s="6"/>
      <c r="AS52" s="6"/>
      <c r="AT52" s="6"/>
      <c r="AU52" s="6"/>
    </row>
    <row r="53" ht="14.25" customHeight="1">
      <c r="A53" s="6"/>
      <c r="B53" s="26">
        <f t="shared" ref="B53:C53" si="107">B52+1</f>
        <v>27</v>
      </c>
      <c r="C53" s="26">
        <f t="shared" si="107"/>
        <v>27</v>
      </c>
      <c r="D53" s="26">
        <f t="shared" si="6"/>
        <v>0.1</v>
      </c>
      <c r="E53" s="28">
        <f t="shared" si="15"/>
        <v>0.0001362603908</v>
      </c>
      <c r="F53" s="28">
        <f t="shared" si="16"/>
        <v>0.0001211918516</v>
      </c>
      <c r="G53" s="28">
        <f t="shared" si="17"/>
        <v>0.0000389720708</v>
      </c>
      <c r="H53" s="28">
        <f t="shared" si="18"/>
        <v>0.0002659289615</v>
      </c>
      <c r="I53" s="28">
        <f t="shared" si="19"/>
        <v>0.002220036991</v>
      </c>
      <c r="J53" s="28">
        <f t="shared" si="20"/>
        <v>0.003343700718</v>
      </c>
      <c r="K53" s="28">
        <f t="shared" si="21"/>
        <v>0.01454978416</v>
      </c>
      <c r="L53" s="28">
        <f t="shared" si="22"/>
        <v>0.8249422342</v>
      </c>
      <c r="M53" s="28">
        <f t="shared" si="23"/>
        <v>0.1245987812</v>
      </c>
      <c r="N53" s="28">
        <f t="shared" si="24"/>
        <v>0.002241028566</v>
      </c>
      <c r="O53" s="28">
        <f t="shared" si="25"/>
        <v>0.002057649451</v>
      </c>
      <c r="P53" s="28">
        <f t="shared" si="26"/>
        <v>0.02548443143</v>
      </c>
      <c r="Q53" s="6"/>
      <c r="R53" s="26">
        <f t="shared" si="7"/>
        <v>1</v>
      </c>
      <c r="S53" s="30">
        <f t="shared" si="8"/>
        <v>1.395858257</v>
      </c>
      <c r="T53" s="30">
        <f t="shared" ref="T53:U53" si="108">((F52+F53)/2)*T$25*($C53-$C52)</f>
        <v>0.3989371227</v>
      </c>
      <c r="U53" s="30">
        <f t="shared" si="108"/>
        <v>0.1286218281</v>
      </c>
      <c r="V53" s="30">
        <f t="shared" si="28"/>
        <v>0.6813715886</v>
      </c>
      <c r="W53" s="30">
        <f t="shared" ref="W53:X53" si="109">((I52+I53)/2)*W$25*($C53-$C52)</f>
        <v>5.093654727</v>
      </c>
      <c r="X53" s="30">
        <f t="shared" si="109"/>
        <v>7.573648683</v>
      </c>
      <c r="Y53" s="30">
        <f t="shared" si="30"/>
        <v>37.26497391</v>
      </c>
      <c r="Z53" s="30">
        <f>(L53-OFFSET(L53,-IF(C53-C52&gt;i_Cos_Days,1,MIN(B53,i_Cos_Days)),0))*MIN(i_Cos_Days,($C53-$C52))</f>
        <v>0</v>
      </c>
      <c r="AA53" s="30">
        <f t="shared" si="31"/>
        <v>53.24260445</v>
      </c>
      <c r="AB53" s="30">
        <f t="shared" si="32"/>
        <v>4.162784261</v>
      </c>
      <c r="AC53" s="30">
        <f t="shared" si="33"/>
        <v>0.5077920172</v>
      </c>
      <c r="AD53" s="30">
        <f t="shared" si="34"/>
        <v>0</v>
      </c>
      <c r="AE53" s="6"/>
      <c r="AF53" s="30">
        <f t="shared" si="11"/>
        <v>0.8547253436</v>
      </c>
      <c r="AG53" s="30" t="str">
        <f>MIN(1,SUM(OFFSET(E53,0,0,-i_Eve_ECG,1)))</f>
        <v>#VALUE!</v>
      </c>
      <c r="AH53" s="30" t="str">
        <f t="shared" si="12"/>
        <v>#VALUE!</v>
      </c>
      <c r="AI53" s="30" t="str">
        <f t="shared" si="13"/>
        <v>#VALUE!</v>
      </c>
      <c r="AJ53" s="30" t="str">
        <f>(AH53*(i_Adv_Fals/i_Adv_Alar)*i_Int_Kend_false)*AJ$25</f>
        <v>#VALUE!</v>
      </c>
      <c r="AK53" s="30" t="str">
        <f>(AH53*(i_Adv_Lead/i_Adv_Alar)*i_Int_Kend_leadsoff)*AK$25</f>
        <v>#VALUE!</v>
      </c>
      <c r="AL53" s="30">
        <f>((SUM(F52:J52)-((I52+J52)*(1-i_Bac_ICU)))+(SUM(F53:J53)-((I53+J53)*(1-i_Bac_ICU))))/2*(C53-C52)</f>
        <v>0.001463574503</v>
      </c>
      <c r="AM53" s="30">
        <f>(((I52+J52)*(1-i_Bac_ICU))+((I53+J53)*(1-i_Bac_ICU))+K52+E52+E53+K53)/2*(C53-C52)</f>
        <v>0.02058488665</v>
      </c>
      <c r="AN53" s="6"/>
      <c r="AO53" s="6"/>
      <c r="AP53" s="6"/>
      <c r="AQ53" s="6"/>
      <c r="AR53" s="6"/>
      <c r="AS53" s="6"/>
      <c r="AT53" s="6"/>
      <c r="AU53" s="6"/>
    </row>
    <row r="54" ht="14.25" customHeight="1">
      <c r="A54" s="6"/>
      <c r="B54" s="26">
        <f t="shared" ref="B54:C54" si="110">B53+1</f>
        <v>28</v>
      </c>
      <c r="C54" s="26">
        <f t="shared" si="110"/>
        <v>28</v>
      </c>
      <c r="D54" s="26">
        <f t="shared" si="6"/>
        <v>0.1</v>
      </c>
      <c r="E54" s="28">
        <f t="shared" si="15"/>
        <v>0.0001362221427</v>
      </c>
      <c r="F54" s="28">
        <f t="shared" si="16"/>
        <v>0.0001211560901</v>
      </c>
      <c r="G54" s="28">
        <f t="shared" si="17"/>
        <v>0.0000388358314</v>
      </c>
      <c r="H54" s="28">
        <f t="shared" si="18"/>
        <v>0.0002605421816</v>
      </c>
      <c r="I54" s="28">
        <f t="shared" si="19"/>
        <v>0.002101415223</v>
      </c>
      <c r="J54" s="28">
        <f t="shared" si="20"/>
        <v>0.003246467542</v>
      </c>
      <c r="K54" s="28">
        <f t="shared" si="21"/>
        <v>0.01244926248</v>
      </c>
      <c r="L54" s="28">
        <f t="shared" si="22"/>
        <v>0.831034948</v>
      </c>
      <c r="M54" s="28">
        <f t="shared" si="23"/>
        <v>0.1205683057</v>
      </c>
      <c r="N54" s="28">
        <f t="shared" si="24"/>
        <v>0.00232444219</v>
      </c>
      <c r="O54" s="28">
        <f t="shared" si="25"/>
        <v>0.002117508833</v>
      </c>
      <c r="P54" s="28">
        <f t="shared" si="26"/>
        <v>0.02560089382</v>
      </c>
      <c r="Q54" s="6"/>
      <c r="R54" s="26">
        <f t="shared" si="7"/>
        <v>1</v>
      </c>
      <c r="S54" s="30">
        <f t="shared" si="8"/>
        <v>1.395466441</v>
      </c>
      <c r="T54" s="30">
        <f t="shared" ref="T54:U54" si="111">((F53+F54)/2)*T$25*($C54-$C53)</f>
        <v>0.3988162551</v>
      </c>
      <c r="U54" s="30">
        <f t="shared" si="111"/>
        <v>0.1280434071</v>
      </c>
      <c r="V54" s="30">
        <f t="shared" si="28"/>
        <v>0.6674390563</v>
      </c>
      <c r="W54" s="30">
        <f t="shared" ref="W54:X54" si="112">((I53+I54)/2)*W$25*($C54-$C53)</f>
        <v>4.82315231</v>
      </c>
      <c r="X54" s="30">
        <f t="shared" si="112"/>
        <v>7.355255522</v>
      </c>
      <c r="Y54" s="30">
        <f t="shared" si="30"/>
        <v>31.82242632</v>
      </c>
      <c r="Z54" s="30">
        <f>(L54-OFFSET(L54,-IF(C54-C53&gt;i_Cos_Days,1,MIN(B54,i_Cos_Days)),0))*MIN(i_Cos_Days,($C54-$C53))</f>
        <v>0</v>
      </c>
      <c r="AA54" s="30">
        <f t="shared" si="31"/>
        <v>51.53779918</v>
      </c>
      <c r="AB54" s="30">
        <f t="shared" si="32"/>
        <v>4.173653113</v>
      </c>
      <c r="AC54" s="30">
        <f t="shared" si="33"/>
        <v>0.5091178405</v>
      </c>
      <c r="AD54" s="30">
        <f t="shared" si="34"/>
        <v>0</v>
      </c>
      <c r="AE54" s="6"/>
      <c r="AF54" s="30">
        <f t="shared" si="11"/>
        <v>0.8610777928</v>
      </c>
      <c r="AG54" s="30" t="str">
        <f>MIN(1,SUM(OFFSET(E54,0,0,-i_Eve_ECG,1)))</f>
        <v>#VALUE!</v>
      </c>
      <c r="AH54" s="30" t="str">
        <f t="shared" si="12"/>
        <v>#VALUE!</v>
      </c>
      <c r="AI54" s="30" t="str">
        <f t="shared" si="13"/>
        <v>#VALUE!</v>
      </c>
      <c r="AJ54" s="30" t="str">
        <f>(AH54*(i_Adv_Fals/i_Adv_Alar)*i_Int_Kend_false)*AJ$25</f>
        <v>#VALUE!</v>
      </c>
      <c r="AK54" s="30" t="str">
        <f>(AH54*(i_Adv_Lead/i_Adv_Alar)*i_Int_Kend_leadsoff)*AK$25</f>
        <v>#VALUE!</v>
      </c>
      <c r="AL54" s="30">
        <f>((SUM(F53:J53)-((I53+J53)*(1-i_Bac_ICU)))+(SUM(F54:J54)-((I54+J54)*(1-i_Bac_ICU))))/2*(C54-C53)</f>
        <v>0.001417938416</v>
      </c>
      <c r="AM54" s="30">
        <f>(((I53+J53)*(1-i_Bac_ICU))+((I54+J54)*(1-i_Bac_ICU))+K53+E53+E54+K54)/2*(C54-C53)</f>
        <v>0.0180969499</v>
      </c>
      <c r="AN54" s="6"/>
      <c r="AO54" s="6"/>
      <c r="AP54" s="6"/>
      <c r="AQ54" s="6"/>
      <c r="AR54" s="6"/>
      <c r="AS54" s="6"/>
      <c r="AT54" s="6"/>
      <c r="AU54" s="6"/>
    </row>
    <row r="55" ht="14.25" customHeight="1">
      <c r="A55" s="6"/>
      <c r="B55" s="26">
        <f t="shared" ref="B55:C55" si="113">B54+1</f>
        <v>29</v>
      </c>
      <c r="C55" s="26">
        <f t="shared" si="113"/>
        <v>29</v>
      </c>
      <c r="D55" s="26">
        <f t="shared" si="6"/>
        <v>0.1</v>
      </c>
      <c r="E55" s="28">
        <f t="shared" si="15"/>
        <v>0.0001361856751</v>
      </c>
      <c r="F55" s="28">
        <f t="shared" si="16"/>
        <v>0.0001211220713</v>
      </c>
      <c r="G55" s="28">
        <f t="shared" si="17"/>
        <v>0.00003874819399</v>
      </c>
      <c r="H55" s="28">
        <f t="shared" si="18"/>
        <v>0.0002553615049</v>
      </c>
      <c r="I55" s="28">
        <f t="shared" si="19"/>
        <v>0.00198797879</v>
      </c>
      <c r="J55" s="28">
        <f t="shared" si="20"/>
        <v>0.003150735579</v>
      </c>
      <c r="K55" s="28">
        <f t="shared" si="21"/>
        <v>0.01069502458</v>
      </c>
      <c r="L55" s="28">
        <f t="shared" si="22"/>
        <v>0.8367214576</v>
      </c>
      <c r="M55" s="28">
        <f t="shared" si="23"/>
        <v>0.1166023757</v>
      </c>
      <c r="N55" s="28">
        <f t="shared" si="24"/>
        <v>0.002404758378</v>
      </c>
      <c r="O55" s="28">
        <f t="shared" si="25"/>
        <v>0.002173802884</v>
      </c>
      <c r="P55" s="28">
        <f t="shared" si="26"/>
        <v>0.02571244902</v>
      </c>
      <c r="Q55" s="6"/>
      <c r="R55" s="26">
        <f t="shared" si="7"/>
        <v>1</v>
      </c>
      <c r="S55" s="30">
        <f t="shared" si="8"/>
        <v>1.395092865</v>
      </c>
      <c r="T55" s="30">
        <f t="shared" ref="T55:U55" si="114">((F54+F55)/2)*T$25*($C55-$C54)</f>
        <v>0.3987014221</v>
      </c>
      <c r="U55" s="30">
        <f t="shared" si="114"/>
        <v>0.1276749876</v>
      </c>
      <c r="V55" s="30">
        <f t="shared" si="28"/>
        <v>0.6540420576</v>
      </c>
      <c r="W55" s="30">
        <f t="shared" ref="W55:X55" si="115">((I54+I55)/2)*W$25*($C55-$C54)</f>
        <v>4.564153253</v>
      </c>
      <c r="X55" s="30">
        <f t="shared" si="115"/>
        <v>7.139888046</v>
      </c>
      <c r="Y55" s="30">
        <f t="shared" si="30"/>
        <v>27.27901394</v>
      </c>
      <c r="Z55" s="30">
        <f>(L55-OFFSET(L55,-IF(C55-C54&gt;i_Cos_Days,1,MIN(B55,i_Cos_Days)),0))*MIN(i_Cos_Days,($C55-$C54))</f>
        <v>0</v>
      </c>
      <c r="AA55" s="30">
        <f t="shared" si="31"/>
        <v>49.85683478</v>
      </c>
      <c r="AB55" s="30">
        <f t="shared" si="32"/>
        <v>4.182717563</v>
      </c>
      <c r="AC55" s="30">
        <f t="shared" si="33"/>
        <v>0.5102235561</v>
      </c>
      <c r="AD55" s="30">
        <f t="shared" si="34"/>
        <v>0</v>
      </c>
      <c r="AE55" s="6"/>
      <c r="AF55" s="30">
        <f t="shared" si="11"/>
        <v>0.8670124679</v>
      </c>
      <c r="AG55" s="30" t="str">
        <f>MIN(1,SUM(OFFSET(E55,0,0,-i_Eve_ECG,1)))</f>
        <v>#VALUE!</v>
      </c>
      <c r="AH55" s="30" t="str">
        <f t="shared" si="12"/>
        <v>#VALUE!</v>
      </c>
      <c r="AI55" s="30" t="str">
        <f t="shared" si="13"/>
        <v>#VALUE!</v>
      </c>
      <c r="AJ55" s="30" t="str">
        <f>(AH55*(i_Adv_Fals/i_Adv_Alar)*i_Int_Kend_false)*AJ$25</f>
        <v>#VALUE!</v>
      </c>
      <c r="AK55" s="30" t="str">
        <f>(AH55*(i_Adv_Lead/i_Adv_Alar)*i_Int_Kend_leadsoff)*AK$25</f>
        <v>#VALUE!</v>
      </c>
      <c r="AL55" s="30">
        <f>((SUM(F54:J54)-((I54+J54)*(1-i_Bac_ICU)))+(SUM(F55:J55)-((I55+J55)*(1-i_Bac_ICU))))/2*(C55-C54)</f>
        <v>0.001373765785</v>
      </c>
      <c r="AM55" s="30">
        <f>(((I54+J54)*(1-i_Bac_ICU))+((I55+J55)*(1-i_Bac_ICU))+K54+E54+E55+K55)/2*(C55-C54)</f>
        <v>0.01599576315</v>
      </c>
      <c r="AN55" s="6"/>
      <c r="AO55" s="6"/>
      <c r="AP55" s="6"/>
      <c r="AQ55" s="6"/>
      <c r="AR55" s="6"/>
      <c r="AS55" s="6"/>
      <c r="AT55" s="6"/>
      <c r="AU55" s="6"/>
    </row>
    <row r="56" ht="14.25" customHeight="1">
      <c r="A56" s="6"/>
      <c r="B56" s="26">
        <f t="shared" ref="B56:C56" si="116">B55+1</f>
        <v>30</v>
      </c>
      <c r="C56" s="26">
        <f t="shared" si="116"/>
        <v>30</v>
      </c>
      <c r="D56" s="26">
        <f t="shared" si="6"/>
        <v>0.1</v>
      </c>
      <c r="E56" s="28">
        <f t="shared" si="15"/>
        <v>0.000136150832</v>
      </c>
      <c r="F56" s="28">
        <f t="shared" si="16"/>
        <v>0.0001210896366</v>
      </c>
      <c r="G56" s="28">
        <f t="shared" si="17"/>
        <v>0.00003869051702</v>
      </c>
      <c r="H56" s="28">
        <f t="shared" si="18"/>
        <v>0.0002503808824</v>
      </c>
      <c r="I56" s="28">
        <f t="shared" si="19"/>
        <v>0.001879725689</v>
      </c>
      <c r="J56" s="28">
        <f t="shared" si="20"/>
        <v>0.003056730954</v>
      </c>
      <c r="K56" s="28">
        <f t="shared" si="21"/>
        <v>0.009228703812</v>
      </c>
      <c r="L56" s="28">
        <f t="shared" si="22"/>
        <v>0.8420468295</v>
      </c>
      <c r="M56" s="28">
        <f t="shared" si="23"/>
        <v>0.1127131144</v>
      </c>
      <c r="N56" s="28">
        <f t="shared" si="24"/>
        <v>0.002482042748</v>
      </c>
      <c r="O56" s="28">
        <f t="shared" si="25"/>
        <v>0.002226698531</v>
      </c>
      <c r="P56" s="28">
        <f t="shared" si="26"/>
        <v>0.02581984257</v>
      </c>
      <c r="Q56" s="6"/>
      <c r="R56" s="26">
        <f t="shared" si="7"/>
        <v>1</v>
      </c>
      <c r="S56" s="30">
        <f t="shared" si="8"/>
        <v>1.39473593</v>
      </c>
      <c r="T56" s="30">
        <f t="shared" ref="T56:U56" si="117">((F55+F56)/2)*T$25*($C56-$C55)</f>
        <v>0.3985920638</v>
      </c>
      <c r="U56" s="30">
        <f t="shared" si="117"/>
        <v>0.1274358532</v>
      </c>
      <c r="V56" s="30">
        <f t="shared" si="28"/>
        <v>0.6411599689</v>
      </c>
      <c r="W56" s="30">
        <f t="shared" ref="W56:X56" si="118">((I55+I56)/2)*W$25*($C56-$C55)</f>
        <v>4.316726616</v>
      </c>
      <c r="X56" s="30">
        <f t="shared" si="118"/>
        <v>6.92812394</v>
      </c>
      <c r="Y56" s="30">
        <f t="shared" si="30"/>
        <v>23.48310247</v>
      </c>
      <c r="Z56" s="30">
        <f>(L56-OFFSET(L56,-IF(C56-C55&gt;i_Cos_Days,1,MIN(B56,i_Cos_Days)),0))*MIN(i_Cos_Days,($C56-$C55))</f>
        <v>0</v>
      </c>
      <c r="AA56" s="30">
        <f t="shared" si="31"/>
        <v>48.20555574</v>
      </c>
      <c r="AB56" s="30">
        <f t="shared" si="32"/>
        <v>4.190280272</v>
      </c>
      <c r="AC56" s="30">
        <f t="shared" si="33"/>
        <v>0.5111460837</v>
      </c>
      <c r="AD56" s="30">
        <f t="shared" si="34"/>
        <v>0</v>
      </c>
      <c r="AE56" s="6"/>
      <c r="AF56" s="30">
        <f t="shared" si="11"/>
        <v>0.8725754133</v>
      </c>
      <c r="AG56" s="30" t="str">
        <f>MIN(1,SUM(OFFSET(E56,0,0,-i_Eve_ECG,1)))</f>
        <v>#VALUE!</v>
      </c>
      <c r="AH56" s="30" t="str">
        <f t="shared" si="12"/>
        <v>#VALUE!</v>
      </c>
      <c r="AI56" s="30" t="str">
        <f t="shared" si="13"/>
        <v>#VALUE!</v>
      </c>
      <c r="AJ56" s="30" t="str">
        <f>(AH56*(i_Adv_Fals/i_Adv_Alar)*i_Int_Kend_false)*AJ$25</f>
        <v>#VALUE!</v>
      </c>
      <c r="AK56" s="30" t="str">
        <f>(AH56*(i_Adv_Lead/i_Adv_Alar)*i_Int_Kend_leadsoff)*AK$25</f>
        <v>#VALUE!</v>
      </c>
      <c r="AL56" s="30">
        <f>((SUM(F55:J55)-((I55+J55)*(1-i_Bac_ICU)))+(SUM(F56:J56)-((I56+J56)*(1-i_Bac_ICU))))/2*(C56-C55)</f>
        <v>0.001331076603</v>
      </c>
      <c r="AM56" s="30">
        <f>(((I55+J55)*(1-i_Bac_ICU))+((I56+J56)*(1-i_Bac_ICU))+K55+E55+E56+K56)/2*(C56-C55)</f>
        <v>0.01421723776</v>
      </c>
      <c r="AN56" s="6"/>
      <c r="AO56" s="6"/>
      <c r="AP56" s="6"/>
      <c r="AQ56" s="6"/>
      <c r="AR56" s="6"/>
      <c r="AS56" s="6"/>
      <c r="AT56" s="6"/>
      <c r="AU56" s="6"/>
    </row>
    <row r="57" ht="14.25" customHeight="1">
      <c r="A57" s="6"/>
      <c r="B57" s="26">
        <f t="shared" ref="B57:C57" si="119">B56+1</f>
        <v>31</v>
      </c>
      <c r="C57" s="26">
        <f t="shared" si="119"/>
        <v>31</v>
      </c>
      <c r="D57" s="26">
        <f t="shared" si="6"/>
        <v>0.1</v>
      </c>
      <c r="E57" s="28">
        <f t="shared" si="15"/>
        <v>0.0001361174759</v>
      </c>
      <c r="F57" s="28">
        <f t="shared" si="16"/>
        <v>0.0001210586471</v>
      </c>
      <c r="G57" s="28">
        <f t="shared" si="17"/>
        <v>0.00003865136688</v>
      </c>
      <c r="H57" s="28">
        <f t="shared" si="18"/>
        <v>0.0002455961126</v>
      </c>
      <c r="I57" s="28">
        <f t="shared" si="19"/>
        <v>0.001776602487</v>
      </c>
      <c r="J57" s="28">
        <f t="shared" si="20"/>
        <v>0.002964626056</v>
      </c>
      <c r="K57" s="28">
        <f t="shared" si="21"/>
        <v>0.008001830775</v>
      </c>
      <c r="L57" s="28">
        <f t="shared" si="22"/>
        <v>0.8470493614</v>
      </c>
      <c r="M57" s="28">
        <f t="shared" si="23"/>
        <v>0.1089097261</v>
      </c>
      <c r="N57" s="28">
        <f t="shared" si="24"/>
        <v>0.002556368836</v>
      </c>
      <c r="O57" s="28">
        <f t="shared" si="25"/>
        <v>0.002276363437</v>
      </c>
      <c r="P57" s="28">
        <f t="shared" si="26"/>
        <v>0.02592369725</v>
      </c>
      <c r="Q57" s="6"/>
      <c r="R57" s="26">
        <f t="shared" si="7"/>
        <v>1</v>
      </c>
      <c r="S57" s="30">
        <f t="shared" si="8"/>
        <v>1.394394229</v>
      </c>
      <c r="T57" s="30">
        <f t="shared" ref="T57:U57" si="120">((F56+F57)/2)*T$25*($C57-$C56)</f>
        <v>0.3984876907</v>
      </c>
      <c r="U57" s="30">
        <f t="shared" si="120"/>
        <v>0.1272765111</v>
      </c>
      <c r="V57" s="30">
        <f t="shared" si="28"/>
        <v>0.6287797951</v>
      </c>
      <c r="W57" s="30">
        <f t="shared" ref="W57:X57" si="121">((I56+I57)/2)*W$25*($C57-$C56)</f>
        <v>4.080810528</v>
      </c>
      <c r="X57" s="30">
        <f t="shared" si="121"/>
        <v>6.720407985</v>
      </c>
      <c r="Y57" s="30">
        <f t="shared" si="30"/>
        <v>20.30876959</v>
      </c>
      <c r="Z57" s="30">
        <f>(L57-OFFSET(L57,-IF(C57-C56&gt;i_Cos_Days,1,MIN(B57,i_Cos_Days)),0))*MIN(i_Cos_Days,($C57-$C56))</f>
        <v>0</v>
      </c>
      <c r="AA57" s="30">
        <f t="shared" si="31"/>
        <v>46.58844542</v>
      </c>
      <c r="AB57" s="30">
        <f t="shared" si="32"/>
        <v>4.196592614</v>
      </c>
      <c r="AC57" s="30">
        <f t="shared" si="33"/>
        <v>0.5119160868</v>
      </c>
      <c r="AD57" s="30">
        <f t="shared" si="34"/>
        <v>0</v>
      </c>
      <c r="AE57" s="6"/>
      <c r="AF57" s="30">
        <f t="shared" si="11"/>
        <v>0.877805791</v>
      </c>
      <c r="AG57" s="30" t="str">
        <f>MIN(1,SUM(OFFSET(E57,0,0,-i_Eve_ECG,1)))</f>
        <v>#VALUE!</v>
      </c>
      <c r="AH57" s="30" t="str">
        <f t="shared" si="12"/>
        <v>#VALUE!</v>
      </c>
      <c r="AI57" s="30" t="str">
        <f t="shared" si="13"/>
        <v>#VALUE!</v>
      </c>
      <c r="AJ57" s="30" t="str">
        <f>(AH57*(i_Adv_Fals/i_Adv_Alar)*i_Int_Kend_false)*AJ$25</f>
        <v>#VALUE!</v>
      </c>
      <c r="AK57" s="30" t="str">
        <f>(AH57*(i_Adv_Lead/i_Adv_Alar)*i_Int_Kend_leadsoff)*AK$25</f>
        <v>#VALUE!</v>
      </c>
      <c r="AL57" s="30">
        <f>((SUM(F56:J56)-((I56+J56)*(1-i_Bac_ICU)))+(SUM(F57:J57)-((I57+J57)*(1-i_Bac_ICU))))/2*(C57-C56)</f>
        <v>0.001289881829</v>
      </c>
      <c r="AM57" s="30">
        <f>(((I56+J56)*(1-i_Bac_ICU))+((I57+J57)*(1-i_Bac_ICU))+K56+E56+E57+K57)/2*(C57-C56)</f>
        <v>0.01270809579</v>
      </c>
      <c r="AN57" s="6"/>
      <c r="AO57" s="6"/>
      <c r="AP57" s="6"/>
      <c r="AQ57" s="6"/>
      <c r="AR57" s="6"/>
      <c r="AS57" s="6"/>
      <c r="AT57" s="6"/>
      <c r="AU57" s="6"/>
    </row>
    <row r="58" ht="14.25" customHeight="1">
      <c r="A58" s="6"/>
      <c r="B58" s="26">
        <f t="shared" ref="B58:C58" si="122">B57+1</f>
        <v>32</v>
      </c>
      <c r="C58" s="26">
        <f t="shared" si="122"/>
        <v>32</v>
      </c>
      <c r="D58" s="26">
        <f t="shared" si="6"/>
        <v>0.1</v>
      </c>
      <c r="E58" s="28">
        <f t="shared" si="15"/>
        <v>0.0001360854857</v>
      </c>
      <c r="F58" s="28">
        <f t="shared" si="16"/>
        <v>0.0001210289806</v>
      </c>
      <c r="G58" s="28">
        <f t="shared" si="17"/>
        <v>0.0000386237263</v>
      </c>
      <c r="H58" s="28">
        <f t="shared" si="18"/>
        <v>0.0002410035773</v>
      </c>
      <c r="I58" s="28">
        <f t="shared" si="19"/>
        <v>0.001678516118</v>
      </c>
      <c r="J58" s="28">
        <f t="shared" si="20"/>
        <v>0.002874549156</v>
      </c>
      <c r="K58" s="28">
        <f t="shared" si="21"/>
        <v>0.006974154107</v>
      </c>
      <c r="L58" s="28">
        <f t="shared" si="22"/>
        <v>0.8517617007</v>
      </c>
      <c r="M58" s="28">
        <f t="shared" si="23"/>
        <v>0.1051990245</v>
      </c>
      <c r="N58" s="28">
        <f t="shared" si="24"/>
        <v>0.002627815963</v>
      </c>
      <c r="O58" s="28">
        <f t="shared" si="25"/>
        <v>0.002322963942</v>
      </c>
      <c r="P58" s="28">
        <f t="shared" si="26"/>
        <v>0.02602453373</v>
      </c>
      <c r="Q58" s="6"/>
      <c r="R58" s="26">
        <f t="shared" si="7"/>
        <v>1</v>
      </c>
      <c r="S58" s="30">
        <f t="shared" si="8"/>
        <v>1.39406652</v>
      </c>
      <c r="T58" s="30">
        <f t="shared" ref="T58:U58" si="123">((F57+F58)/2)*T$25*($C58-$C57)</f>
        <v>0.3983878731</v>
      </c>
      <c r="U58" s="30">
        <f t="shared" si="123"/>
        <v>0.127166598</v>
      </c>
      <c r="V58" s="30">
        <f t="shared" si="28"/>
        <v>0.6168916228</v>
      </c>
      <c r="W58" s="30">
        <f t="shared" ref="W58:X58" si="124">((I57+I58)/2)*W$25*($C58-$C57)</f>
        <v>3.85624148</v>
      </c>
      <c r="X58" s="30">
        <f t="shared" si="124"/>
        <v>6.517075744</v>
      </c>
      <c r="Y58" s="30">
        <f t="shared" si="30"/>
        <v>17.65144458</v>
      </c>
      <c r="Z58" s="30">
        <f>(L58-OFFSET(L58,-IF(C58-C57&gt;i_Cos_Days,1,MIN(B58,i_Cos_Days)),0))*MIN(i_Cos_Days,($C58-$C57))</f>
        <v>0</v>
      </c>
      <c r="AA58" s="30">
        <f t="shared" si="31"/>
        <v>45.008871</v>
      </c>
      <c r="AB58" s="30">
        <f t="shared" si="32"/>
        <v>4.201863381</v>
      </c>
      <c r="AC58" s="30">
        <f t="shared" si="33"/>
        <v>0.5125590347</v>
      </c>
      <c r="AD58" s="30">
        <f t="shared" si="34"/>
        <v>0</v>
      </c>
      <c r="AE58" s="6"/>
      <c r="AF58" s="30">
        <f t="shared" si="11"/>
        <v>0.8827370144</v>
      </c>
      <c r="AG58" s="30" t="str">
        <f>MIN(1,SUM(OFFSET(E58,0,0,-i_Eve_ECG,1)))</f>
        <v>#VALUE!</v>
      </c>
      <c r="AH58" s="30" t="str">
        <f t="shared" si="12"/>
        <v>#VALUE!</v>
      </c>
      <c r="AI58" s="30" t="str">
        <f t="shared" si="13"/>
        <v>#VALUE!</v>
      </c>
      <c r="AJ58" s="30" t="str">
        <f>(AH58*(i_Adv_Fals/i_Adv_Alar)*i_Int_Kend_false)*AJ$25</f>
        <v>#VALUE!</v>
      </c>
      <c r="AK58" s="30" t="str">
        <f>(AH58*(i_Adv_Lead/i_Adv_Alar)*i_Int_Kend_leadsoff)*AK$25</f>
        <v>#VALUE!</v>
      </c>
      <c r="AL58" s="30">
        <f>((SUM(F57:J57)-((I57+J57)*(1-i_Bac_ICU)))+(SUM(F58:J58)-((I58+J58)*(1-i_Bac_ICU))))/2*(C58-C57)</f>
        <v>0.00125018225</v>
      </c>
      <c r="AM58" s="30">
        <f>(((I57+J57)*(1-i_Bac_ICU))+((I58+J58)*(1-i_Bac_ICU))+K57+E57+E58+K58)/2*(C58-C57)</f>
        <v>0.01142403979</v>
      </c>
      <c r="AN58" s="6"/>
      <c r="AO58" s="6"/>
      <c r="AP58" s="6"/>
      <c r="AQ58" s="6"/>
      <c r="AR58" s="6"/>
      <c r="AS58" s="6"/>
      <c r="AT58" s="6"/>
      <c r="AU58" s="6"/>
    </row>
    <row r="59" ht="14.25" customHeight="1">
      <c r="A59" s="6"/>
      <c r="B59" s="26">
        <f t="shared" ref="B59:C59" si="125">B58+1</f>
        <v>33</v>
      </c>
      <c r="C59" s="26">
        <f t="shared" si="125"/>
        <v>33</v>
      </c>
      <c r="D59" s="26">
        <f t="shared" si="6"/>
        <v>0.1</v>
      </c>
      <c r="E59" s="28">
        <f t="shared" si="15"/>
        <v>0.0001360547537</v>
      </c>
      <c r="F59" s="28">
        <f t="shared" si="16"/>
        <v>0.0001210005292</v>
      </c>
      <c r="G59" s="28">
        <f t="shared" si="17"/>
        <v>0.00003860328445</v>
      </c>
      <c r="H59" s="28">
        <f t="shared" si="18"/>
        <v>0.0002365995946</v>
      </c>
      <c r="I59" s="28">
        <f t="shared" si="19"/>
        <v>0.001585343496</v>
      </c>
      <c r="J59" s="28">
        <f t="shared" si="20"/>
        <v>0.002786592374</v>
      </c>
      <c r="K59" s="28">
        <f t="shared" si="21"/>
        <v>0.00611224538</v>
      </c>
      <c r="L59" s="28">
        <f t="shared" si="22"/>
        <v>0.8562117726</v>
      </c>
      <c r="M59" s="28">
        <f t="shared" si="23"/>
        <v>0.1015858692</v>
      </c>
      <c r="N59" s="28">
        <f t="shared" si="24"/>
        <v>0.002696467491</v>
      </c>
      <c r="O59" s="28">
        <f t="shared" si="25"/>
        <v>0.002366663481</v>
      </c>
      <c r="P59" s="28">
        <f t="shared" si="26"/>
        <v>0.02612278782</v>
      </c>
      <c r="Q59" s="6"/>
      <c r="R59" s="26">
        <f t="shared" si="7"/>
        <v>1</v>
      </c>
      <c r="S59" s="30">
        <f t="shared" si="8"/>
        <v>1.3937517</v>
      </c>
      <c r="T59" s="30">
        <f t="shared" ref="T59:U59" si="126">((F58+F59)/2)*T$25*($C59-$C58)</f>
        <v>0.3982922323</v>
      </c>
      <c r="U59" s="30">
        <f t="shared" si="126"/>
        <v>0.1270874718</v>
      </c>
      <c r="V59" s="30">
        <f t="shared" si="28"/>
        <v>0.6054861972</v>
      </c>
      <c r="W59" s="30">
        <f t="shared" ref="W59:X59" si="127">((I58+I59)/2)*W$25*($C59-$C58)</f>
        <v>3.642778227</v>
      </c>
      <c r="X59" s="30">
        <f t="shared" si="127"/>
        <v>6.318373197</v>
      </c>
      <c r="Y59" s="30">
        <f t="shared" si="30"/>
        <v>15.42428476</v>
      </c>
      <c r="Z59" s="30">
        <f>(L59-OFFSET(L59,-IF(C59-C58&gt;i_Cos_Days,1,MIN(B59,i_Cos_Days)),0))*MIN(i_Cos_Days,($C59-$C58))</f>
        <v>0</v>
      </c>
      <c r="AA59" s="30">
        <f t="shared" si="31"/>
        <v>43.46928642</v>
      </c>
      <c r="AB59" s="30">
        <f t="shared" si="32"/>
        <v>4.206266022</v>
      </c>
      <c r="AC59" s="30">
        <f t="shared" si="33"/>
        <v>0.5130960854</v>
      </c>
      <c r="AD59" s="30">
        <f t="shared" si="34"/>
        <v>0</v>
      </c>
      <c r="AE59" s="6"/>
      <c r="AF59" s="30">
        <f t="shared" si="11"/>
        <v>0.8873976914</v>
      </c>
      <c r="AG59" s="30" t="str">
        <f>MIN(1,SUM(OFFSET(E59,0,0,-i_Eve_ECG,1)))</f>
        <v>#VALUE!</v>
      </c>
      <c r="AH59" s="30" t="str">
        <f t="shared" si="12"/>
        <v>#VALUE!</v>
      </c>
      <c r="AI59" s="30" t="str">
        <f t="shared" si="13"/>
        <v>#VALUE!</v>
      </c>
      <c r="AJ59" s="30" t="str">
        <f>(AH59*(i_Adv_Fals/i_Adv_Alar)*i_Int_Kend_false)*AJ$25</f>
        <v>#VALUE!</v>
      </c>
      <c r="AK59" s="30" t="str">
        <f>(AH59*(i_Adv_Lead/i_Adv_Alar)*i_Int_Kend_leadsoff)*AK$25</f>
        <v>#VALUE!</v>
      </c>
      <c r="AL59" s="30">
        <f>((SUM(F58:J58)-((I58+J58)*(1-i_Bac_ICU)))+(SUM(F59:J59)-((I59+J59)*(1-i_Bac_ICU))))/2*(C59-C58)</f>
        <v>0.001211968824</v>
      </c>
      <c r="AM59" s="30">
        <f>(((I58+J58)*(1-i_Bac_ICU))+((I59+J59)*(1-i_Bac_ICU))+K58+E58+E59+K59)/2*(C59-C58)</f>
        <v>0.01032823146</v>
      </c>
      <c r="AN59" s="6"/>
      <c r="AO59" s="6"/>
      <c r="AP59" s="6"/>
      <c r="AQ59" s="6"/>
      <c r="AR59" s="6"/>
      <c r="AS59" s="6"/>
      <c r="AT59" s="6"/>
      <c r="AU59" s="6"/>
    </row>
    <row r="60" ht="14.25" customHeight="1">
      <c r="A60" s="6"/>
      <c r="B60" s="26">
        <f t="shared" ref="B60:C60" si="128">B59+1</f>
        <v>34</v>
      </c>
      <c r="C60" s="26">
        <f t="shared" si="128"/>
        <v>34</v>
      </c>
      <c r="D60" s="26">
        <f t="shared" si="6"/>
        <v>0.1</v>
      </c>
      <c r="E60" s="28">
        <f t="shared" si="15"/>
        <v>0.0001360251841</v>
      </c>
      <c r="F60" s="28">
        <f t="shared" si="16"/>
        <v>0.0001209731971</v>
      </c>
      <c r="G60" s="28">
        <f t="shared" si="17"/>
        <v>0.00003858738946</v>
      </c>
      <c r="H60" s="28">
        <f t="shared" si="18"/>
        <v>0.000232380128</v>
      </c>
      <c r="I60" s="28">
        <f t="shared" si="19"/>
        <v>0.001496939328</v>
      </c>
      <c r="J60" s="28">
        <f t="shared" si="20"/>
        <v>0.00270081828</v>
      </c>
      <c r="K60" s="28">
        <f t="shared" si="21"/>
        <v>0.005388340382</v>
      </c>
      <c r="L60" s="28">
        <f t="shared" si="22"/>
        <v>0.8604235526</v>
      </c>
      <c r="M60" s="28">
        <f t="shared" si="23"/>
        <v>0.09807352809</v>
      </c>
      <c r="N60" s="28">
        <f t="shared" si="24"/>
        <v>0.002762409415</v>
      </c>
      <c r="O60" s="28">
        <f t="shared" si="25"/>
        <v>0.002407621391</v>
      </c>
      <c r="P60" s="28">
        <f t="shared" si="26"/>
        <v>0.02621882466</v>
      </c>
      <c r="Q60" s="6"/>
      <c r="R60" s="26">
        <f t="shared" si="7"/>
        <v>1</v>
      </c>
      <c r="S60" s="30">
        <f t="shared" si="8"/>
        <v>1.393448788</v>
      </c>
      <c r="T60" s="30">
        <f t="shared" ref="T60:U60" si="129">((F59+F60)/2)*T$25*($C60-$C59)</f>
        <v>0.398200433</v>
      </c>
      <c r="U60" s="30">
        <f t="shared" si="129"/>
        <v>0.1270276747</v>
      </c>
      <c r="V60" s="30">
        <f t="shared" si="28"/>
        <v>0.5945537332</v>
      </c>
      <c r="W60" s="30">
        <f t="shared" ref="W60:X60" si="130">((I59+I60)/2)*W$25*($C60-$C59)</f>
        <v>3.440121234</v>
      </c>
      <c r="X60" s="30">
        <f t="shared" si="130"/>
        <v>6.124472992</v>
      </c>
      <c r="Y60" s="30">
        <f t="shared" si="30"/>
        <v>13.55516541</v>
      </c>
      <c r="Z60" s="30">
        <f>(L60-OFFSET(L60,-IF(C60-C59&gt;i_Cos_Days,1,MIN(B60,i_Cos_Days)),0))*MIN(i_Cos_Days,($C60-$C59))</f>
        <v>0</v>
      </c>
      <c r="AA60" s="30">
        <f t="shared" si="31"/>
        <v>41.9714002</v>
      </c>
      <c r="AB60" s="30">
        <f t="shared" si="32"/>
        <v>4.209944641</v>
      </c>
      <c r="AC60" s="30">
        <f t="shared" si="33"/>
        <v>0.5135448171</v>
      </c>
      <c r="AD60" s="30">
        <f t="shared" si="34"/>
        <v>0</v>
      </c>
      <c r="AE60" s="6"/>
      <c r="AF60" s="30">
        <f t="shared" si="11"/>
        <v>0.891812408</v>
      </c>
      <c r="AG60" s="30" t="str">
        <f>MIN(1,SUM(OFFSET(E60,0,0,-i_Eve_ECG,1)))</f>
        <v>#VALUE!</v>
      </c>
      <c r="AH60" s="30" t="str">
        <f t="shared" si="12"/>
        <v>#VALUE!</v>
      </c>
      <c r="AI60" s="30" t="str">
        <f t="shared" si="13"/>
        <v>#VALUE!</v>
      </c>
      <c r="AJ60" s="30" t="str">
        <f>(AH60*(i_Adv_Fals/i_Adv_Alar)*i_Int_Kend_false)*AJ$25</f>
        <v>#VALUE!</v>
      </c>
      <c r="AK60" s="30" t="str">
        <f>(AH60*(i_Adv_Lead/i_Adv_Alar)*i_Int_Kend_leadsoff)*AK$25</f>
        <v>#VALUE!</v>
      </c>
      <c r="AL60" s="30">
        <f>((SUM(F59:J59)-((I59+J59)*(1-i_Bac_ICU)))+(SUM(F60:J60)-((I60+J60)*(1-i_Bac_ICU))))/2*(C60-C59)</f>
        <v>0.001175223746</v>
      </c>
      <c r="AM60" s="30">
        <f>(((I59+J59)*(1-i_Bac_ICU))+((I60+J60)*(1-i_Bac_ICU))+K59+E59+E60+K60)/2*(C60-C59)</f>
        <v>0.009390027905</v>
      </c>
      <c r="AN60" s="6"/>
      <c r="AO60" s="6"/>
      <c r="AP60" s="6"/>
      <c r="AQ60" s="6"/>
      <c r="AR60" s="6"/>
      <c r="AS60" s="6"/>
      <c r="AT60" s="6"/>
      <c r="AU60" s="6"/>
    </row>
    <row r="61" ht="14.25" customHeight="1">
      <c r="A61" s="6"/>
      <c r="B61" s="26">
        <f t="shared" ref="B61:C61" si="131">B60+1</f>
        <v>35</v>
      </c>
      <c r="C61" s="26">
        <f t="shared" si="131"/>
        <v>35</v>
      </c>
      <c r="D61" s="26">
        <f t="shared" si="6"/>
        <v>0.1</v>
      </c>
      <c r="E61" s="28">
        <f t="shared" si="15"/>
        <v>0.0001359966912</v>
      </c>
      <c r="F61" s="28">
        <f t="shared" si="16"/>
        <v>0.000120946899</v>
      </c>
      <c r="G61" s="28">
        <f t="shared" si="17"/>
        <v>0.00003857440676</v>
      </c>
      <c r="H61" s="28">
        <f t="shared" si="18"/>
        <v>0.0002283406922</v>
      </c>
      <c r="I61" s="28">
        <f t="shared" si="19"/>
        <v>0.00141314243</v>
      </c>
      <c r="J61" s="28">
        <f t="shared" si="20"/>
        <v>0.002617265353</v>
      </c>
      <c r="K61" s="28">
        <f t="shared" si="21"/>
        <v>0.004779376982</v>
      </c>
      <c r="L61" s="28">
        <f t="shared" si="22"/>
        <v>0.8644177087</v>
      </c>
      <c r="M61" s="28">
        <f t="shared" si="23"/>
        <v>0.094663976</v>
      </c>
      <c r="N61" s="28">
        <f t="shared" si="24"/>
        <v>0.002825729215</v>
      </c>
      <c r="O61" s="28">
        <f t="shared" si="25"/>
        <v>0.002445992038</v>
      </c>
      <c r="P61" s="28">
        <f t="shared" si="26"/>
        <v>0.02631295063</v>
      </c>
      <c r="Q61" s="6"/>
      <c r="R61" s="26">
        <f t="shared" si="7"/>
        <v>1</v>
      </c>
      <c r="S61" s="30">
        <f t="shared" si="8"/>
        <v>1.393156905</v>
      </c>
      <c r="T61" s="30">
        <f t="shared" ref="T61:U61" si="132">((F60+F61)/2)*T$25*($C61-$C60)</f>
        <v>0.3981121774</v>
      </c>
      <c r="U61" s="30">
        <f t="shared" si="132"/>
        <v>0.1269801525</v>
      </c>
      <c r="V61" s="30">
        <f t="shared" si="28"/>
        <v>0.584083427</v>
      </c>
      <c r="W61" s="30">
        <f t="shared" ref="W61:X61" si="133">((I60+I61)/2)*W$25*($C61-$C60)</f>
        <v>3.247928441</v>
      </c>
      <c r="X61" s="30">
        <f t="shared" si="133"/>
        <v>5.935487908</v>
      </c>
      <c r="Y61" s="30">
        <f t="shared" si="30"/>
        <v>11.98418007</v>
      </c>
      <c r="Z61" s="30">
        <f>(L61-OFFSET(L61,-IF(C61-C60&gt;i_Cos_Days,1,MIN(B61,i_Cos_Days)),0))*MIN(i_Cos_Days,($C61-$C60))</f>
        <v>0</v>
      </c>
      <c r="AA61" s="30">
        <f t="shared" si="31"/>
        <v>40.51631442</v>
      </c>
      <c r="AB61" s="30">
        <f t="shared" si="32"/>
        <v>4.213018984</v>
      </c>
      <c r="AC61" s="30">
        <f t="shared" si="33"/>
        <v>0.513919837</v>
      </c>
      <c r="AD61" s="30">
        <f t="shared" si="34"/>
        <v>0</v>
      </c>
      <c r="AE61" s="6"/>
      <c r="AF61" s="30">
        <f t="shared" si="11"/>
        <v>0.8960023805</v>
      </c>
      <c r="AG61" s="30" t="str">
        <f>MIN(1,SUM(OFFSET(E61,0,0,-i_Eve_ECG,1)))</f>
        <v>#VALUE!</v>
      </c>
      <c r="AH61" s="30" t="str">
        <f t="shared" si="12"/>
        <v>#VALUE!</v>
      </c>
      <c r="AI61" s="30" t="str">
        <f t="shared" si="13"/>
        <v>#VALUE!</v>
      </c>
      <c r="AJ61" s="30" t="str">
        <f>(AH61*(i_Adv_Fals/i_Adv_Alar)*i_Int_Kend_false)*AJ$25</f>
        <v>#VALUE!</v>
      </c>
      <c r="AK61" s="30" t="str">
        <f>(AH61*(i_Adv_Lead/i_Adv_Alar)*i_Int_Kend_leadsoff)*AK$25</f>
        <v>#VALUE!</v>
      </c>
      <c r="AL61" s="30">
        <f>((SUM(F60:J60)-((I60+J60)*(1-i_Bac_ICU)))+(SUM(F61:J61)-((I61+J61)*(1-i_Bac_ICU))))/2*(C61-C60)</f>
        <v>0.001139921794</v>
      </c>
      <c r="AM61" s="30">
        <f>(((I60+J60)*(1-i_Bac_ICU))+((I61+J61)*(1-i_Bac_ICU))+K60+E60+E61+K61)/2*(C61-C60)</f>
        <v>0.008583931878</v>
      </c>
      <c r="AN61" s="6"/>
      <c r="AO61" s="6"/>
      <c r="AP61" s="6"/>
      <c r="AQ61" s="6"/>
      <c r="AR61" s="6"/>
      <c r="AS61" s="6"/>
      <c r="AT61" s="6"/>
      <c r="AU61" s="6"/>
    </row>
    <row r="62" ht="14.25" customHeight="1">
      <c r="A62" s="6"/>
      <c r="B62" s="26">
        <f t="shared" ref="B62:C62" si="134">B61+1</f>
        <v>36</v>
      </c>
      <c r="C62" s="26">
        <f t="shared" si="134"/>
        <v>36</v>
      </c>
      <c r="D62" s="26">
        <f t="shared" si="6"/>
        <v>0.1</v>
      </c>
      <c r="E62" s="28">
        <f t="shared" si="15"/>
        <v>0.000135969198</v>
      </c>
      <c r="F62" s="28">
        <f t="shared" si="16"/>
        <v>0.0001209215588</v>
      </c>
      <c r="G62" s="28">
        <f t="shared" si="17"/>
        <v>0.00003856332586</v>
      </c>
      <c r="H62" s="28">
        <f t="shared" si="18"/>
        <v>0.0002244763644</v>
      </c>
      <c r="I62" s="28">
        <f t="shared" si="19"/>
        <v>0.001333780825</v>
      </c>
      <c r="J62" s="28">
        <f t="shared" si="20"/>
        <v>0.002535952503</v>
      </c>
      <c r="K62" s="28">
        <f t="shared" si="21"/>
        <v>0.004266196363</v>
      </c>
      <c r="L62" s="28">
        <f t="shared" si="22"/>
        <v>0.8682121355</v>
      </c>
      <c r="M62" s="28">
        <f t="shared" si="23"/>
        <v>0.09135814209</v>
      </c>
      <c r="N62" s="28">
        <f t="shared" si="24"/>
        <v>0.00288651494</v>
      </c>
      <c r="O62" s="28">
        <f t="shared" si="25"/>
        <v>0.002481924186</v>
      </c>
      <c r="P62" s="28">
        <f t="shared" si="26"/>
        <v>0.02640542314</v>
      </c>
      <c r="Q62" s="6"/>
      <c r="R62" s="26">
        <f t="shared" si="7"/>
        <v>1</v>
      </c>
      <c r="S62" s="30">
        <f t="shared" si="8"/>
        <v>1.392875263</v>
      </c>
      <c r="T62" s="30">
        <f t="shared" ref="T62:U62" si="135">((F61+F62)/2)*T$25*($C62-$C61)</f>
        <v>0.3980271996</v>
      </c>
      <c r="U62" s="30">
        <f t="shared" si="135"/>
        <v>0.1269405526</v>
      </c>
      <c r="V62" s="30">
        <f t="shared" si="28"/>
        <v>0.5740633517</v>
      </c>
      <c r="W62" s="30">
        <f t="shared" ref="W62:X62" si="136">((I61+I62)/2)*W$25*($C62-$C61)</f>
        <v>3.06582801</v>
      </c>
      <c r="X62" s="30">
        <f t="shared" si="136"/>
        <v>5.751481996</v>
      </c>
      <c r="Y62" s="30">
        <f t="shared" si="30"/>
        <v>10.66156502</v>
      </c>
      <c r="Z62" s="30">
        <f>(L62-OFFSET(L62,-IF(C62-C61&gt;i_Cos_Days,1,MIN(B62,i_Cos_Days)),0))*MIN(i_Cos_Days,($C62-$C61))</f>
        <v>0</v>
      </c>
      <c r="AA62" s="30">
        <f t="shared" si="31"/>
        <v>39.10463956</v>
      </c>
      <c r="AB62" s="30">
        <f t="shared" si="32"/>
        <v>4.215588578</v>
      </c>
      <c r="AC62" s="30">
        <f t="shared" si="33"/>
        <v>0.5142332856</v>
      </c>
      <c r="AD62" s="30">
        <f t="shared" si="34"/>
        <v>0</v>
      </c>
      <c r="AE62" s="6"/>
      <c r="AF62" s="30">
        <f t="shared" si="11"/>
        <v>0.8999859978</v>
      </c>
      <c r="AG62" s="30" t="str">
        <f>MIN(1,SUM(OFFSET(E62,0,0,-i_Eve_ECG,1)))</f>
        <v>#VALUE!</v>
      </c>
      <c r="AH62" s="30" t="str">
        <f t="shared" si="12"/>
        <v>#VALUE!</v>
      </c>
      <c r="AI62" s="30" t="str">
        <f t="shared" si="13"/>
        <v>#VALUE!</v>
      </c>
      <c r="AJ62" s="30" t="str">
        <f>(AH62*(i_Adv_Fals/i_Adv_Alar)*i_Int_Kend_false)*AJ$25</f>
        <v>#VALUE!</v>
      </c>
      <c r="AK62" s="30" t="str">
        <f>(AH62*(i_Adv_Lead/i_Adv_Alar)*i_Int_Kend_leadsoff)*AK$25</f>
        <v>#VALUE!</v>
      </c>
      <c r="AL62" s="30">
        <f>((SUM(F61:J61)-((I61+J61)*(1-i_Bac_ICU)))+(SUM(F62:J62)-((I62+J62)*(1-i_Bac_ICU))))/2*(C62-C61)</f>
        <v>0.001106031725</v>
      </c>
      <c r="AM62" s="30">
        <f>(((I61+J61)*(1-i_Bac_ICU))+((I62+J62)*(1-i_Bac_ICU))+K61+E61+E62+K62)/2*(C62-C61)</f>
        <v>0.007888720072</v>
      </c>
      <c r="AN62" s="6"/>
      <c r="AO62" s="6"/>
      <c r="AP62" s="6"/>
      <c r="AQ62" s="6"/>
      <c r="AR62" s="6"/>
      <c r="AS62" s="6"/>
      <c r="AT62" s="6"/>
      <c r="AU62" s="6"/>
    </row>
    <row r="63" ht="14.25" customHeight="1">
      <c r="A63" s="6"/>
      <c r="B63" s="26">
        <f t="shared" ref="B63:C63" si="137">B62+1</f>
        <v>37</v>
      </c>
      <c r="C63" s="26">
        <f t="shared" si="137"/>
        <v>37</v>
      </c>
      <c r="D63" s="26">
        <f t="shared" si="6"/>
        <v>0.1</v>
      </c>
      <c r="E63" s="28">
        <f t="shared" si="15"/>
        <v>0.0001359426351</v>
      </c>
      <c r="F63" s="28">
        <f t="shared" si="16"/>
        <v>0.0001208971078</v>
      </c>
      <c r="G63" s="28">
        <f t="shared" si="17"/>
        <v>0.0000385535195</v>
      </c>
      <c r="H63" s="28">
        <f t="shared" si="18"/>
        <v>0.0002207818468</v>
      </c>
      <c r="I63" s="28">
        <f t="shared" si="19"/>
        <v>0.00125867583</v>
      </c>
      <c r="J63" s="28">
        <f t="shared" si="20"/>
        <v>0.002456882808</v>
      </c>
      <c r="K63" s="28">
        <f t="shared" si="21"/>
        <v>0.003832879949</v>
      </c>
      <c r="L63" s="28">
        <f t="shared" si="22"/>
        <v>0.8718223985</v>
      </c>
      <c r="M63" s="28">
        <f t="shared" si="23"/>
        <v>0.08815611396</v>
      </c>
      <c r="N63" s="28">
        <f t="shared" si="24"/>
        <v>0.002944854472</v>
      </c>
      <c r="O63" s="28">
        <f t="shared" si="25"/>
        <v>0.002515560586</v>
      </c>
      <c r="P63" s="28">
        <f t="shared" si="26"/>
        <v>0.02649645884</v>
      </c>
      <c r="Q63" s="6"/>
      <c r="R63" s="26">
        <f t="shared" si="7"/>
        <v>1</v>
      </c>
      <c r="S63" s="30">
        <f t="shared" si="8"/>
        <v>1.392603151</v>
      </c>
      <c r="T63" s="30">
        <f t="shared" ref="T63:U63" si="138">((F62+F63)/2)*T$25*($C63-$C62)</f>
        <v>0.3979452614</v>
      </c>
      <c r="U63" s="30">
        <f t="shared" si="138"/>
        <v>0.1269061798</v>
      </c>
      <c r="V63" s="30">
        <f t="shared" si="28"/>
        <v>0.5644805499</v>
      </c>
      <c r="W63" s="30">
        <f t="shared" ref="W63:X63" si="139">((I62+I63)/2)*W$25*($C63-$C62)</f>
        <v>2.893428571</v>
      </c>
      <c r="X63" s="30">
        <f t="shared" si="139"/>
        <v>5.572479799</v>
      </c>
      <c r="Y63" s="30">
        <f t="shared" si="30"/>
        <v>9.545976295</v>
      </c>
      <c r="Z63" s="30">
        <f>(L63-OFFSET(L63,-IF(C63-C62&gt;i_Cos_Days,1,MIN(B63,i_Cos_Days)),0))*MIN(i_Cos_Days,($C63-$C62))</f>
        <v>0</v>
      </c>
      <c r="AA63" s="30">
        <f t="shared" si="31"/>
        <v>37.73658934</v>
      </c>
      <c r="AB63" s="30">
        <f t="shared" si="32"/>
        <v>4.21773616</v>
      </c>
      <c r="AC63" s="30">
        <f t="shared" si="33"/>
        <v>0.5144952558</v>
      </c>
      <c r="AD63" s="30">
        <f t="shared" si="34"/>
        <v>0</v>
      </c>
      <c r="AE63" s="6"/>
      <c r="AF63" s="30">
        <f t="shared" si="11"/>
        <v>0.9037792723</v>
      </c>
      <c r="AG63" s="30" t="str">
        <f>MIN(1,SUM(OFFSET(E63,0,0,-i_Eve_ECG,1)))</f>
        <v>#VALUE!</v>
      </c>
      <c r="AH63" s="30" t="str">
        <f t="shared" si="12"/>
        <v>#VALUE!</v>
      </c>
      <c r="AI63" s="30" t="str">
        <f t="shared" si="13"/>
        <v>#VALUE!</v>
      </c>
      <c r="AJ63" s="30" t="str">
        <f>(AH63*(i_Adv_Fals/i_Adv_Alar)*i_Int_Kend_false)*AJ$25</f>
        <v>#VALUE!</v>
      </c>
      <c r="AK63" s="30" t="str">
        <f>(AH63*(i_Adv_Lead/i_Adv_Alar)*i_Int_Kend_leadsoff)*AK$25</f>
        <v>#VALUE!</v>
      </c>
      <c r="AL63" s="30">
        <f>((SUM(F62:J62)-((I62+J62)*(1-i_Bac_ICU)))+(SUM(F63:J63)-((I63+J63)*(1-i_Bac_ICU))))/2*(C63-C62)</f>
        <v>0.001073517577</v>
      </c>
      <c r="AM63" s="30">
        <f>(((I62+J62)*(1-i_Bac_ICU))+((I63+J63)*(1-i_Bac_ICU))+K62+E62+E63+K63)/2*(C63-C62)</f>
        <v>0.007286719341</v>
      </c>
      <c r="AN63" s="6"/>
      <c r="AO63" s="6"/>
      <c r="AP63" s="6"/>
      <c r="AQ63" s="6"/>
      <c r="AR63" s="6"/>
      <c r="AS63" s="6"/>
      <c r="AT63" s="6"/>
      <c r="AU63" s="6"/>
    </row>
    <row r="64" ht="14.25" customHeight="1">
      <c r="A64" s="6"/>
      <c r="B64" s="26">
        <f t="shared" ref="B64:C64" si="140">B63+1</f>
        <v>38</v>
      </c>
      <c r="C64" s="26">
        <f t="shared" si="140"/>
        <v>38</v>
      </c>
      <c r="D64" s="26">
        <f t="shared" si="6"/>
        <v>0.1</v>
      </c>
      <c r="E64" s="28">
        <f t="shared" si="15"/>
        <v>0.0001359169396</v>
      </c>
      <c r="F64" s="28">
        <f t="shared" si="16"/>
        <v>0.0001208734844</v>
      </c>
      <c r="G64" s="28">
        <f t="shared" si="17"/>
        <v>0.00003854459588</v>
      </c>
      <c r="H64" s="28">
        <f t="shared" si="18"/>
        <v>0.0002172515483</v>
      </c>
      <c r="I64" s="28">
        <f t="shared" si="19"/>
        <v>0.001187645314</v>
      </c>
      <c r="J64" s="28">
        <f t="shared" si="20"/>
        <v>0.002380046603</v>
      </c>
      <c r="K64" s="28">
        <f t="shared" si="21"/>
        <v>0.00346619904</v>
      </c>
      <c r="L64" s="28">
        <f t="shared" si="22"/>
        <v>0.8752621033</v>
      </c>
      <c r="M64" s="28">
        <f t="shared" si="23"/>
        <v>0.0850573061</v>
      </c>
      <c r="N64" s="28">
        <f t="shared" si="24"/>
        <v>0.003000834942</v>
      </c>
      <c r="O64" s="28">
        <f t="shared" si="25"/>
        <v>0.002547037714</v>
      </c>
      <c r="P64" s="28">
        <f t="shared" si="26"/>
        <v>0.02658624039</v>
      </c>
      <c r="Q64" s="6"/>
      <c r="R64" s="26">
        <f t="shared" si="7"/>
        <v>1</v>
      </c>
      <c r="S64" s="30">
        <f t="shared" si="8"/>
        <v>1.392339926</v>
      </c>
      <c r="T64" s="30">
        <f t="shared" ref="T64:U64" si="141">((F63+F64)/2)*T$25*($C64-$C63)</f>
        <v>0.3978661485</v>
      </c>
      <c r="U64" s="30">
        <f t="shared" si="141"/>
        <v>0.1268753571</v>
      </c>
      <c r="V64" s="30">
        <f t="shared" si="28"/>
        <v>0.555321217</v>
      </c>
      <c r="W64" s="30">
        <f t="shared" ref="W64:X64" si="142">((I63+I64)/2)*W$25*($C64-$C63)</f>
        <v>2.73032742</v>
      </c>
      <c r="X64" s="30">
        <f t="shared" si="142"/>
        <v>5.398473963</v>
      </c>
      <c r="Y64" s="30">
        <f t="shared" si="30"/>
        <v>8.60305945</v>
      </c>
      <c r="Z64" s="30">
        <f>(L64-OFFSET(L64,-IF(C64-C63&gt;i_Cos_Days,1,MIN(B64,i_Cos_Days)),0))*MIN(i_Cos_Days,($C64-$C63))</f>
        <v>0</v>
      </c>
      <c r="AA64" s="30">
        <f t="shared" si="31"/>
        <v>36.4120591</v>
      </c>
      <c r="AB64" s="30">
        <f t="shared" si="32"/>
        <v>4.219530533</v>
      </c>
      <c r="AC64" s="30">
        <f t="shared" si="33"/>
        <v>0.5147141401</v>
      </c>
      <c r="AD64" s="30">
        <f t="shared" si="34"/>
        <v>0</v>
      </c>
      <c r="AE64" s="6"/>
      <c r="AF64" s="30">
        <f t="shared" si="11"/>
        <v>0.9073962164</v>
      </c>
      <c r="AG64" s="30" t="str">
        <f>MIN(1,SUM(OFFSET(E64,0,0,-i_Eve_ECG,1)))</f>
        <v>#VALUE!</v>
      </c>
      <c r="AH64" s="30" t="str">
        <f t="shared" si="12"/>
        <v>#VALUE!</v>
      </c>
      <c r="AI64" s="30" t="str">
        <f t="shared" si="13"/>
        <v>#VALUE!</v>
      </c>
      <c r="AJ64" s="30" t="str">
        <f>(AH64*(i_Adv_Fals/i_Adv_Alar)*i_Int_Kend_false)*AJ$25</f>
        <v>#VALUE!</v>
      </c>
      <c r="AK64" s="30" t="str">
        <f>(AH64*(i_Adv_Lead/i_Adv_Alar)*i_Int_Kend_leadsoff)*AK$25</f>
        <v>#VALUE!</v>
      </c>
      <c r="AL64" s="30">
        <f>((SUM(F63:J63)-((I63+J63)*(1-i_Bac_ICU)))+(SUM(F64:J64)-((I64+J64)*(1-i_Bac_ICU))))/2*(C64-C63)</f>
        <v>0.001042339842</v>
      </c>
      <c r="AM64" s="30">
        <f>(((I63+J63)*(1-i_Bac_ICU))+((I64+J64)*(1-i_Bac_ICU))+K63+E63+E64+K64)/2*(C64-C63)</f>
        <v>0.006763205769</v>
      </c>
      <c r="AN64" s="6"/>
      <c r="AO64" s="6"/>
      <c r="AP64" s="6"/>
      <c r="AQ64" s="6"/>
      <c r="AR64" s="6"/>
      <c r="AS64" s="6"/>
      <c r="AT64" s="6"/>
      <c r="AU64" s="6"/>
    </row>
    <row r="65" ht="14.25" customHeight="1">
      <c r="A65" s="6"/>
      <c r="B65" s="26">
        <f t="shared" ref="B65:C65" si="143">B64+1</f>
        <v>39</v>
      </c>
      <c r="C65" s="26">
        <f t="shared" si="143"/>
        <v>39</v>
      </c>
      <c r="D65" s="26">
        <f t="shared" si="6"/>
        <v>0.1</v>
      </c>
      <c r="E65" s="28">
        <f t="shared" si="15"/>
        <v>0.0001358920547</v>
      </c>
      <c r="F65" s="28">
        <f t="shared" si="16"/>
        <v>0.0001208506327</v>
      </c>
      <c r="G65" s="28">
        <f t="shared" si="17"/>
        <v>0.00003853630817</v>
      </c>
      <c r="H65" s="28">
        <f t="shared" si="18"/>
        <v>0.0002138796708</v>
      </c>
      <c r="I65" s="28">
        <f t="shared" si="19"/>
        <v>0.001120506278</v>
      </c>
      <c r="J65" s="28">
        <f t="shared" si="20"/>
        <v>0.002305424029</v>
      </c>
      <c r="K65" s="28">
        <f t="shared" si="21"/>
        <v>0.003155158002</v>
      </c>
      <c r="L65" s="28">
        <f t="shared" si="22"/>
        <v>0.8785432042</v>
      </c>
      <c r="M65" s="28">
        <f t="shared" si="23"/>
        <v>0.08206059879</v>
      </c>
      <c r="N65" s="28">
        <f t="shared" si="24"/>
        <v>0.003054542269</v>
      </c>
      <c r="O65" s="28">
        <f t="shared" si="25"/>
        <v>0.002576485644</v>
      </c>
      <c r="P65" s="28">
        <f t="shared" si="26"/>
        <v>0.02667492213</v>
      </c>
      <c r="Q65" s="6"/>
      <c r="R65" s="26">
        <f t="shared" si="7"/>
        <v>1</v>
      </c>
      <c r="S65" s="30">
        <f t="shared" si="8"/>
        <v>1.392085003</v>
      </c>
      <c r="T65" s="30">
        <f t="shared" ref="T65:U65" si="144">((F64+F65)/2)*T$25*($C65-$C64)</f>
        <v>0.3977896675</v>
      </c>
      <c r="U65" s="30">
        <f t="shared" si="144"/>
        <v>0.1268470335</v>
      </c>
      <c r="V65" s="30">
        <f t="shared" si="28"/>
        <v>0.5465709143</v>
      </c>
      <c r="W65" s="30">
        <f t="shared" ref="W65:X65" si="145">((I64+I65)/2)*W$25*($C65-$C64)</f>
        <v>2.576117039</v>
      </c>
      <c r="X65" s="30">
        <f t="shared" si="145"/>
        <v>5.229431538</v>
      </c>
      <c r="Y65" s="30">
        <f t="shared" si="30"/>
        <v>7.804262477</v>
      </c>
      <c r="Z65" s="30">
        <f>(L65-OFFSET(L65,-IF(C65-C64&gt;i_Cos_Days,1,MIN(B65,i_Cos_Days)),0))*MIN(i_Cos_Days,($C65-$C64))</f>
        <v>0</v>
      </c>
      <c r="AA65" s="30">
        <f t="shared" si="31"/>
        <v>35.13069038</v>
      </c>
      <c r="AB65" s="30">
        <f t="shared" si="32"/>
        <v>4.221028926</v>
      </c>
      <c r="AC65" s="30">
        <f t="shared" si="33"/>
        <v>0.5148969197</v>
      </c>
      <c r="AD65" s="30">
        <f t="shared" si="34"/>
        <v>0</v>
      </c>
      <c r="AE65" s="6"/>
      <c r="AF65" s="30">
        <f t="shared" si="11"/>
        <v>0.9108491542</v>
      </c>
      <c r="AG65" s="30" t="str">
        <f>MIN(1,SUM(OFFSET(E65,0,0,-i_Eve_ECG,1)))</f>
        <v>#VALUE!</v>
      </c>
      <c r="AH65" s="30" t="str">
        <f t="shared" si="12"/>
        <v>#VALUE!</v>
      </c>
      <c r="AI65" s="30" t="str">
        <f t="shared" si="13"/>
        <v>#VALUE!</v>
      </c>
      <c r="AJ65" s="30" t="str">
        <f>(AH65*(i_Adv_Fals/i_Adv_Alar)*i_Int_Kend_false)*AJ$25</f>
        <v>#VALUE!</v>
      </c>
      <c r="AK65" s="30" t="str">
        <f>(AH65*(i_Adv_Lead/i_Adv_Alar)*i_Int_Kend_leadsoff)*AK$25</f>
        <v>#VALUE!</v>
      </c>
      <c r="AL65" s="30">
        <f>((SUM(F64:J64)-((I64+J64)*(1-i_Bac_ICU)))+(SUM(F65:J65)-((I65+J65)*(1-i_Bac_ICU))))/2*(C65-C64)</f>
        <v>0.001012456473</v>
      </c>
      <c r="AM65" s="30">
        <f>(((I64+J64)*(1-i_Bac_ICU))+((I65+J65)*(1-i_Bac_ICU))+K64+E64+E65+K65)/2*(C65-C64)</f>
        <v>0.006305905777</v>
      </c>
      <c r="AN65" s="6"/>
      <c r="AO65" s="6"/>
      <c r="AP65" s="6"/>
      <c r="AQ65" s="6"/>
      <c r="AR65" s="6"/>
      <c r="AS65" s="6"/>
      <c r="AT65" s="6"/>
      <c r="AU65" s="6"/>
    </row>
    <row r="66" ht="14.25" customHeight="1">
      <c r="A66" s="6"/>
      <c r="B66" s="26">
        <f t="shared" ref="B66:C66" si="146">B65+1</f>
        <v>40</v>
      </c>
      <c r="C66" s="26">
        <f t="shared" si="146"/>
        <v>40</v>
      </c>
      <c r="D66" s="26">
        <f t="shared" si="6"/>
        <v>0.1</v>
      </c>
      <c r="E66" s="28">
        <f t="shared" si="15"/>
        <v>0.0001358679282</v>
      </c>
      <c r="F66" s="28">
        <f t="shared" si="16"/>
        <v>0.0001208285019</v>
      </c>
      <c r="G66" s="28">
        <f t="shared" si="17"/>
        <v>0.00003852849894</v>
      </c>
      <c r="H66" s="28">
        <f t="shared" si="18"/>
        <v>0.0002106602891</v>
      </c>
      <c r="I66" s="28">
        <f t="shared" si="19"/>
        <v>0.001057076878</v>
      </c>
      <c r="J66" s="28">
        <f t="shared" si="20"/>
        <v>0.002232987146</v>
      </c>
      <c r="K66" s="28">
        <f t="shared" si="21"/>
        <v>0.002890615144</v>
      </c>
      <c r="L66" s="28">
        <f t="shared" si="22"/>
        <v>0.8816762597</v>
      </c>
      <c r="M66" s="28">
        <f t="shared" si="23"/>
        <v>0.07916445238</v>
      </c>
      <c r="N66" s="28">
        <f t="shared" si="24"/>
        <v>0.003106060807</v>
      </c>
      <c r="O66" s="28">
        <f t="shared" si="25"/>
        <v>0.002604028021</v>
      </c>
      <c r="P66" s="28">
        <f t="shared" si="26"/>
        <v>0.02676263473</v>
      </c>
      <c r="Q66" s="6"/>
      <c r="R66" s="26">
        <f t="shared" si="7"/>
        <v>1</v>
      </c>
      <c r="S66" s="30">
        <f t="shared" si="8"/>
        <v>1.39183785</v>
      </c>
      <c r="T66" s="30">
        <f t="shared" ref="T66:U66" si="147">((F65+F66)/2)*T$25*($C66-$C65)</f>
        <v>0.3977156427</v>
      </c>
      <c r="U66" s="30">
        <f t="shared" si="147"/>
        <v>0.1268205439</v>
      </c>
      <c r="V66" s="30">
        <f t="shared" si="28"/>
        <v>0.5382147795</v>
      </c>
      <c r="W66" s="30">
        <f t="shared" ref="W66:X66" si="148">((I65+I66)/2)*W$25*($C66-$C65)</f>
        <v>2.430390227</v>
      </c>
      <c r="X66" s="30">
        <f t="shared" si="148"/>
        <v>5.065299176</v>
      </c>
      <c r="Y66" s="30">
        <f t="shared" si="30"/>
        <v>7.125850518</v>
      </c>
      <c r="Z66" s="30">
        <f>(L66-OFFSET(L66,-IF(C66-C65&gt;i_Cos_Days,1,MIN(B66,i_Cos_Days)),0))*MIN(i_Cos_Days,($C66-$C65))</f>
        <v>0</v>
      </c>
      <c r="AA66" s="30">
        <f t="shared" si="31"/>
        <v>33.89192413</v>
      </c>
      <c r="AB66" s="30">
        <f t="shared" si="32"/>
        <v>4.222278961</v>
      </c>
      <c r="AC66" s="30">
        <f t="shared" si="33"/>
        <v>0.5150494037</v>
      </c>
      <c r="AD66" s="30">
        <f t="shared" si="34"/>
        <v>0</v>
      </c>
      <c r="AE66" s="6"/>
      <c r="AF66" s="30">
        <f t="shared" si="11"/>
        <v>0.9141489832</v>
      </c>
      <c r="AG66" s="30" t="str">
        <f>MIN(1,SUM(OFFSET(E66,0,0,-i_Eve_ECG,1)))</f>
        <v>#VALUE!</v>
      </c>
      <c r="AH66" s="30" t="str">
        <f t="shared" si="12"/>
        <v>#VALUE!</v>
      </c>
      <c r="AI66" s="30" t="str">
        <f t="shared" si="13"/>
        <v>#VALUE!</v>
      </c>
      <c r="AJ66" s="30" t="str">
        <f>(AH66*(i_Adv_Fals/i_Adv_Alar)*i_Int_Kend_false)*AJ$25</f>
        <v>#VALUE!</v>
      </c>
      <c r="AK66" s="30" t="str">
        <f>(AH66*(i_Adv_Lead/i_Adv_Alar)*i_Int_Kend_leadsoff)*AK$25</f>
        <v>#VALUE!</v>
      </c>
      <c r="AL66" s="30">
        <f>((SUM(F65:J65)-((I65+J65)*(1-i_Bac_ICU)))+(SUM(F66:J66)-((I66+J66)*(1-i_Bac_ICU))))/2*(C66-C65)</f>
        <v>0.0009838237397</v>
      </c>
      <c r="AM66" s="30">
        <f>(((I65+J65)*(1-i_Bac_ICU))+((I66+J66)*(1-i_Bac_ICU))+K65+E65+E66+K66)/2*(C66-C65)</f>
        <v>0.005904581941</v>
      </c>
      <c r="AN66" s="6"/>
      <c r="AO66" s="6"/>
      <c r="AP66" s="6"/>
      <c r="AQ66" s="6"/>
      <c r="AR66" s="6"/>
      <c r="AS66" s="6"/>
      <c r="AT66" s="6"/>
      <c r="AU66" s="6"/>
    </row>
    <row r="67" ht="14.25" customHeight="1">
      <c r="A67" s="6"/>
      <c r="B67" s="26">
        <f t="shared" ref="B67:C67" si="149">B66+1</f>
        <v>41</v>
      </c>
      <c r="C67" s="26">
        <f t="shared" si="149"/>
        <v>41</v>
      </c>
      <c r="D67" s="26">
        <f t="shared" si="6"/>
        <v>0.1</v>
      </c>
      <c r="E67" s="28">
        <f t="shared" si="15"/>
        <v>0.0001358445127</v>
      </c>
      <c r="F67" s="28">
        <f t="shared" si="16"/>
        <v>0.0001208070458</v>
      </c>
      <c r="G67" s="28">
        <f t="shared" si="17"/>
        <v>0.00003852106605</v>
      </c>
      <c r="H67" s="28">
        <f t="shared" si="18"/>
        <v>0.0002075874225</v>
      </c>
      <c r="I67" s="28">
        <f t="shared" si="19"/>
        <v>0.0009971779944</v>
      </c>
      <c r="J67" s="28">
        <f t="shared" si="20"/>
        <v>0.002162701658</v>
      </c>
      <c r="K67" s="28">
        <f t="shared" si="21"/>
        <v>0.002664968051</v>
      </c>
      <c r="L67" s="28">
        <f t="shared" si="22"/>
        <v>0.8846706466</v>
      </c>
      <c r="M67" s="28">
        <f t="shared" si="23"/>
        <v>0.07636700135</v>
      </c>
      <c r="N67" s="28">
        <f t="shared" si="24"/>
        <v>0.003155473069</v>
      </c>
      <c r="O67" s="28">
        <f t="shared" si="25"/>
        <v>0.002629782115</v>
      </c>
      <c r="P67" s="28">
        <f t="shared" si="26"/>
        <v>0.02684948913</v>
      </c>
      <c r="Q67" s="6"/>
      <c r="R67" s="26">
        <f t="shared" si="7"/>
        <v>1</v>
      </c>
      <c r="S67" s="30">
        <f t="shared" si="8"/>
        <v>1.39159798</v>
      </c>
      <c r="T67" s="30">
        <f t="shared" ref="T67:U67" si="150">((F66+F67)/2)*T$25*($C67-$C66)</f>
        <v>0.3976439146</v>
      </c>
      <c r="U67" s="30">
        <f t="shared" si="150"/>
        <v>0.1267954609</v>
      </c>
      <c r="V67" s="30">
        <f t="shared" si="28"/>
        <v>0.5302377188</v>
      </c>
      <c r="W67" s="30">
        <f t="shared" ref="W67:X67" si="151">((I66+I67)/2)*W$25*($C67-$C66)</f>
        <v>2.292744115</v>
      </c>
      <c r="X67" s="30">
        <f t="shared" si="151"/>
        <v>4.906007415</v>
      </c>
      <c r="Y67" s="30">
        <f t="shared" si="30"/>
        <v>6.548088133</v>
      </c>
      <c r="Z67" s="30">
        <f>(L67-OFFSET(L67,-IF(C67-C66&gt;i_Cos_Days,1,MIN(B67,i_Cos_Days)),0))*MIN(i_Cos_Days,($C67-$C66))</f>
        <v>0</v>
      </c>
      <c r="AA67" s="30">
        <f t="shared" si="31"/>
        <v>32.69504455</v>
      </c>
      <c r="AB67" s="30">
        <f t="shared" si="32"/>
        <v>4.223320282</v>
      </c>
      <c r="AC67" s="30">
        <f t="shared" si="33"/>
        <v>0.5151764279</v>
      </c>
      <c r="AD67" s="30">
        <f t="shared" si="34"/>
        <v>0</v>
      </c>
      <c r="AE67" s="6"/>
      <c r="AF67" s="30">
        <f t="shared" si="11"/>
        <v>0.9173053909</v>
      </c>
      <c r="AG67" s="30" t="str">
        <f>MIN(1,SUM(OFFSET(E67,0,0,-i_Eve_ECG,1)))</f>
        <v>#VALUE!</v>
      </c>
      <c r="AH67" s="30" t="str">
        <f t="shared" si="12"/>
        <v>#VALUE!</v>
      </c>
      <c r="AI67" s="30" t="str">
        <f t="shared" si="13"/>
        <v>#VALUE!</v>
      </c>
      <c r="AJ67" s="30" t="str">
        <f>(AH67*(i_Adv_Fals/i_Adv_Alar)*i_Int_Kend_false)*AJ$25</f>
        <v>#VALUE!</v>
      </c>
      <c r="AK67" s="30" t="str">
        <f>(AH67*(i_Adv_Lead/i_Adv_Alar)*i_Int_Kend_leadsoff)*AK$25</f>
        <v>#VALUE!</v>
      </c>
      <c r="AL67" s="30">
        <f>((SUM(F66:J66)-((I66+J66)*(1-i_Bac_ICU)))+(SUM(F67:J67)-((I67+J67)*(1-i_Bac_ICU))))/2*(C67-C66)</f>
        <v>0.0009563969349</v>
      </c>
      <c r="AM67" s="30">
        <f>(((I66+J66)*(1-i_Bac_ICU))+((I67+J67)*(1-i_Bac_ICU))+K66+E66+E67+K67)/2*(C67-C66)</f>
        <v>0.005550689133</v>
      </c>
      <c r="AN67" s="6"/>
      <c r="AO67" s="6"/>
      <c r="AP67" s="6"/>
      <c r="AQ67" s="6"/>
      <c r="AR67" s="6"/>
      <c r="AS67" s="6"/>
      <c r="AT67" s="6"/>
      <c r="AU67" s="6"/>
    </row>
    <row r="68" ht="14.25" customHeight="1">
      <c r="A68" s="6"/>
      <c r="B68" s="26">
        <f t="shared" ref="B68:C68" si="152">B67+1</f>
        <v>42</v>
      </c>
      <c r="C68" s="26">
        <f t="shared" si="152"/>
        <v>42</v>
      </c>
      <c r="D68" s="26">
        <f t="shared" si="6"/>
        <v>0.1</v>
      </c>
      <c r="E68" s="28">
        <f t="shared" si="15"/>
        <v>0.0001358217645</v>
      </c>
      <c r="F68" s="28">
        <f t="shared" si="16"/>
        <v>0.0001207862221</v>
      </c>
      <c r="G68" s="28">
        <f t="shared" si="17"/>
        <v>0.00003851394175</v>
      </c>
      <c r="H68" s="28">
        <f t="shared" si="18"/>
        <v>0.0002046550947</v>
      </c>
      <c r="I68" s="28">
        <f t="shared" si="19"/>
        <v>0.000940634426</v>
      </c>
      <c r="J68" s="28">
        <f t="shared" si="20"/>
        <v>0.002094528352</v>
      </c>
      <c r="K68" s="28">
        <f t="shared" si="21"/>
        <v>0.002471892441</v>
      </c>
      <c r="L68" s="28">
        <f t="shared" si="22"/>
        <v>0.8875347381</v>
      </c>
      <c r="M68" s="28">
        <f t="shared" si="23"/>
        <v>0.07366613146</v>
      </c>
      <c r="N68" s="28">
        <f t="shared" si="24"/>
        <v>0.003202859522</v>
      </c>
      <c r="O68" s="28">
        <f t="shared" si="25"/>
        <v>0.002653858931</v>
      </c>
      <c r="P68" s="28">
        <f t="shared" si="26"/>
        <v>0.02693557974</v>
      </c>
      <c r="Q68" s="6"/>
      <c r="R68" s="26">
        <f t="shared" si="7"/>
        <v>1</v>
      </c>
      <c r="S68" s="30">
        <f t="shared" si="8"/>
        <v>1.391364946</v>
      </c>
      <c r="T68" s="30">
        <f t="shared" ref="T68:U68" si="153">((F67+F68)/2)*T$25*($C68-$C67)</f>
        <v>0.3975743374</v>
      </c>
      <c r="U68" s="30">
        <f t="shared" si="153"/>
        <v>0.1267715051</v>
      </c>
      <c r="V68" s="30">
        <f t="shared" si="28"/>
        <v>0.5226245736</v>
      </c>
      <c r="W68" s="30">
        <f t="shared" ref="W68:X68" si="154">((I67+I68)/2)*W$25*($C68-$C67)</f>
        <v>2.162783247</v>
      </c>
      <c r="X68" s="30">
        <f t="shared" si="154"/>
        <v>4.751474212</v>
      </c>
      <c r="Y68" s="30">
        <f t="shared" si="30"/>
        <v>6.054560619</v>
      </c>
      <c r="Z68" s="30">
        <f>(L68-OFFSET(L68,-IF(C68-C67&gt;i_Cos_Days,1,MIN(B68,i_Cos_Days)),0))*MIN(i_Cos_Days,($C68-$C67))</f>
        <v>0</v>
      </c>
      <c r="AA68" s="30">
        <f t="shared" si="31"/>
        <v>31.53921501</v>
      </c>
      <c r="AB68" s="30">
        <f t="shared" si="32"/>
        <v>4.224185902</v>
      </c>
      <c r="AC68" s="30">
        <f t="shared" si="33"/>
        <v>0.5152820195</v>
      </c>
      <c r="AD68" s="30">
        <f t="shared" si="34"/>
        <v>0</v>
      </c>
      <c r="AE68" s="6"/>
      <c r="AF68" s="30">
        <f t="shared" si="11"/>
        <v>0.9203270363</v>
      </c>
      <c r="AG68" s="30" t="str">
        <f>MIN(1,SUM(OFFSET(E68,0,0,-i_Eve_ECG,1)))</f>
        <v>#VALUE!</v>
      </c>
      <c r="AH68" s="30" t="str">
        <f t="shared" si="12"/>
        <v>#VALUE!</v>
      </c>
      <c r="AI68" s="30" t="str">
        <f t="shared" si="13"/>
        <v>#VALUE!</v>
      </c>
      <c r="AJ68" s="30" t="str">
        <f>(AH68*(i_Adv_Fals/i_Adv_Alar)*i_Int_Kend_false)*AJ$25</f>
        <v>#VALUE!</v>
      </c>
      <c r="AK68" s="30" t="str">
        <f>(AH68*(i_Adv_Lead/i_Adv_Alar)*i_Int_Kend_leadsoff)*AK$25</f>
        <v>#VALUE!</v>
      </c>
      <c r="AL68" s="30">
        <f>((SUM(F67:J67)-((I67+J67)*(1-i_Bac_ICU)))+(SUM(F68:J68)-((I68+J68)*(1-i_Bac_ICU))))/2*(C68-C67)</f>
        <v>0.0009301309531</v>
      </c>
      <c r="AM68" s="30">
        <f>(((I67+J67)*(1-i_Bac_ICU))+((I68+J68)*(1-i_Bac_ICU))+K67+E67+E68+K68)/2*(C68-C67)</f>
        <v>0.005237089043</v>
      </c>
      <c r="AN68" s="6"/>
      <c r="AO68" s="6"/>
      <c r="AP68" s="6"/>
      <c r="AQ68" s="6"/>
      <c r="AR68" s="6"/>
      <c r="AS68" s="6"/>
      <c r="AT68" s="6"/>
      <c r="AU68" s="6"/>
    </row>
    <row r="69" ht="14.25" customHeight="1">
      <c r="A69" s="6"/>
      <c r="B69" s="26">
        <f t="shared" ref="B69:C69" si="155">B68+1</f>
        <v>43</v>
      </c>
      <c r="C69" s="26">
        <f t="shared" si="155"/>
        <v>43</v>
      </c>
      <c r="D69" s="26">
        <f t="shared" si="6"/>
        <v>0.1</v>
      </c>
      <c r="E69" s="28">
        <f t="shared" si="15"/>
        <v>0.0001357996434</v>
      </c>
      <c r="F69" s="28">
        <f t="shared" si="16"/>
        <v>0.0001207659919</v>
      </c>
      <c r="G69" s="28">
        <f t="shared" si="17"/>
        <v>0.00003850707973</v>
      </c>
      <c r="H69" s="28">
        <f t="shared" si="18"/>
        <v>0.0002018573843</v>
      </c>
      <c r="I69" s="28">
        <f t="shared" si="19"/>
        <v>0.0008872757887</v>
      </c>
      <c r="J69" s="28">
        <f t="shared" si="20"/>
        <v>0.002028424265</v>
      </c>
      <c r="K69" s="28">
        <f t="shared" si="21"/>
        <v>0.002306125413</v>
      </c>
      <c r="L69" s="28">
        <f t="shared" si="22"/>
        <v>0.8902760524</v>
      </c>
      <c r="M69" s="28">
        <f t="shared" si="23"/>
        <v>0.07105954302</v>
      </c>
      <c r="N69" s="28">
        <f t="shared" si="24"/>
        <v>0.003248298443</v>
      </c>
      <c r="O69" s="28">
        <f t="shared" si="25"/>
        <v>0.002676363368</v>
      </c>
      <c r="P69" s="28">
        <f t="shared" si="26"/>
        <v>0.02702098718</v>
      </c>
      <c r="Q69" s="6"/>
      <c r="R69" s="26">
        <f t="shared" si="7"/>
        <v>1</v>
      </c>
      <c r="S69" s="30">
        <f t="shared" si="8"/>
        <v>1.391138337</v>
      </c>
      <c r="T69" s="30">
        <f t="shared" ref="T69:U69" si="156">((F68+F69)/2)*T$25*($C69-$C68)</f>
        <v>0.3975067776</v>
      </c>
      <c r="U69" s="30">
        <f t="shared" si="156"/>
        <v>0.1267484887</v>
      </c>
      <c r="V69" s="30">
        <f t="shared" si="28"/>
        <v>0.5153602604</v>
      </c>
      <c r="W69" s="30">
        <f t="shared" ref="W69:X69" si="157">((I68+I69)/2)*W$25*($C69-$C68)</f>
        <v>2.040121917</v>
      </c>
      <c r="X69" s="30">
        <f t="shared" si="157"/>
        <v>4.601607851</v>
      </c>
      <c r="Y69" s="30">
        <f t="shared" si="30"/>
        <v>5.631610743</v>
      </c>
      <c r="Z69" s="30">
        <f>(L69-OFFSET(L69,-IF(C69-C68&gt;i_Cos_Days,1,MIN(B69,i_Cos_Days)),0))*MIN(i_Cos_Days,($C69-$C68))</f>
        <v>0</v>
      </c>
      <c r="AA69" s="30">
        <f t="shared" si="31"/>
        <v>30.42350766</v>
      </c>
      <c r="AB69" s="30">
        <f t="shared" si="32"/>
        <v>4.224903333</v>
      </c>
      <c r="AC69" s="30">
        <f t="shared" si="33"/>
        <v>0.5153695344</v>
      </c>
      <c r="AD69" s="30">
        <f t="shared" si="34"/>
        <v>0</v>
      </c>
      <c r="AE69" s="6"/>
      <c r="AF69" s="30">
        <f t="shared" si="11"/>
        <v>0.9232217014</v>
      </c>
      <c r="AG69" s="30" t="str">
        <f>MIN(1,SUM(OFFSET(E69,0,0,-i_Eve_ECG,1)))</f>
        <v>#VALUE!</v>
      </c>
      <c r="AH69" s="30" t="str">
        <f t="shared" si="12"/>
        <v>#VALUE!</v>
      </c>
      <c r="AI69" s="30" t="str">
        <f t="shared" si="13"/>
        <v>#VALUE!</v>
      </c>
      <c r="AJ69" s="30" t="str">
        <f>(AH69*(i_Adv_Fals/i_Adv_Alar)*i_Int_Kend_false)*AJ$25</f>
        <v>#VALUE!</v>
      </c>
      <c r="AK69" s="30" t="str">
        <f>(AH69*(i_Adv_Lead/i_Adv_Alar)*i_Int_Kend_leadsoff)*AK$25</f>
        <v>#VALUE!</v>
      </c>
      <c r="AL69" s="30">
        <f>((SUM(F68:J68)-((I68+J68)*(1-i_Bac_ICU)))+(SUM(F69:J69)-((I69+J69)*(1-i_Bac_ICU))))/2*(C69-C68)</f>
        <v>0.0009049807561</v>
      </c>
      <c r="AM69" s="30">
        <f>(((I68+J68)*(1-i_Bac_ICU))+((I69+J69)*(1-i_Bac_ICU))+K68+E68+E69+K69)/2*(C69-C68)</f>
        <v>0.004957813147</v>
      </c>
      <c r="AN69" s="6"/>
      <c r="AO69" s="6"/>
      <c r="AP69" s="6"/>
      <c r="AQ69" s="6"/>
      <c r="AR69" s="6"/>
      <c r="AS69" s="6"/>
      <c r="AT69" s="6"/>
      <c r="AU69" s="6"/>
    </row>
    <row r="70" ht="14.25" customHeight="1">
      <c r="A70" s="6"/>
      <c r="B70" s="26">
        <f t="shared" ref="B70:C70" si="158">B69+1</f>
        <v>44</v>
      </c>
      <c r="C70" s="26">
        <f t="shared" si="158"/>
        <v>44</v>
      </c>
      <c r="D70" s="26">
        <f t="shared" si="6"/>
        <v>0.1</v>
      </c>
      <c r="E70" s="28">
        <f t="shared" si="15"/>
        <v>0.0001357781124</v>
      </c>
      <c r="F70" s="28">
        <f t="shared" si="16"/>
        <v>0.0001207463196</v>
      </c>
      <c r="G70" s="28">
        <f t="shared" si="17"/>
        <v>0.00003850044723</v>
      </c>
      <c r="H70" s="28">
        <f t="shared" si="18"/>
        <v>0.0001991884643</v>
      </c>
      <c r="I70" s="28">
        <f t="shared" si="19"/>
        <v>0.0008369371653</v>
      </c>
      <c r="J70" s="28">
        <f t="shared" si="20"/>
        <v>0.001964343658</v>
      </c>
      <c r="K70" s="28">
        <f t="shared" si="21"/>
        <v>0.002163285564</v>
      </c>
      <c r="L70" s="28">
        <f t="shared" si="22"/>
        <v>0.892901377</v>
      </c>
      <c r="M70" s="28">
        <f t="shared" si="23"/>
        <v>0.06854480262</v>
      </c>
      <c r="N70" s="28">
        <f t="shared" si="24"/>
        <v>0.003291865812</v>
      </c>
      <c r="O70" s="28">
        <f t="shared" si="25"/>
        <v>0.002697394409</v>
      </c>
      <c r="P70" s="28">
        <f t="shared" si="26"/>
        <v>0.02710578046</v>
      </c>
      <c r="Q70" s="6"/>
      <c r="R70" s="26">
        <f t="shared" si="7"/>
        <v>1</v>
      </c>
      <c r="S70" s="30">
        <f t="shared" si="8"/>
        <v>1.390917773</v>
      </c>
      <c r="T70" s="30">
        <f t="shared" ref="T70:U70" si="159">((F69+F70)/2)*T$25*($C70-$C69)</f>
        <v>0.3974411127</v>
      </c>
      <c r="U70" s="30">
        <f t="shared" si="159"/>
        <v>0.1267262816</v>
      </c>
      <c r="V70" s="30">
        <f t="shared" si="28"/>
        <v>0.5084298851</v>
      </c>
      <c r="W70" s="30">
        <f t="shared" ref="W70:X70" si="160">((I69+I70)/2)*W$25*($C70-$C69)</f>
        <v>1.924385896</v>
      </c>
      <c r="X70" s="30">
        <f t="shared" si="160"/>
        <v>4.456309332</v>
      </c>
      <c r="Y70" s="30">
        <f t="shared" si="30"/>
        <v>5.267871247</v>
      </c>
      <c r="Z70" s="30">
        <f>(L70-OFFSET(L70,-IF(C70-C69&gt;i_Cos_Days,1,MIN(B70,i_Cos_Days)),0))*MIN(i_Cos_Days,($C70-$C69))</f>
        <v>0</v>
      </c>
      <c r="AA70" s="30">
        <f t="shared" si="31"/>
        <v>29.34692752</v>
      </c>
      <c r="AB70" s="30">
        <f t="shared" si="32"/>
        <v>4.225495513</v>
      </c>
      <c r="AC70" s="30">
        <f t="shared" si="33"/>
        <v>0.5154417708</v>
      </c>
      <c r="AD70" s="30">
        <f t="shared" si="34"/>
        <v>0</v>
      </c>
      <c r="AE70" s="6"/>
      <c r="AF70" s="30">
        <f t="shared" si="11"/>
        <v>0.9259964177</v>
      </c>
      <c r="AG70" s="30" t="str">
        <f>MIN(1,SUM(OFFSET(E70,0,0,-i_Eve_ECG,1)))</f>
        <v>#VALUE!</v>
      </c>
      <c r="AH70" s="30" t="str">
        <f t="shared" si="12"/>
        <v>#VALUE!</v>
      </c>
      <c r="AI70" s="30" t="str">
        <f t="shared" si="13"/>
        <v>#VALUE!</v>
      </c>
      <c r="AJ70" s="30" t="str">
        <f>(AH70*(i_Adv_Fals/i_Adv_Alar)*i_Int_Kend_false)*AJ$25</f>
        <v>#VALUE!</v>
      </c>
      <c r="AK70" s="30" t="str">
        <f>(AH70*(i_Adv_Lead/i_Adv_Alar)*i_Int_Kend_leadsoff)*AK$25</f>
        <v>#VALUE!</v>
      </c>
      <c r="AL70" s="30">
        <f>((SUM(F69:J69)-((I69+J69)*(1-i_Bac_ICU)))+(SUM(F70:J70)-((I70+J70)*(1-i_Bac_ICU))))/2*(C70-C69)</f>
        <v>0.0008809017439</v>
      </c>
      <c r="AM70" s="30">
        <f>(((I69+J69)*(1-i_Bac_ICU))+((I70+J70)*(1-i_Bac_ICU))+K69+E69+E70+K70)/2*(C70-C69)</f>
        <v>0.004707865904</v>
      </c>
      <c r="AN70" s="6"/>
      <c r="AO70" s="6"/>
      <c r="AP70" s="6"/>
      <c r="AQ70" s="6"/>
      <c r="AR70" s="6"/>
      <c r="AS70" s="6"/>
      <c r="AT70" s="6"/>
      <c r="AU70" s="6"/>
    </row>
    <row r="71" ht="14.25" customHeight="1">
      <c r="A71" s="6"/>
      <c r="B71" s="26">
        <f t="shared" ref="B71:C71" si="161">B70+1</f>
        <v>45</v>
      </c>
      <c r="C71" s="26">
        <f t="shared" si="161"/>
        <v>45</v>
      </c>
      <c r="D71" s="26">
        <f t="shared" si="6"/>
        <v>0.1</v>
      </c>
      <c r="E71" s="28">
        <f t="shared" si="15"/>
        <v>0.0001357571374</v>
      </c>
      <c r="F71" s="28">
        <f t="shared" si="16"/>
        <v>0.0001207271722</v>
      </c>
      <c r="G71" s="28">
        <f t="shared" si="17"/>
        <v>0.00003849402013</v>
      </c>
      <c r="H71" s="28">
        <f t="shared" si="18"/>
        <v>0.0001966426342</v>
      </c>
      <c r="I71" s="28">
        <f t="shared" si="19"/>
        <v>0.0007894595595</v>
      </c>
      <c r="J71" s="28">
        <f t="shared" si="20"/>
        <v>0.001902238797</v>
      </c>
      <c r="K71" s="28">
        <f t="shared" si="21"/>
        <v>0.002039723677</v>
      </c>
      <c r="L71" s="28">
        <f t="shared" si="22"/>
        <v>0.8954168722</v>
      </c>
      <c r="M71" s="28">
        <f t="shared" si="23"/>
        <v>0.06611938526</v>
      </c>
      <c r="N71" s="28">
        <f t="shared" si="24"/>
        <v>0.003333635252</v>
      </c>
      <c r="O71" s="28">
        <f t="shared" si="25"/>
        <v>0.002717045339</v>
      </c>
      <c r="P71" s="28">
        <f t="shared" si="26"/>
        <v>0.02719001893</v>
      </c>
      <c r="Q71" s="6"/>
      <c r="R71" s="26">
        <f t="shared" si="7"/>
        <v>1</v>
      </c>
      <c r="S71" s="30">
        <f t="shared" si="8"/>
        <v>1.390702903</v>
      </c>
      <c r="T71" s="30">
        <f t="shared" ref="T71:U71" si="162">((F70+F71)/2)*T$25*($C71-$C70)</f>
        <v>0.3973772296</v>
      </c>
      <c r="U71" s="30">
        <f t="shared" si="162"/>
        <v>0.1267047903</v>
      </c>
      <c r="V71" s="30">
        <f t="shared" si="28"/>
        <v>0.5018188335</v>
      </c>
      <c r="W71" s="30">
        <f t="shared" ref="W71:X71" si="163">((I70+I71)/2)*W$25*($C71-$C70)</f>
        <v>1.815213667</v>
      </c>
      <c r="X71" s="30">
        <f t="shared" si="163"/>
        <v>4.315474329</v>
      </c>
      <c r="Y71" s="30">
        <f t="shared" si="30"/>
        <v>4.953876842</v>
      </c>
      <c r="Z71" s="30">
        <f>(L71-OFFSET(L71,-IF(C71-C70&gt;i_Cos_Days,1,MIN(B71,i_Cos_Days)),0))*MIN(i_Cos_Days,($C71-$C70))</f>
        <v>0</v>
      </c>
      <c r="AA71" s="30">
        <f t="shared" si="31"/>
        <v>28.30843225</v>
      </c>
      <c r="AB71" s="30">
        <f t="shared" si="32"/>
        <v>4.22598158</v>
      </c>
      <c r="AC71" s="30">
        <f t="shared" si="33"/>
        <v>0.5155010629</v>
      </c>
      <c r="AD71" s="30">
        <f t="shared" si="34"/>
        <v>0</v>
      </c>
      <c r="AE71" s="6"/>
      <c r="AF71" s="30">
        <f t="shared" si="11"/>
        <v>0.9286575717</v>
      </c>
      <c r="AG71" s="30" t="str">
        <f>MIN(1,SUM(OFFSET(E71,0,0,-i_Eve_ECG,1)))</f>
        <v>#VALUE!</v>
      </c>
      <c r="AH71" s="30" t="str">
        <f t="shared" si="12"/>
        <v>#VALUE!</v>
      </c>
      <c r="AI71" s="30" t="str">
        <f t="shared" si="13"/>
        <v>#VALUE!</v>
      </c>
      <c r="AJ71" s="30" t="str">
        <f>(AH71*(i_Adv_Fals/i_Adv_Alar)*i_Int_Kend_false)*AJ$25</f>
        <v>#VALUE!</v>
      </c>
      <c r="AK71" s="30" t="str">
        <f>(AH71*(i_Adv_Lead/i_Adv_Alar)*i_Int_Kend_leadsoff)*AK$25</f>
        <v>#VALUE!</v>
      </c>
      <c r="AL71" s="30">
        <f>((SUM(F70:J70)-((I70+J70)*(1-i_Bac_ICU)))+(SUM(F71:J71)-((I71+J71)*(1-i_Bac_ICU))))/2*(C71-C70)</f>
        <v>0.0008578500438</v>
      </c>
      <c r="AM71" s="30">
        <f>(((I70+J70)*(1-i_Bac_ICU))+((I71+J71)*(1-i_Bac_ICU))+K70+E70+E71+K71)/2*(C71-C70)</f>
        <v>0.00448306132</v>
      </c>
      <c r="AN71" s="6"/>
      <c r="AO71" s="6"/>
      <c r="AP71" s="6"/>
      <c r="AQ71" s="6"/>
      <c r="AR71" s="6"/>
      <c r="AS71" s="6"/>
      <c r="AT71" s="6"/>
      <c r="AU71" s="6"/>
    </row>
    <row r="72" ht="14.25" customHeight="1">
      <c r="A72" s="6"/>
      <c r="B72" s="26">
        <f t="shared" ref="B72:C72" si="164">B71+1</f>
        <v>46</v>
      </c>
      <c r="C72" s="26">
        <f t="shared" si="164"/>
        <v>46</v>
      </c>
      <c r="D72" s="26">
        <f t="shared" si="6"/>
        <v>0.1</v>
      </c>
      <c r="E72" s="28">
        <f t="shared" si="15"/>
        <v>0.0001357366864</v>
      </c>
      <c r="F72" s="28">
        <f t="shared" si="16"/>
        <v>0.0001207085192</v>
      </c>
      <c r="G72" s="28">
        <f t="shared" si="17"/>
        <v>0.00003848777988</v>
      </c>
      <c r="H72" s="28">
        <f t="shared" si="18"/>
        <v>0.0001942143435</v>
      </c>
      <c r="I72" s="28">
        <f t="shared" si="19"/>
        <v>0.0007446901903</v>
      </c>
      <c r="J72" s="28">
        <f t="shared" si="20"/>
        <v>0.001842060606</v>
      </c>
      <c r="K72" s="28">
        <f t="shared" si="21"/>
        <v>0.001932398797</v>
      </c>
      <c r="L72" s="28">
        <f t="shared" si="22"/>
        <v>0.8978281587</v>
      </c>
      <c r="M72" s="28">
        <f t="shared" si="23"/>
        <v>0.06378070869</v>
      </c>
      <c r="N72" s="28">
        <f t="shared" si="24"/>
        <v>0.003373677987</v>
      </c>
      <c r="O72" s="28">
        <f t="shared" si="25"/>
        <v>0.002735403974</v>
      </c>
      <c r="P72" s="28">
        <f t="shared" si="26"/>
        <v>0.02727375375</v>
      </c>
      <c r="Q72" s="6"/>
      <c r="R72" s="26">
        <f t="shared" si="7"/>
        <v>1</v>
      </c>
      <c r="S72" s="30">
        <f t="shared" si="8"/>
        <v>1.390493402</v>
      </c>
      <c r="T72" s="30">
        <f t="shared" ref="T72:U72" si="165">((F71+F72)/2)*T$25*($C72-$C71)</f>
        <v>0.397315024</v>
      </c>
      <c r="U72" s="30">
        <f t="shared" si="165"/>
        <v>0.1266839445</v>
      </c>
      <c r="V72" s="30">
        <f t="shared" si="28"/>
        <v>0.4955128421</v>
      </c>
      <c r="W72" s="30">
        <f t="shared" ref="W72:X72" si="166">((I71+I72)/2)*W$25*($C72-$C71)</f>
        <v>1.712257256</v>
      </c>
      <c r="X72" s="30">
        <f t="shared" si="166"/>
        <v>4.178994796</v>
      </c>
      <c r="Y72" s="30">
        <f t="shared" si="30"/>
        <v>4.681742154</v>
      </c>
      <c r="Z72" s="30">
        <f>(L72-OFFSET(L72,-IF(C72-C71&gt;i_Cos_Days,1,MIN(B72,i_Cos_Days)),0))*MIN(i_Cos_Days,($C72-$C71))</f>
        <v>0</v>
      </c>
      <c r="AA72" s="30">
        <f t="shared" si="31"/>
        <v>27.30694825</v>
      </c>
      <c r="AB72" s="30">
        <f t="shared" si="32"/>
        <v>4.226377512</v>
      </c>
      <c r="AC72" s="30">
        <f t="shared" si="33"/>
        <v>0.5155493602</v>
      </c>
      <c r="AD72" s="30">
        <f t="shared" si="34"/>
        <v>0</v>
      </c>
      <c r="AE72" s="6"/>
      <c r="AF72" s="30">
        <f t="shared" si="11"/>
        <v>0.9312109944</v>
      </c>
      <c r="AG72" s="30" t="str">
        <f>MIN(1,SUM(OFFSET(E72,0,0,-i_Eve_ECG,1)))</f>
        <v>#VALUE!</v>
      </c>
      <c r="AH72" s="30" t="str">
        <f t="shared" si="12"/>
        <v>#VALUE!</v>
      </c>
      <c r="AI72" s="30" t="str">
        <f t="shared" si="13"/>
        <v>#VALUE!</v>
      </c>
      <c r="AJ72" s="30" t="str">
        <f>(AH72*(i_Adv_Fals/i_Adv_Alar)*i_Int_Kend_false)*AJ$25</f>
        <v>#VALUE!</v>
      </c>
      <c r="AK72" s="30" t="str">
        <f>(AH72*(i_Adv_Lead/i_Adv_Alar)*i_Int_Kend_leadsoff)*AK$25</f>
        <v>#VALUE!</v>
      </c>
      <c r="AL72" s="30">
        <f>((SUM(F71:J71)-((I71+J71)*(1-i_Bac_ICU)))+(SUM(F72:J72)-((I72+J72)*(1-i_Bac_ICU))))/2*(C72-C71)</f>
        <v>0.0008357827337</v>
      </c>
      <c r="AM72" s="30">
        <f>(((I71+J71)*(1-i_Bac_ICU))+((I72+J72)*(1-i_Bac_ICU))+K71+E71+E72+K72)/2*(C72-C71)</f>
        <v>0.004279887226</v>
      </c>
      <c r="AN72" s="6"/>
      <c r="AO72" s="6"/>
      <c r="AP72" s="6"/>
      <c r="AQ72" s="6"/>
      <c r="AR72" s="6"/>
      <c r="AS72" s="6"/>
      <c r="AT72" s="6"/>
      <c r="AU72" s="6"/>
    </row>
    <row r="73" ht="14.25" customHeight="1">
      <c r="A73" s="6"/>
      <c r="B73" s="26">
        <f t="shared" ref="B73:C73" si="167">B72+1</f>
        <v>47</v>
      </c>
      <c r="C73" s="26">
        <f t="shared" si="167"/>
        <v>47</v>
      </c>
      <c r="D73" s="26">
        <f t="shared" si="6"/>
        <v>0.1</v>
      </c>
      <c r="E73" s="28">
        <f t="shared" si="15"/>
        <v>0.00013571673</v>
      </c>
      <c r="F73" s="28">
        <f t="shared" si="16"/>
        <v>0.0001206903324</v>
      </c>
      <c r="G73" s="28">
        <f t="shared" si="17"/>
        <v>0.00003848171163</v>
      </c>
      <c r="H73" s="28">
        <f t="shared" si="18"/>
        <v>0.0001918982102</v>
      </c>
      <c r="I73" s="28">
        <f t="shared" si="19"/>
        <v>0.0007024826607</v>
      </c>
      <c r="J73" s="28">
        <f t="shared" si="20"/>
        <v>0.001783759194</v>
      </c>
      <c r="K73" s="28">
        <f t="shared" si="21"/>
        <v>0.001838775356</v>
      </c>
      <c r="L73" s="28">
        <f t="shared" si="22"/>
        <v>0.9001403897</v>
      </c>
      <c r="M73" s="28">
        <f t="shared" si="23"/>
        <v>0.06152616112</v>
      </c>
      <c r="N73" s="28">
        <f t="shared" si="24"/>
        <v>0.003412062837</v>
      </c>
      <c r="O73" s="28">
        <f t="shared" si="25"/>
        <v>0.002752552902</v>
      </c>
      <c r="P73" s="28">
        <f t="shared" si="26"/>
        <v>0.02735702926</v>
      </c>
      <c r="Q73" s="6"/>
      <c r="R73" s="26">
        <f t="shared" si="7"/>
        <v>1</v>
      </c>
      <c r="S73" s="30">
        <f t="shared" si="8"/>
        <v>1.390288968</v>
      </c>
      <c r="T73" s="30">
        <f t="shared" ref="T73:U73" si="168">((F72+F73)/2)*T$25*($C73-$C72)</f>
        <v>0.3972543992</v>
      </c>
      <c r="U73" s="30">
        <f t="shared" si="168"/>
        <v>0.1266636892</v>
      </c>
      <c r="V73" s="30">
        <f t="shared" si="28"/>
        <v>0.4894980511</v>
      </c>
      <c r="W73" s="30">
        <f t="shared" ref="W73:X73" si="169">((I72+I73)/2)*W$25*($C73-$C72)</f>
        <v>1.615182752</v>
      </c>
      <c r="X73" s="30">
        <f t="shared" si="169"/>
        <v>4.046760273</v>
      </c>
      <c r="Y73" s="30">
        <f t="shared" si="30"/>
        <v>4.444894415</v>
      </c>
      <c r="Z73" s="30">
        <f>(L73-OFFSET(L73,-IF(C73-C72&gt;i_Cos_Days,1,MIN(B73,i_Cos_Days)),0))*MIN(i_Cos_Days,($C73-$C72))</f>
        <v>0</v>
      </c>
      <c r="AA73" s="30">
        <f t="shared" si="31"/>
        <v>26.34138364</v>
      </c>
      <c r="AB73" s="30">
        <f t="shared" si="32"/>
        <v>4.226696664</v>
      </c>
      <c r="AC73" s="30">
        <f t="shared" si="33"/>
        <v>0.5155882917</v>
      </c>
      <c r="AD73" s="30">
        <f t="shared" si="34"/>
        <v>0</v>
      </c>
      <c r="AE73" s="6"/>
      <c r="AF73" s="30">
        <f t="shared" si="11"/>
        <v>0.9336620347</v>
      </c>
      <c r="AG73" s="30" t="str">
        <f>MIN(1,SUM(OFFSET(E73,0,0,-i_Eve_ECG,1)))</f>
        <v>#VALUE!</v>
      </c>
      <c r="AH73" s="30" t="str">
        <f t="shared" si="12"/>
        <v>#VALUE!</v>
      </c>
      <c r="AI73" s="30" t="str">
        <f t="shared" si="13"/>
        <v>#VALUE!</v>
      </c>
      <c r="AJ73" s="30" t="str">
        <f>(AH73*(i_Adv_Fals/i_Adv_Alar)*i_Int_Kend_false)*AJ$25</f>
        <v>#VALUE!</v>
      </c>
      <c r="AK73" s="30" t="str">
        <f>(AH73*(i_Adv_Lead/i_Adv_Alar)*i_Int_Kend_leadsoff)*AK$25</f>
        <v>#VALUE!</v>
      </c>
      <c r="AL73" s="30">
        <f>((SUM(F72:J72)-((I72+J72)*(1-i_Bac_ICU)))+(SUM(F73:J73)-((I73+J73)*(1-i_Bac_ICU))))/2*(C73-C72)</f>
        <v>0.0008146580091</v>
      </c>
      <c r="AM73" s="30">
        <f>(((I72+J72)*(1-i_Bac_ICU))+((I73+J73)*(1-i_Bac_ICU))+K72+E72+E73+K73)/2*(C73-C72)</f>
        <v>0.004095392549</v>
      </c>
      <c r="AN73" s="6"/>
      <c r="AO73" s="6"/>
      <c r="AP73" s="6"/>
      <c r="AQ73" s="6"/>
      <c r="AR73" s="6"/>
      <c r="AS73" s="6"/>
      <c r="AT73" s="6"/>
      <c r="AU73" s="6"/>
    </row>
    <row r="74" ht="14.25" customHeight="1">
      <c r="A74" s="6"/>
      <c r="B74" s="26">
        <f t="shared" ref="B74:C74" si="170">B73+1</f>
        <v>48</v>
      </c>
      <c r="C74" s="26">
        <f t="shared" si="170"/>
        <v>48</v>
      </c>
      <c r="D74" s="26">
        <f t="shared" si="6"/>
        <v>0.1</v>
      </c>
      <c r="E74" s="28">
        <f t="shared" si="15"/>
        <v>0.0001356972407</v>
      </c>
      <c r="F74" s="28">
        <f t="shared" si="16"/>
        <v>0.0001206725855</v>
      </c>
      <c r="G74" s="28">
        <f t="shared" si="17"/>
        <v>0.00003847580305</v>
      </c>
      <c r="H74" s="28">
        <f t="shared" si="18"/>
        <v>0.0001896890326</v>
      </c>
      <c r="I74" s="28">
        <f t="shared" si="19"/>
        <v>0.0006626970243</v>
      </c>
      <c r="J74" s="28">
        <f t="shared" si="20"/>
        <v>0.001727284277</v>
      </c>
      <c r="K74" s="28">
        <f t="shared" si="21"/>
        <v>0.001756737792</v>
      </c>
      <c r="L74" s="28">
        <f t="shared" si="22"/>
        <v>0.9023583127</v>
      </c>
      <c r="M74" s="28">
        <f t="shared" si="23"/>
        <v>0.05935312361</v>
      </c>
      <c r="N74" s="28">
        <f t="shared" si="24"/>
        <v>0.00344885622</v>
      </c>
      <c r="O74" s="28">
        <f t="shared" si="25"/>
        <v>0.002768569729</v>
      </c>
      <c r="P74" s="28">
        <f t="shared" si="26"/>
        <v>0.02743988399</v>
      </c>
      <c r="Q74" s="6"/>
      <c r="R74" s="26">
        <f t="shared" si="7"/>
        <v>1</v>
      </c>
      <c r="S74" s="30">
        <f t="shared" si="8"/>
        <v>1.390089319</v>
      </c>
      <c r="T74" s="30">
        <f t="shared" ref="T74:U74" si="171">((F73+F74)/2)*T$25*($C74-$C73)</f>
        <v>0.3971952655</v>
      </c>
      <c r="U74" s="30">
        <f t="shared" si="171"/>
        <v>0.1266439797</v>
      </c>
      <c r="V74" s="30">
        <f t="shared" si="28"/>
        <v>0.4837610429</v>
      </c>
      <c r="W74" s="30">
        <f t="shared" ref="W74:X74" si="172">((I73+I74)/2)*W$25*($C74-$C73)</f>
        <v>1.523670568</v>
      </c>
      <c r="X74" s="30">
        <f t="shared" si="172"/>
        <v>3.918658957</v>
      </c>
      <c r="Y74" s="30">
        <f t="shared" si="30"/>
        <v>4.237851572</v>
      </c>
      <c r="Z74" s="30">
        <f>(L74-OFFSET(L74,-IF(C74-C73&gt;i_Cos_Days,1,MIN(B74,i_Cos_Days)),0))*MIN(i_Cos_Days,($C74-$C73))</f>
        <v>0</v>
      </c>
      <c r="AA74" s="30">
        <f t="shared" si="31"/>
        <v>25.41063884</v>
      </c>
      <c r="AB74" s="30">
        <f t="shared" si="32"/>
        <v>4.226950209</v>
      </c>
      <c r="AC74" s="30">
        <f t="shared" si="33"/>
        <v>0.5156192199</v>
      </c>
      <c r="AD74" s="30">
        <f t="shared" si="34"/>
        <v>0</v>
      </c>
      <c r="AE74" s="6"/>
      <c r="AF74" s="30">
        <f t="shared" si="11"/>
        <v>0.9360156226</v>
      </c>
      <c r="AG74" s="30" t="str">
        <f>MIN(1,SUM(OFFSET(E74,0,0,-i_Eve_ECG,1)))</f>
        <v>#VALUE!</v>
      </c>
      <c r="AH74" s="30" t="str">
        <f t="shared" si="12"/>
        <v>#VALUE!</v>
      </c>
      <c r="AI74" s="30" t="str">
        <f t="shared" si="13"/>
        <v>#VALUE!</v>
      </c>
      <c r="AJ74" s="30" t="str">
        <f>(AH74*(i_Adv_Fals/i_Adv_Alar)*i_Int_Kend_false)*AJ$25</f>
        <v>#VALUE!</v>
      </c>
      <c r="AK74" s="30" t="str">
        <f>(AH74*(i_Adv_Lead/i_Adv_Alar)*i_Int_Kend_leadsoff)*AK$25</f>
        <v>#VALUE!</v>
      </c>
      <c r="AL74" s="30">
        <f>((SUM(F73:J73)-((I73+J73)*(1-i_Bac_ICU)))+(SUM(F74:J74)-((I74+J74)*(1-i_Bac_ICU))))/2*(C74-C73)</f>
        <v>0.000794435305</v>
      </c>
      <c r="AM74" s="30">
        <f>(((I73+J73)*(1-i_Bac_ICU))+((I74+J74)*(1-i_Bac_ICU))+K73+E73+E74+K74)/2*(C74-C73)</f>
        <v>0.00392709367</v>
      </c>
      <c r="AN74" s="6"/>
      <c r="AO74" s="6"/>
      <c r="AP74" s="6"/>
      <c r="AQ74" s="6"/>
      <c r="AR74" s="6"/>
      <c r="AS74" s="6"/>
      <c r="AT74" s="6"/>
      <c r="AU74" s="6"/>
    </row>
    <row r="75" ht="14.25" customHeight="1">
      <c r="A75" s="6"/>
      <c r="B75" s="26">
        <f t="shared" ref="B75:C75" si="173">B74+1</f>
        <v>49</v>
      </c>
      <c r="C75" s="26">
        <f t="shared" si="173"/>
        <v>49</v>
      </c>
      <c r="D75" s="26">
        <f t="shared" si="6"/>
        <v>0.1</v>
      </c>
      <c r="E75" s="28">
        <f t="shared" si="15"/>
        <v>0.0001356781929</v>
      </c>
      <c r="F75" s="28">
        <f t="shared" si="16"/>
        <v>0.0001206552541</v>
      </c>
      <c r="G75" s="28">
        <f t="shared" si="17"/>
        <v>0.00003847004357</v>
      </c>
      <c r="H75" s="28">
        <f t="shared" si="18"/>
        <v>0.0001875817983</v>
      </c>
      <c r="I75" s="28">
        <f t="shared" si="19"/>
        <v>0.0006251997737</v>
      </c>
      <c r="J75" s="28">
        <f t="shared" si="20"/>
        <v>0.001672585531</v>
      </c>
      <c r="K75" s="28">
        <f t="shared" si="21"/>
        <v>0.001684519656</v>
      </c>
      <c r="L75" s="28">
        <f t="shared" si="22"/>
        <v>0.9044863206</v>
      </c>
      <c r="M75" s="28">
        <f t="shared" si="23"/>
        <v>0.057258988</v>
      </c>
      <c r="N75" s="28">
        <f t="shared" si="24"/>
        <v>0.003484122182</v>
      </c>
      <c r="O75" s="28">
        <f t="shared" si="25"/>
        <v>0.002783527324</v>
      </c>
      <c r="P75" s="28">
        <f t="shared" si="26"/>
        <v>0.02752235161</v>
      </c>
      <c r="Q75" s="6"/>
      <c r="R75" s="26">
        <f t="shared" si="7"/>
        <v>1</v>
      </c>
      <c r="S75" s="30">
        <f t="shared" si="8"/>
        <v>1.389894192</v>
      </c>
      <c r="T75" s="30">
        <f t="shared" ref="T75:U75" si="174">((F74+F75)/2)*T$25*($C75-$C74)</f>
        <v>0.3971375394</v>
      </c>
      <c r="U75" s="30">
        <f t="shared" si="174"/>
        <v>0.1266247783</v>
      </c>
      <c r="V75" s="30">
        <f t="shared" si="28"/>
        <v>0.4782888685</v>
      </c>
      <c r="W75" s="30">
        <f t="shared" ref="W75:X75" si="175">((I74+I75)/2)*W$25*($C75-$C74)</f>
        <v>1.437415505</v>
      </c>
      <c r="X75" s="30">
        <f t="shared" si="175"/>
        <v>3.79457856</v>
      </c>
      <c r="Y75" s="30">
        <f t="shared" si="30"/>
        <v>4.056038091</v>
      </c>
      <c r="Z75" s="30">
        <f>(L75-OFFSET(L75,-IF(C75-C74&gt;i_Cos_Days,1,MIN(B75,i_Cos_Days)),0))*MIN(i_Cos_Days,($C75-$C74))</f>
        <v>0</v>
      </c>
      <c r="AA75" s="30">
        <f t="shared" si="31"/>
        <v>24.51361504</v>
      </c>
      <c r="AB75" s="30">
        <f t="shared" si="32"/>
        <v>4.2271475</v>
      </c>
      <c r="AC75" s="30">
        <f t="shared" si="33"/>
        <v>0.5156432863</v>
      </c>
      <c r="AD75" s="30">
        <f t="shared" si="34"/>
        <v>0</v>
      </c>
      <c r="AE75" s="6"/>
      <c r="AF75" s="30">
        <f t="shared" si="11"/>
        <v>0.9382763217</v>
      </c>
      <c r="AG75" s="30" t="str">
        <f>MIN(1,SUM(OFFSET(E75,0,0,-i_Eve_ECG,1)))</f>
        <v>#VALUE!</v>
      </c>
      <c r="AH75" s="30" t="str">
        <f t="shared" si="12"/>
        <v>#VALUE!</v>
      </c>
      <c r="AI75" s="30" t="str">
        <f t="shared" si="13"/>
        <v>#VALUE!</v>
      </c>
      <c r="AJ75" s="30" t="str">
        <f>(AH75*(i_Adv_Fals/i_Adv_Alar)*i_Int_Kend_false)*AJ$25</f>
        <v>#VALUE!</v>
      </c>
      <c r="AK75" s="30" t="str">
        <f>(AH75*(i_Adv_Lead/i_Adv_Alar)*i_Int_Kend_leadsoff)*AK$25</f>
        <v>#VALUE!</v>
      </c>
      <c r="AL75" s="30">
        <f>((SUM(F74:J74)-((I74+J74)*(1-i_Bac_ICU)))+(SUM(F75:J75)-((I75+J75)*(1-i_Bac_ICU))))/2*(C75-C74)</f>
        <v>0.0007750753809</v>
      </c>
      <c r="AM75" s="30">
        <f>(((I74+J74)*(1-i_Bac_ICU))+((I75+J75)*(1-i_Bac_ICU))+K74+E74+E75+K75)/2*(C75-C74)</f>
        <v>0.003772896622</v>
      </c>
      <c r="AN75" s="6"/>
      <c r="AO75" s="6"/>
      <c r="AP75" s="6"/>
      <c r="AQ75" s="6"/>
      <c r="AR75" s="6"/>
      <c r="AS75" s="6"/>
      <c r="AT75" s="6"/>
      <c r="AU75" s="6"/>
    </row>
    <row r="76" ht="14.25" customHeight="1">
      <c r="A76" s="6"/>
      <c r="B76" s="26">
        <f t="shared" ref="B76:C76" si="176">B75+1</f>
        <v>50</v>
      </c>
      <c r="C76" s="26">
        <f t="shared" si="176"/>
        <v>50</v>
      </c>
      <c r="D76" s="26">
        <f t="shared" si="6"/>
        <v>0.1</v>
      </c>
      <c r="E76" s="28">
        <f t="shared" si="15"/>
        <v>0.0001356595626</v>
      </c>
      <c r="F76" s="28">
        <f t="shared" si="16"/>
        <v>0.0001206383154</v>
      </c>
      <c r="G76" s="28">
        <f t="shared" si="17"/>
        <v>0.0000384644239</v>
      </c>
      <c r="H76" s="28">
        <f t="shared" si="18"/>
        <v>0.0001855716885</v>
      </c>
      <c r="I76" s="28">
        <f t="shared" si="19"/>
        <v>0.0005898637662</v>
      </c>
      <c r="J76" s="28">
        <f t="shared" si="20"/>
        <v>0.001619612868</v>
      </c>
      <c r="K76" s="28">
        <f t="shared" si="21"/>
        <v>0.001620644761</v>
      </c>
      <c r="L76" s="28">
        <f t="shared" si="22"/>
        <v>0.9065284953</v>
      </c>
      <c r="M76" s="28">
        <f t="shared" si="23"/>
        <v>0.0552411712</v>
      </c>
      <c r="N76" s="28">
        <f t="shared" si="24"/>
        <v>0.003517922426</v>
      </c>
      <c r="O76" s="28">
        <f t="shared" si="25"/>
        <v>0.002797494067</v>
      </c>
      <c r="P76" s="28">
        <f t="shared" si="26"/>
        <v>0.02760446165</v>
      </c>
      <c r="Q76" s="6"/>
      <c r="R76" s="26">
        <f t="shared" si="7"/>
        <v>1</v>
      </c>
      <c r="S76" s="30">
        <f t="shared" si="8"/>
        <v>1.389703342</v>
      </c>
      <c r="T76" s="30">
        <f t="shared" ref="T76:U76" si="177">((F75+F76)/2)*T$25*($C76-$C75)</f>
        <v>0.3970811433</v>
      </c>
      <c r="U76" s="30">
        <f t="shared" si="177"/>
        <v>0.1266060524</v>
      </c>
      <c r="V76" s="30">
        <f t="shared" si="28"/>
        <v>0.4730690644</v>
      </c>
      <c r="W76" s="30">
        <f t="shared" ref="W76:X76" si="178">((I75+I76)/2)*W$25*($C76-$C75)</f>
        <v>1.356126651</v>
      </c>
      <c r="X76" s="30">
        <f t="shared" si="178"/>
        <v>3.674407011</v>
      </c>
      <c r="Y76" s="30">
        <f t="shared" si="30"/>
        <v>3.89563204</v>
      </c>
      <c r="Z76" s="30">
        <f>(L76-OFFSET(L76,-IF(C76-C75&gt;i_Cos_Days,1,MIN(B76,i_Cos_Days)),0))*MIN(i_Cos_Days,($C76-$C75))</f>
        <v>0</v>
      </c>
      <c r="AA76" s="30">
        <f t="shared" si="31"/>
        <v>23.64922097</v>
      </c>
      <c r="AB76" s="30">
        <f t="shared" si="32"/>
        <v>4.227296384</v>
      </c>
      <c r="AC76" s="30">
        <f t="shared" si="33"/>
        <v>0.5156614477</v>
      </c>
      <c r="AD76" s="30">
        <f t="shared" si="34"/>
        <v>0</v>
      </c>
      <c r="AE76" s="6"/>
      <c r="AF76" s="30">
        <f t="shared" si="11"/>
        <v>0.9404483734</v>
      </c>
      <c r="AG76" s="30" t="str">
        <f>MIN(1,SUM(OFFSET(E76,0,0,-i_Eve_ECG,1)))</f>
        <v>#VALUE!</v>
      </c>
      <c r="AH76" s="30" t="str">
        <f t="shared" si="12"/>
        <v>#VALUE!</v>
      </c>
      <c r="AI76" s="30" t="str">
        <f t="shared" si="13"/>
        <v>#VALUE!</v>
      </c>
      <c r="AJ76" s="30" t="str">
        <f>(AH76*(i_Adv_Fals/i_Adv_Alar)*i_Int_Kend_false)*AJ$25</f>
        <v>#VALUE!</v>
      </c>
      <c r="AK76" s="30" t="str">
        <f>(AH76*(i_Adv_Lead/i_Adv_Alar)*i_Int_Kend_leadsoff)*AK$25</f>
        <v>#VALUE!</v>
      </c>
      <c r="AL76" s="30">
        <f>((SUM(F75:J75)-((I75+J75)*(1-i_Bac_ICU)))+(SUM(F76:J76)-((I76+J76)*(1-i_Bac_ICU))))/2*(C76-C75)</f>
        <v>0.0007565403756</v>
      </c>
      <c r="AM76" s="30">
        <f>(((I75+J75)*(1-i_Bac_ICU))+((I76+J76)*(1-i_Bac_ICU))+K75+E75+E76+K76)/2*(C76-C75)</f>
        <v>0.003631032442</v>
      </c>
      <c r="AN76" s="6"/>
      <c r="AO76" s="6"/>
      <c r="AP76" s="6"/>
      <c r="AQ76" s="6"/>
      <c r="AR76" s="6"/>
      <c r="AS76" s="6"/>
      <c r="AT76" s="6"/>
      <c r="AU76" s="6"/>
    </row>
    <row r="77" ht="14.25" customHeight="1">
      <c r="A77" s="6"/>
      <c r="B77" s="26">
        <f t="shared" ref="B77:C77" si="179">B76+1</f>
        <v>51</v>
      </c>
      <c r="C77" s="26">
        <f t="shared" si="179"/>
        <v>51</v>
      </c>
      <c r="D77" s="26">
        <f t="shared" si="6"/>
        <v>0.1</v>
      </c>
      <c r="E77" s="28">
        <f t="shared" si="15"/>
        <v>0.0001356413274</v>
      </c>
      <c r="F77" s="28">
        <f t="shared" si="16"/>
        <v>0.0001206217481</v>
      </c>
      <c r="G77" s="28">
        <f t="shared" si="17"/>
        <v>0.00003845893571</v>
      </c>
      <c r="H77" s="28">
        <f t="shared" si="18"/>
        <v>0.0001836540803</v>
      </c>
      <c r="I77" s="28">
        <f t="shared" si="19"/>
        <v>0.0005565681022</v>
      </c>
      <c r="J77" s="28">
        <f t="shared" si="20"/>
        <v>0.001568316657</v>
      </c>
      <c r="K77" s="28">
        <f t="shared" si="21"/>
        <v>0.001563878326</v>
      </c>
      <c r="L77" s="28">
        <f t="shared" si="22"/>
        <v>0.9084886439</v>
      </c>
      <c r="M77" s="28">
        <f t="shared" si="23"/>
        <v>0.05329712636</v>
      </c>
      <c r="N77" s="28">
        <f t="shared" si="24"/>
        <v>0.003550316358</v>
      </c>
      <c r="O77" s="28">
        <f t="shared" si="25"/>
        <v>0.002810534087</v>
      </c>
      <c r="P77" s="28">
        <f t="shared" si="26"/>
        <v>0.02768624016</v>
      </c>
      <c r="Q77" s="6"/>
      <c r="R77" s="26">
        <f t="shared" si="7"/>
        <v>1</v>
      </c>
      <c r="S77" s="30">
        <f t="shared" si="8"/>
        <v>1.38951654</v>
      </c>
      <c r="T77" s="30">
        <f t="shared" ref="T77:U77" si="180">((F76+F77)/2)*T$25*($C77-$C76)</f>
        <v>0.3970260045</v>
      </c>
      <c r="U77" s="30">
        <f t="shared" si="180"/>
        <v>0.1265877729</v>
      </c>
      <c r="V77" s="30">
        <f t="shared" si="28"/>
        <v>0.4680896606</v>
      </c>
      <c r="W77" s="30">
        <f t="shared" ref="W77:X77" si="181">((I76+I77)/2)*W$25*($C77-$C76)</f>
        <v>1.279527168</v>
      </c>
      <c r="X77" s="30">
        <f t="shared" si="181"/>
        <v>3.558033014</v>
      </c>
      <c r="Y77" s="30">
        <f t="shared" si="30"/>
        <v>3.753438136</v>
      </c>
      <c r="Z77" s="30">
        <f>(L77-OFFSET(L77,-IF(C77-C76&gt;i_Cos_Days,1,MIN(B77,i_Cos_Days)),0))*MIN(i_Cos_Days,($C77-$C76))</f>
        <v>0</v>
      </c>
      <c r="AA77" s="30">
        <f t="shared" si="31"/>
        <v>22.81637822</v>
      </c>
      <c r="AB77" s="30">
        <f t="shared" si="32"/>
        <v>4.227403448</v>
      </c>
      <c r="AC77" s="30">
        <f t="shared" si="33"/>
        <v>0.5156745077</v>
      </c>
      <c r="AD77" s="30">
        <f t="shared" si="34"/>
        <v>0</v>
      </c>
      <c r="AE77" s="6"/>
      <c r="AF77" s="30">
        <f t="shared" si="11"/>
        <v>0.9425357345</v>
      </c>
      <c r="AG77" s="30" t="str">
        <f>MIN(1,SUM(OFFSET(E77,0,0,-i_Eve_ECG,1)))</f>
        <v>#VALUE!</v>
      </c>
      <c r="AH77" s="30" t="str">
        <f t="shared" si="12"/>
        <v>#VALUE!</v>
      </c>
      <c r="AI77" s="30" t="str">
        <f t="shared" si="13"/>
        <v>#VALUE!</v>
      </c>
      <c r="AJ77" s="30" t="str">
        <f>(AH77*(i_Adv_Fals/i_Adv_Alar)*i_Int_Kend_false)*AJ$25</f>
        <v>#VALUE!</v>
      </c>
      <c r="AK77" s="30" t="str">
        <f>(AH77*(i_Adv_Lead/i_Adv_Alar)*i_Int_Kend_leadsoff)*AK$25</f>
        <v>#VALUE!</v>
      </c>
      <c r="AL77" s="30">
        <f>((SUM(F76:J76)-((I76+J76)*(1-i_Bac_ICU)))+(SUM(F77:J77)-((I77+J77)*(1-i_Bac_ICU))))/2*(C77-C76)</f>
        <v>0.0007387938382</v>
      </c>
      <c r="AM77" s="30">
        <f>(((I76+J76)*(1-i_Bac_ICU))+((I77+J77)*(1-i_Bac_ICU))+K76+E76+E77+K77)/2*(C77-C76)</f>
        <v>0.003500003443</v>
      </c>
      <c r="AN77" s="6"/>
      <c r="AO77" s="6"/>
      <c r="AP77" s="6"/>
      <c r="AQ77" s="6"/>
      <c r="AR77" s="6"/>
      <c r="AS77" s="6"/>
      <c r="AT77" s="6"/>
      <c r="AU77" s="6"/>
    </row>
    <row r="78" ht="14.25" customHeight="1">
      <c r="A78" s="6"/>
      <c r="B78" s="26">
        <f t="shared" ref="B78:C78" si="182">B77+1</f>
        <v>52</v>
      </c>
      <c r="C78" s="26">
        <f t="shared" si="182"/>
        <v>52</v>
      </c>
      <c r="D78" s="26">
        <f t="shared" si="6"/>
        <v>0.1</v>
      </c>
      <c r="E78" s="28">
        <f t="shared" si="15"/>
        <v>0.0001356234664</v>
      </c>
      <c r="F78" s="28">
        <f t="shared" si="16"/>
        <v>0.0001206055321</v>
      </c>
      <c r="G78" s="28">
        <f t="shared" si="17"/>
        <v>0.00003845357145</v>
      </c>
      <c r="H78" s="28">
        <f t="shared" si="18"/>
        <v>0.000181824546</v>
      </c>
      <c r="I78" s="28">
        <f t="shared" si="19"/>
        <v>0.0005251979678</v>
      </c>
      <c r="J78" s="28">
        <f t="shared" si="20"/>
        <v>0.001518647904</v>
      </c>
      <c r="K78" s="28">
        <f t="shared" si="21"/>
        <v>0.001513186394</v>
      </c>
      <c r="L78" s="28">
        <f t="shared" si="22"/>
        <v>0.9103703301</v>
      </c>
      <c r="M78" s="28">
        <f t="shared" si="23"/>
        <v>0.05142435171</v>
      </c>
      <c r="N78" s="28">
        <f t="shared" si="24"/>
        <v>0.003581361142</v>
      </c>
      <c r="O78" s="28">
        <f t="shared" si="25"/>
        <v>0.002822707496</v>
      </c>
      <c r="P78" s="28">
        <f t="shared" si="26"/>
        <v>0.02776771019</v>
      </c>
      <c r="Q78" s="6"/>
      <c r="R78" s="26">
        <f t="shared" si="7"/>
        <v>1</v>
      </c>
      <c r="S78" s="30">
        <f t="shared" si="8"/>
        <v>1.389333571</v>
      </c>
      <c r="T78" s="30">
        <f t="shared" ref="T78:U78" si="183">((F77+F78)/2)*T$25*($C78-$C77)</f>
        <v>0.3969720552</v>
      </c>
      <c r="U78" s="30">
        <f t="shared" si="183"/>
        <v>0.1265699137</v>
      </c>
      <c r="V78" s="30">
        <f t="shared" si="28"/>
        <v>0.4633391833</v>
      </c>
      <c r="W78" s="30">
        <f t="shared" ref="W78:X78" si="184">((I77+I78)/2)*W$25*($C78-$C77)</f>
        <v>1.207353977</v>
      </c>
      <c r="X78" s="30">
        <f t="shared" si="184"/>
        <v>3.445346497</v>
      </c>
      <c r="Y78" s="30">
        <f t="shared" si="30"/>
        <v>3.626782331</v>
      </c>
      <c r="Z78" s="30">
        <f>(L78-OFFSET(L78,-IF(C78-C77&gt;i_Cos_Days,1,MIN(B78,i_Cos_Days)),0))*MIN(i_Cos_Days,($C78-$C77))</f>
        <v>0</v>
      </c>
      <c r="AA78" s="30">
        <f t="shared" si="31"/>
        <v>22.01402551</v>
      </c>
      <c r="AB78" s="30">
        <f t="shared" si="32"/>
        <v>4.227474231</v>
      </c>
      <c r="AC78" s="30">
        <f t="shared" si="33"/>
        <v>0.5156831421</v>
      </c>
      <c r="AD78" s="30">
        <f t="shared" si="34"/>
        <v>0</v>
      </c>
      <c r="AE78" s="6"/>
      <c r="AF78" s="30">
        <f t="shared" si="11"/>
        <v>0.9445421089</v>
      </c>
      <c r="AG78" s="30" t="str">
        <f>MIN(1,SUM(OFFSET(E78,0,0,-i_Eve_ECG,1)))</f>
        <v>#VALUE!</v>
      </c>
      <c r="AH78" s="30" t="str">
        <f t="shared" si="12"/>
        <v>#VALUE!</v>
      </c>
      <c r="AI78" s="30" t="str">
        <f t="shared" si="13"/>
        <v>#VALUE!</v>
      </c>
      <c r="AJ78" s="30" t="str">
        <f>(AH78*(i_Adv_Fals/i_Adv_Alar)*i_Int_Kend_false)*AJ$25</f>
        <v>#VALUE!</v>
      </c>
      <c r="AK78" s="30" t="str">
        <f>(AH78*(i_Adv_Lead/i_Adv_Alar)*i_Int_Kend_leadsoff)*AK$25</f>
        <v>#VALUE!</v>
      </c>
      <c r="AL78" s="30">
        <f>((SUM(F77:J77)-((I77+J77)*(1-i_Bac_ICU)))+(SUM(F78:J78)-((I78+J78)*(1-i_Bac_ICU))))/2*(C78-C77)</f>
        <v>0.0007218007388</v>
      </c>
      <c r="AM78" s="30">
        <f>(((I77+J77)*(1-i_Bac_ICU))+((I78+J78)*(1-i_Bac_ICU))+K77+E77+E78+K78)/2*(C78-C77)</f>
        <v>0.00337853854</v>
      </c>
      <c r="AN78" s="6"/>
      <c r="AO78" s="6"/>
      <c r="AP78" s="6"/>
      <c r="AQ78" s="6"/>
      <c r="AR78" s="6"/>
      <c r="AS78" s="6"/>
      <c r="AT78" s="6"/>
      <c r="AU78" s="6"/>
    </row>
    <row r="79" ht="14.25" customHeight="1">
      <c r="A79" s="6"/>
      <c r="B79" s="26">
        <f t="shared" ref="B79:C79" si="185">B78+1</f>
        <v>53</v>
      </c>
      <c r="C79" s="26">
        <f t="shared" si="185"/>
        <v>53</v>
      </c>
      <c r="D79" s="26">
        <f t="shared" si="6"/>
        <v>0.1</v>
      </c>
      <c r="E79" s="28">
        <f t="shared" si="15"/>
        <v>0.0001356059597</v>
      </c>
      <c r="F79" s="28">
        <f t="shared" si="16"/>
        <v>0.000120589649</v>
      </c>
      <c r="G79" s="28">
        <f t="shared" si="17"/>
        <v>0.00003844832419</v>
      </c>
      <c r="H79" s="28">
        <f t="shared" si="18"/>
        <v>0.0001800788517</v>
      </c>
      <c r="I79" s="28">
        <f t="shared" si="19"/>
        <v>0.000495644451</v>
      </c>
      <c r="J79" s="28">
        <f t="shared" si="20"/>
        <v>0.001470558389</v>
      </c>
      <c r="K79" s="28">
        <f t="shared" si="21"/>
        <v>0.001467702146</v>
      </c>
      <c r="L79" s="28">
        <f t="shared" si="22"/>
        <v>0.9121769004</v>
      </c>
      <c r="M79" s="28">
        <f t="shared" si="23"/>
        <v>0.04962039723</v>
      </c>
      <c r="N79" s="28">
        <f t="shared" si="24"/>
        <v>0.003611111751</v>
      </c>
      <c r="O79" s="28">
        <f t="shared" si="25"/>
        <v>0.002834070615</v>
      </c>
      <c r="P79" s="28">
        <f t="shared" si="26"/>
        <v>0.02784889226</v>
      </c>
      <c r="Q79" s="6"/>
      <c r="R79" s="26">
        <f t="shared" si="7"/>
        <v>1</v>
      </c>
      <c r="S79" s="30">
        <f t="shared" si="8"/>
        <v>1.389154232</v>
      </c>
      <c r="T79" s="30">
        <f t="shared" ref="T79:U79" si="186">((F78+F79)/2)*T$25*($C79-$C78)</f>
        <v>0.3969192319</v>
      </c>
      <c r="U79" s="30">
        <f t="shared" si="186"/>
        <v>0.126552451</v>
      </c>
      <c r="V79" s="30">
        <f t="shared" si="28"/>
        <v>0.4588066516</v>
      </c>
      <c r="W79" s="30">
        <f t="shared" ref="W79:X79" si="187">((I78+I79)/2)*W$25*($C79-$C78)</f>
        <v>1.139357379</v>
      </c>
      <c r="X79" s="30">
        <f t="shared" si="187"/>
        <v>3.336238958</v>
      </c>
      <c r="Y79" s="30">
        <f t="shared" si="30"/>
        <v>3.513424277</v>
      </c>
      <c r="Z79" s="30">
        <f>(L79-OFFSET(L79,-IF(C79-C78&gt;i_Cos_Days,1,MIN(B79,i_Cos_Days)),0))*MIN(i_Cos_Days,($C79-$C78))</f>
        <v>0</v>
      </c>
      <c r="AA79" s="30">
        <f t="shared" si="31"/>
        <v>21.2411219</v>
      </c>
      <c r="AB79" s="30">
        <f t="shared" si="32"/>
        <v>4.227513401</v>
      </c>
      <c r="AC79" s="30">
        <f t="shared" si="33"/>
        <v>0.5156879203</v>
      </c>
      <c r="AD79" s="30">
        <f t="shared" si="34"/>
        <v>0</v>
      </c>
      <c r="AE79" s="6"/>
      <c r="AF79" s="30">
        <f t="shared" si="11"/>
        <v>0.946470975</v>
      </c>
      <c r="AG79" s="30" t="str">
        <f>MIN(1,SUM(OFFSET(E79,0,0,-i_Eve_ECG,1)))</f>
        <v>#VALUE!</v>
      </c>
      <c r="AH79" s="30" t="str">
        <f t="shared" si="12"/>
        <v>#VALUE!</v>
      </c>
      <c r="AI79" s="30" t="str">
        <f t="shared" si="13"/>
        <v>#VALUE!</v>
      </c>
      <c r="AJ79" s="30" t="str">
        <f>(AH79*(i_Adv_Fals/i_Adv_Alar)*i_Int_Kend_false)*AJ$25</f>
        <v>#VALUE!</v>
      </c>
      <c r="AK79" s="30" t="str">
        <f>(AH79*(i_Adv_Lead/i_Adv_Alar)*i_Int_Kend_leadsoff)*AK$25</f>
        <v>#VALUE!</v>
      </c>
      <c r="AL79" s="30">
        <f>((SUM(F78:J78)-((I78+J78)*(1-i_Bac_ICU)))+(SUM(F79:J79)-((I79+J79)*(1-i_Bac_ICU))))/2*(C79-C78)</f>
        <v>0.0007055274656</v>
      </c>
      <c r="AM79" s="30">
        <f>(((I78+J78)*(1-i_Bac_ICU))+((I79+J79)*(1-i_Bac_ICU))+K78+E78+E79+K79)/2*(C79-C78)</f>
        <v>0.00326555611</v>
      </c>
      <c r="AN79" s="6"/>
      <c r="AO79" s="6"/>
      <c r="AP79" s="6"/>
      <c r="AQ79" s="6"/>
      <c r="AR79" s="6"/>
      <c r="AS79" s="6"/>
      <c r="AT79" s="6"/>
      <c r="AU79" s="6"/>
    </row>
    <row r="80" ht="14.25" customHeight="1">
      <c r="A80" s="6"/>
      <c r="B80" s="26">
        <f t="shared" ref="B80:C80" si="188">B79+1</f>
        <v>54</v>
      </c>
      <c r="C80" s="26">
        <f t="shared" si="188"/>
        <v>54</v>
      </c>
      <c r="D80" s="26">
        <f t="shared" si="6"/>
        <v>0.1</v>
      </c>
      <c r="E80" s="28">
        <f t="shared" si="15"/>
        <v>0.000135588789</v>
      </c>
      <c r="F80" s="28">
        <f t="shared" si="16"/>
        <v>0.000120574081</v>
      </c>
      <c r="G80" s="28">
        <f t="shared" si="17"/>
        <v>0.00003844318752</v>
      </c>
      <c r="H80" s="28">
        <f t="shared" si="18"/>
        <v>0.0001784129533</v>
      </c>
      <c r="I80" s="28">
        <f t="shared" si="19"/>
        <v>0.0004678043389</v>
      </c>
      <c r="J80" s="28">
        <f t="shared" si="20"/>
        <v>0.001424000775</v>
      </c>
      <c r="K80" s="28">
        <f t="shared" si="21"/>
        <v>0.001426697915</v>
      </c>
      <c r="L80" s="28">
        <f t="shared" si="22"/>
        <v>0.9139115063</v>
      </c>
      <c r="M80" s="28">
        <f t="shared" si="23"/>
        <v>0.0478828697</v>
      </c>
      <c r="N80" s="28">
        <f t="shared" si="24"/>
        <v>0.003639621032</v>
      </c>
      <c r="O80" s="28">
        <f t="shared" si="25"/>
        <v>0.002844676196</v>
      </c>
      <c r="P80" s="28">
        <f t="shared" si="26"/>
        <v>0.02792980473</v>
      </c>
      <c r="Q80" s="6"/>
      <c r="R80" s="26">
        <f t="shared" si="7"/>
        <v>1</v>
      </c>
      <c r="S80" s="30">
        <f t="shared" si="8"/>
        <v>1.388978334</v>
      </c>
      <c r="T80" s="30">
        <f t="shared" ref="T80:U80" si="189">((F79+F80)/2)*T$25*($C80-$C79)</f>
        <v>0.3968674748</v>
      </c>
      <c r="U80" s="30">
        <f t="shared" si="189"/>
        <v>0.1265353629</v>
      </c>
      <c r="V80" s="30">
        <f t="shared" si="28"/>
        <v>0.4544815707</v>
      </c>
      <c r="W80" s="30">
        <f t="shared" ref="W80:X80" si="190">((I79+I80)/2)*W$25*($C80-$C79)</f>
        <v>1.075300623</v>
      </c>
      <c r="X80" s="30">
        <f t="shared" si="190"/>
        <v>3.230603748</v>
      </c>
      <c r="Y80" s="30">
        <f t="shared" si="30"/>
        <v>3.411484631</v>
      </c>
      <c r="Z80" s="30">
        <f>(L80-OFFSET(L80,-IF(C80-C79&gt;i_Cos_Days,1,MIN(B80,i_Cos_Days)),0))*MIN(i_Cos_Days,($C80-$C79))</f>
        <v>0</v>
      </c>
      <c r="AA80" s="30">
        <f t="shared" si="31"/>
        <v>20.49664926</v>
      </c>
      <c r="AB80" s="30">
        <f t="shared" si="32"/>
        <v>4.227524899</v>
      </c>
      <c r="AC80" s="30">
        <f t="shared" si="33"/>
        <v>0.5156893228</v>
      </c>
      <c r="AD80" s="30">
        <f t="shared" si="34"/>
        <v>0</v>
      </c>
      <c r="AE80" s="6"/>
      <c r="AF80" s="30">
        <f t="shared" si="11"/>
        <v>0.9483256083</v>
      </c>
      <c r="AG80" s="30" t="str">
        <f>MIN(1,SUM(OFFSET(E80,0,0,-i_Eve_ECG,1)))</f>
        <v>#VALUE!</v>
      </c>
      <c r="AH80" s="30" t="str">
        <f t="shared" si="12"/>
        <v>#VALUE!</v>
      </c>
      <c r="AI80" s="30" t="str">
        <f t="shared" si="13"/>
        <v>#VALUE!</v>
      </c>
      <c r="AJ80" s="30" t="str">
        <f>(AH80*(i_Adv_Fals/i_Adv_Alar)*i_Int_Kend_false)*AJ$25</f>
        <v>#VALUE!</v>
      </c>
      <c r="AK80" s="30" t="str">
        <f>(AH80*(i_Adv_Lead/i_Adv_Alar)*i_Int_Kend_leadsoff)*AK$25</f>
        <v>#VALUE!</v>
      </c>
      <c r="AL80" s="30">
        <f>((SUM(F79:J79)-((I79+J79)*(1-i_Bac_ICU)))+(SUM(F80:J80)-((I80+J80)*(1-i_Bac_ICU))))/2*(C80-C79)</f>
        <v>0.0006899418087</v>
      </c>
      <c r="AM80" s="30">
        <f>(((I79+J79)*(1-i_Bac_ICU))+((I80+J80)*(1-i_Bac_ICU))+K79+E79+E80+K80)/2*(C80-C79)</f>
        <v>0.003160133096</v>
      </c>
      <c r="AN80" s="6"/>
      <c r="AO80" s="6"/>
      <c r="AP80" s="6"/>
      <c r="AQ80" s="6"/>
      <c r="AR80" s="6"/>
      <c r="AS80" s="6"/>
      <c r="AT80" s="6"/>
      <c r="AU80" s="6"/>
    </row>
    <row r="81" ht="14.25" customHeight="1">
      <c r="A81" s="6"/>
      <c r="B81" s="26">
        <f t="shared" ref="B81:C81" si="191">B80+1</f>
        <v>55</v>
      </c>
      <c r="C81" s="26">
        <f t="shared" si="191"/>
        <v>55</v>
      </c>
      <c r="D81" s="26">
        <f t="shared" si="6"/>
        <v>0.2</v>
      </c>
      <c r="E81" s="28">
        <f t="shared" si="15"/>
        <v>0.0001355719367</v>
      </c>
      <c r="F81" s="28">
        <f t="shared" si="16"/>
        <v>0.0001205588119</v>
      </c>
      <c r="G81" s="28">
        <f t="shared" si="17"/>
        <v>0.00003843815546</v>
      </c>
      <c r="H81" s="28">
        <f t="shared" si="18"/>
        <v>0.0001768229923</v>
      </c>
      <c r="I81" s="28">
        <f t="shared" si="19"/>
        <v>0.000441579902</v>
      </c>
      <c r="J81" s="28">
        <f t="shared" si="20"/>
        <v>0.001378928689</v>
      </c>
      <c r="K81" s="28">
        <f t="shared" si="21"/>
        <v>0.001389561939</v>
      </c>
      <c r="L81" s="28">
        <f t="shared" si="22"/>
        <v>0.9155771237</v>
      </c>
      <c r="M81" s="28">
        <f t="shared" si="23"/>
        <v>0.04620943639</v>
      </c>
      <c r="N81" s="28">
        <f t="shared" si="24"/>
        <v>0.003666939768</v>
      </c>
      <c r="O81" s="28">
        <f t="shared" si="25"/>
        <v>0.002854573628</v>
      </c>
      <c r="P81" s="28">
        <f t="shared" si="26"/>
        <v>0.02801046408</v>
      </c>
      <c r="Q81" s="6"/>
      <c r="R81" s="26">
        <f t="shared" si="7"/>
        <v>1</v>
      </c>
      <c r="S81" s="30">
        <f t="shared" si="8"/>
        <v>1.388805698</v>
      </c>
      <c r="T81" s="30">
        <f t="shared" ref="T81:U81" si="192">((F80+F81)/2)*T$25*($C81-$C80)</f>
        <v>0.3968167282</v>
      </c>
      <c r="U81" s="30">
        <f t="shared" si="192"/>
        <v>0.1265186288</v>
      </c>
      <c r="V81" s="30">
        <f t="shared" si="28"/>
        <v>0.4503539224</v>
      </c>
      <c r="W81" s="30">
        <f t="shared" ref="W81:X81" si="193">((I80+I81)/2)*W$25*($C81-$C80)</f>
        <v>1.014959436</v>
      </c>
      <c r="X81" s="30">
        <f t="shared" si="193"/>
        <v>3.128336274</v>
      </c>
      <c r="Y81" s="30">
        <f t="shared" si="30"/>
        <v>3.319384676</v>
      </c>
      <c r="Z81" s="30">
        <f>(L81-OFFSET(L81,-IF(C81-C80&gt;i_Cos_Days,1,MIN(B81,i_Cos_Days)),0))*MIN(i_Cos_Days,($C81-$C80))</f>
        <v>0</v>
      </c>
      <c r="AA81" s="30">
        <f t="shared" si="31"/>
        <v>19.77961412</v>
      </c>
      <c r="AB81" s="30">
        <f t="shared" si="32"/>
        <v>4.227512057</v>
      </c>
      <c r="AC81" s="30">
        <f t="shared" si="33"/>
        <v>0.5156877563</v>
      </c>
      <c r="AD81" s="30">
        <f t="shared" si="34"/>
        <v>0</v>
      </c>
      <c r="AE81" s="6"/>
      <c r="AF81" s="30">
        <f t="shared" si="11"/>
        <v>0.9501091012</v>
      </c>
      <c r="AG81" s="30" t="str">
        <f>MIN(1,SUM(OFFSET(E81,0,0,-i_Eve_ECG,1)))</f>
        <v>#VALUE!</v>
      </c>
      <c r="AH81" s="30" t="str">
        <f t="shared" si="12"/>
        <v>#VALUE!</v>
      </c>
      <c r="AI81" s="30" t="str">
        <f t="shared" si="13"/>
        <v>#VALUE!</v>
      </c>
      <c r="AJ81" s="30" t="str">
        <f>(AH81*(i_Adv_Fals/i_Adv_Alar)*i_Int_Kend_false)*AJ$25</f>
        <v>#VALUE!</v>
      </c>
      <c r="AK81" s="30" t="str">
        <f>(AH81*(i_Adv_Lead/i_Adv_Alar)*i_Int_Kend_leadsoff)*AK$25</f>
        <v>#VALUE!</v>
      </c>
      <c r="AL81" s="30">
        <f>((SUM(F80:J80)-((I80+J80)*(1-i_Bac_ICU)))+(SUM(F81:J81)-((I81+J81)*(1-i_Bac_ICU))))/2*(C81-C80)</f>
        <v>0.0006750129352</v>
      </c>
      <c r="AM81" s="30">
        <f>(((I80+J80)*(1-i_Bac_ICU))+((I81+J81)*(1-i_Bac_ICU))+K80+E80+E81+K81)/2*(C81-C80)</f>
        <v>0.003061479298</v>
      </c>
      <c r="AN81" s="6"/>
      <c r="AO81" s="6"/>
      <c r="AP81" s="6"/>
      <c r="AQ81" s="6"/>
      <c r="AR81" s="6"/>
      <c r="AS81" s="6"/>
      <c r="AT81" s="6"/>
      <c r="AU81" s="6"/>
    </row>
    <row r="82" ht="14.25" customHeight="1">
      <c r="A82" s="6"/>
      <c r="B82" s="26">
        <f t="shared" ref="B82:C82" si="194">B81+1</f>
        <v>56</v>
      </c>
      <c r="C82" s="26">
        <f t="shared" si="194"/>
        <v>56</v>
      </c>
      <c r="D82" s="26">
        <f t="shared" si="6"/>
        <v>0.2</v>
      </c>
      <c r="E82" s="28">
        <f t="shared" si="15"/>
        <v>0.0001355553866</v>
      </c>
      <c r="F82" s="28">
        <f t="shared" si="16"/>
        <v>0.000120543826</v>
      </c>
      <c r="G82" s="28">
        <f t="shared" si="17"/>
        <v>0.00003843322246</v>
      </c>
      <c r="H82" s="28">
        <f t="shared" si="18"/>
        <v>0.0001753052907</v>
      </c>
      <c r="I82" s="28">
        <f t="shared" si="19"/>
        <v>0.0004168786713</v>
      </c>
      <c r="J82" s="28">
        <f t="shared" si="20"/>
        <v>0.001335296781</v>
      </c>
      <c r="K82" s="28">
        <f t="shared" si="21"/>
        <v>0.001355779052</v>
      </c>
      <c r="L82" s="28">
        <f t="shared" si="22"/>
        <v>0.9171765691</v>
      </c>
      <c r="M82" s="28">
        <f t="shared" si="23"/>
        <v>0.04459782763</v>
      </c>
      <c r="N82" s="28">
        <f t="shared" si="24"/>
        <v>0.00369311674</v>
      </c>
      <c r="O82" s="28">
        <f t="shared" si="25"/>
        <v>0.002863809137</v>
      </c>
      <c r="P82" s="28">
        <f t="shared" si="26"/>
        <v>0.0280908852</v>
      </c>
      <c r="Q82" s="6"/>
      <c r="R82" s="26">
        <f t="shared" si="7"/>
        <v>1</v>
      </c>
      <c r="S82" s="30">
        <f t="shared" si="8"/>
        <v>1.388636158</v>
      </c>
      <c r="T82" s="30">
        <f t="shared" ref="T82:U82" si="195">((F81+F82)/2)*T$25*($C82-$C81)</f>
        <v>0.3967669394</v>
      </c>
      <c r="U82" s="30">
        <f t="shared" si="195"/>
        <v>0.12650223</v>
      </c>
      <c r="V82" s="30">
        <f t="shared" si="28"/>
        <v>0.4464141521</v>
      </c>
      <c r="W82" s="30">
        <f t="shared" ref="W82:X82" si="196">((I81+I82)/2)*W$25*($C82-$C81)</f>
        <v>0.95812154</v>
      </c>
      <c r="X82" s="30">
        <f t="shared" si="196"/>
        <v>3.029334167</v>
      </c>
      <c r="Y82" s="30">
        <f t="shared" si="30"/>
        <v>3.235796159</v>
      </c>
      <c r="Z82" s="30">
        <f>(L82-OFFSET(L82,-IF(C82-C81&gt;i_Cos_Days,1,MIN(B82,i_Cos_Days)),0))*MIN(i_Cos_Days,($C82-$C81))</f>
        <v>0</v>
      </c>
      <c r="AA82" s="30">
        <f t="shared" si="31"/>
        <v>19.08904901</v>
      </c>
      <c r="AB82" s="30">
        <f t="shared" si="32"/>
        <v>4.227477703</v>
      </c>
      <c r="AC82" s="30">
        <f t="shared" si="33"/>
        <v>0.5156835656</v>
      </c>
      <c r="AD82" s="30">
        <f t="shared" si="34"/>
        <v>0</v>
      </c>
      <c r="AE82" s="6"/>
      <c r="AF82" s="30">
        <f t="shared" si="11"/>
        <v>0.9518243801</v>
      </c>
      <c r="AG82" s="30" t="str">
        <f>MIN(1,SUM(OFFSET(E82,0,0,-i_Eve_ECG,1)))</f>
        <v>#VALUE!</v>
      </c>
      <c r="AH82" s="30" t="str">
        <f t="shared" si="12"/>
        <v>#VALUE!</v>
      </c>
      <c r="AI82" s="30" t="str">
        <f t="shared" si="13"/>
        <v>#VALUE!</v>
      </c>
      <c r="AJ82" s="30" t="str">
        <f>(AH82*(i_Adv_Fals/i_Adv_Alar)*i_Int_Kend_false)*AJ$25</f>
        <v>#VALUE!</v>
      </c>
      <c r="AK82" s="30" t="str">
        <f>(AH82*(i_Adv_Lead/i_Adv_Alar)*i_Int_Kend_leadsoff)*AK$25</f>
        <v>#VALUE!</v>
      </c>
      <c r="AL82" s="30">
        <f>((SUM(F81:J81)-((I81+J81)*(1-i_Bac_ICU)))+(SUM(F82:J82)-((I82+J82)*(1-i_Bac_ICU))))/2*(C82-C81)</f>
        <v>0.0006607113571</v>
      </c>
      <c r="AM82" s="30">
        <f>(((I81+J81)*(1-i_Bac_ICU))+((I82+J82)*(1-i_Bac_ICU))+K81+E81+E82+K82)/2*(C82-C81)</f>
        <v>0.002968915971</v>
      </c>
      <c r="AN82" s="6"/>
      <c r="AO82" s="6"/>
      <c r="AP82" s="6"/>
      <c r="AQ82" s="6"/>
      <c r="AR82" s="6"/>
      <c r="AS82" s="6"/>
      <c r="AT82" s="6"/>
      <c r="AU82" s="6"/>
    </row>
    <row r="83" ht="14.25" customHeight="1">
      <c r="A83" s="6"/>
      <c r="B83" s="26">
        <f t="shared" ref="B83:C83" si="197">B82+1</f>
        <v>57</v>
      </c>
      <c r="C83" s="26">
        <f t="shared" si="197"/>
        <v>57</v>
      </c>
      <c r="D83" s="26">
        <f t="shared" si="6"/>
        <v>0.2</v>
      </c>
      <c r="E83" s="28">
        <f t="shared" si="15"/>
        <v>0.0001355391231</v>
      </c>
      <c r="F83" s="28">
        <f t="shared" si="16"/>
        <v>0.0001205291088</v>
      </c>
      <c r="G83" s="28">
        <f t="shared" si="17"/>
        <v>0.00003842838333</v>
      </c>
      <c r="H83" s="28">
        <f t="shared" si="18"/>
        <v>0.000173856345</v>
      </c>
      <c r="I83" s="28">
        <f t="shared" si="19"/>
        <v>0.0003936132112</v>
      </c>
      <c r="J83" s="28">
        <f t="shared" si="20"/>
        <v>0.001293060771</v>
      </c>
      <c r="K83" s="28">
        <f t="shared" si="21"/>
        <v>0.00132491464</v>
      </c>
      <c r="L83" s="28">
        <f t="shared" si="22"/>
        <v>0.9187125136</v>
      </c>
      <c r="M83" s="28">
        <f t="shared" si="23"/>
        <v>0.04304583843</v>
      </c>
      <c r="N83" s="28">
        <f t="shared" si="24"/>
        <v>0.003718198797</v>
      </c>
      <c r="O83" s="28">
        <f t="shared" si="25"/>
        <v>0.002872425982</v>
      </c>
      <c r="P83" s="28">
        <f t="shared" si="26"/>
        <v>0.02817108159</v>
      </c>
      <c r="Q83" s="6"/>
      <c r="R83" s="26">
        <f t="shared" si="7"/>
        <v>1</v>
      </c>
      <c r="S83" s="30">
        <f t="shared" si="8"/>
        <v>1.388469554</v>
      </c>
      <c r="T83" s="30">
        <f t="shared" ref="T83:U83" si="198">((F82+F83)/2)*T$25*($C83-$C82)</f>
        <v>0.3967180591</v>
      </c>
      <c r="U83" s="30">
        <f t="shared" si="198"/>
        <v>0.1264861486</v>
      </c>
      <c r="V83" s="30">
        <f t="shared" si="28"/>
        <v>0.4426531553</v>
      </c>
      <c r="W83" s="30">
        <f t="shared" ref="W83:X83" si="199">((I82+I83)/2)*W$25*($C83-$C82)</f>
        <v>0.904586144</v>
      </c>
      <c r="X83" s="30">
        <f t="shared" si="199"/>
        <v>2.933497391</v>
      </c>
      <c r="Y83" s="30">
        <f t="shared" si="30"/>
        <v>3.159599621</v>
      </c>
      <c r="Z83" s="30">
        <f>(L83-OFFSET(L83,-IF(C83-C82&gt;i_Cos_Days,1,MIN(B83,i_Cos_Days)),0))*MIN(i_Cos_Days,($C83-$C82))</f>
        <v>0</v>
      </c>
      <c r="AA83" s="30">
        <f t="shared" si="31"/>
        <v>18.42401326</v>
      </c>
      <c r="AB83" s="30">
        <f t="shared" si="32"/>
        <v>4.227424239</v>
      </c>
      <c r="AC83" s="30">
        <f t="shared" si="33"/>
        <v>0.5156770439</v>
      </c>
      <c r="AD83" s="30">
        <f t="shared" si="34"/>
        <v>0</v>
      </c>
      <c r="AE83" s="6"/>
      <c r="AF83" s="30">
        <f t="shared" si="11"/>
        <v>0.95347422</v>
      </c>
      <c r="AG83" s="30" t="str">
        <f>MIN(1,SUM(OFFSET(E83,0,0,-i_Eve_ECG,1)))</f>
        <v>#VALUE!</v>
      </c>
      <c r="AH83" s="30" t="str">
        <f t="shared" si="12"/>
        <v>#VALUE!</v>
      </c>
      <c r="AI83" s="30" t="str">
        <f t="shared" si="13"/>
        <v>#VALUE!</v>
      </c>
      <c r="AJ83" s="30" t="str">
        <f>(AH83*(i_Adv_Fals/i_Adv_Alar)*i_Int_Kend_false)*AJ$25</f>
        <v>#VALUE!</v>
      </c>
      <c r="AK83" s="30" t="str">
        <f>(AH83*(i_Adv_Lead/i_Adv_Alar)*i_Int_Kend_leadsoff)*AK$25</f>
        <v>#VALUE!</v>
      </c>
      <c r="AL83" s="30">
        <f>((SUM(F82:J82)-((I82+J82)*(1-i_Bac_ICU)))+(SUM(F83:J83)-((I83+J83)*(1-i_Bac_ICU))))/2*(C83-C82)</f>
        <v>0.0006470088945</v>
      </c>
      <c r="AM83" s="30">
        <f>(((I82+J82)*(1-i_Bac_ICU))+((I83+J83)*(1-i_Bac_ICU))+K82+E82+E83+K83)/2*(C83-C82)</f>
        <v>0.002881858012</v>
      </c>
      <c r="AN83" s="6"/>
      <c r="AO83" s="6"/>
      <c r="AP83" s="6"/>
      <c r="AQ83" s="6"/>
      <c r="AR83" s="6"/>
      <c r="AS83" s="6"/>
      <c r="AT83" s="6"/>
      <c r="AU83" s="6"/>
    </row>
    <row r="84" ht="14.25" customHeight="1">
      <c r="A84" s="6"/>
      <c r="B84" s="26">
        <f t="shared" ref="B84:C84" si="200">B83+1</f>
        <v>58</v>
      </c>
      <c r="C84" s="26">
        <f t="shared" si="200"/>
        <v>58</v>
      </c>
      <c r="D84" s="26">
        <f t="shared" si="6"/>
        <v>0.2</v>
      </c>
      <c r="E84" s="28">
        <f t="shared" si="15"/>
        <v>0.0001355231318</v>
      </c>
      <c r="F84" s="28">
        <f t="shared" si="16"/>
        <v>0.0001205146467</v>
      </c>
      <c r="G84" s="28">
        <f t="shared" si="17"/>
        <v>0.00003842363316</v>
      </c>
      <c r="H84" s="28">
        <f t="shared" si="18"/>
        <v>0.0001724728203</v>
      </c>
      <c r="I84" s="28">
        <f t="shared" si="19"/>
        <v>0.000371700892</v>
      </c>
      <c r="J84" s="28">
        <f t="shared" si="20"/>
        <v>0.001252177474</v>
      </c>
      <c r="K84" s="28">
        <f t="shared" si="21"/>
        <v>0.001296601299</v>
      </c>
      <c r="L84" s="28">
        <f t="shared" si="22"/>
        <v>0.9201874956</v>
      </c>
      <c r="M84" s="28">
        <f t="shared" si="23"/>
        <v>0.04155132943</v>
      </c>
      <c r="N84" s="28">
        <f t="shared" si="24"/>
        <v>0.003742230917</v>
      </c>
      <c r="O84" s="28">
        <f t="shared" si="25"/>
        <v>0.00288046463</v>
      </c>
      <c r="P84" s="28">
        <f t="shared" si="26"/>
        <v>0.02825106553</v>
      </c>
      <c r="Q84" s="6"/>
      <c r="R84" s="26">
        <f t="shared" si="7"/>
        <v>1</v>
      </c>
      <c r="S84" s="30">
        <f t="shared" si="8"/>
        <v>1.388305739</v>
      </c>
      <c r="T84" s="30">
        <f t="shared" ref="T84:U84" si="201">((F83+F84)/2)*T$25*($C84-$C83)</f>
        <v>0.3966700405</v>
      </c>
      <c r="U84" s="30">
        <f t="shared" si="201"/>
        <v>0.1264703681</v>
      </c>
      <c r="V84" s="30">
        <f t="shared" si="28"/>
        <v>0.4390622627</v>
      </c>
      <c r="W84" s="30">
        <f t="shared" ref="W84:X84" si="202">((I83+I84)/2)*W$25*($C84-$C83)</f>
        <v>0.8541634389</v>
      </c>
      <c r="X84" s="30">
        <f t="shared" si="202"/>
        <v>2.840728327</v>
      </c>
      <c r="Y84" s="30">
        <f t="shared" si="30"/>
        <v>3.089849762</v>
      </c>
      <c r="Z84" s="30">
        <f>(L84-OFFSET(L84,-IF(C84-C83&gt;i_Cos_Days,1,MIN(B84,i_Cos_Days)),0))*MIN(i_Cos_Days,($C84-$C83))</f>
        <v>0</v>
      </c>
      <c r="AA84" s="30">
        <f t="shared" si="31"/>
        <v>17.78359364</v>
      </c>
      <c r="AB84" s="30">
        <f t="shared" si="32"/>
        <v>4.227353716</v>
      </c>
      <c r="AC84" s="30">
        <f t="shared" si="33"/>
        <v>0.5156684413</v>
      </c>
      <c r="AD84" s="30">
        <f t="shared" si="34"/>
        <v>0</v>
      </c>
      <c r="AE84" s="6"/>
      <c r="AF84" s="30">
        <f t="shared" si="11"/>
        <v>0.9550612567</v>
      </c>
      <c r="AG84" s="30" t="str">
        <f>MIN(1,SUM(OFFSET(E84,0,0,-i_Eve_ECG,1)))</f>
        <v>#VALUE!</v>
      </c>
      <c r="AH84" s="30" t="str">
        <f t="shared" si="12"/>
        <v>#VALUE!</v>
      </c>
      <c r="AI84" s="30" t="str">
        <f t="shared" si="13"/>
        <v>#VALUE!</v>
      </c>
      <c r="AJ84" s="30" t="str">
        <f>(AH84*(i_Adv_Fals/i_Adv_Alar)*i_Int_Kend_false)*AJ$25</f>
        <v>#VALUE!</v>
      </c>
      <c r="AK84" s="30" t="str">
        <f>(AH84*(i_Adv_Lead/i_Adv_Alar)*i_Int_Kend_leadsoff)*AK$25</f>
        <v>#VALUE!</v>
      </c>
      <c r="AL84" s="30">
        <f>((SUM(F83:J83)-((I83+J83)*(1-i_Bac_ICU)))+(SUM(F84:J84)-((I84+J84)*(1-i_Bac_ICU))))/2*(C84-C83)</f>
        <v>0.0006338786344</v>
      </c>
      <c r="AM84" s="30">
        <f>(((I83+J83)*(1-i_Bac_ICU))+((I84+J84)*(1-i_Bac_ICU))+K83+E83+E84+K84)/2*(C84-C83)</f>
        <v>0.002799799105</v>
      </c>
      <c r="AN84" s="6"/>
      <c r="AO84" s="6"/>
      <c r="AP84" s="6"/>
      <c r="AQ84" s="6"/>
      <c r="AR84" s="6"/>
      <c r="AS84" s="6"/>
      <c r="AT84" s="6"/>
      <c r="AU84" s="6"/>
    </row>
    <row r="85" ht="14.25" customHeight="1">
      <c r="A85" s="6"/>
      <c r="B85" s="26">
        <f t="shared" ref="B85:C85" si="203">B84+1</f>
        <v>59</v>
      </c>
      <c r="C85" s="26">
        <f t="shared" si="203"/>
        <v>59</v>
      </c>
      <c r="D85" s="26">
        <f t="shared" si="6"/>
        <v>0.2</v>
      </c>
      <c r="E85" s="28">
        <f t="shared" si="15"/>
        <v>0.000135507399</v>
      </c>
      <c r="F85" s="28">
        <f t="shared" si="16"/>
        <v>0.0001205004265</v>
      </c>
      <c r="G85" s="28">
        <f t="shared" si="17"/>
        <v>0.00003841896738</v>
      </c>
      <c r="H85" s="28">
        <f t="shared" si="18"/>
        <v>0.0001711515437</v>
      </c>
      <c r="I85" s="28">
        <f t="shared" si="19"/>
        <v>0.0003510636638</v>
      </c>
      <c r="J85" s="28">
        <f t="shared" si="20"/>
        <v>0.001212604822</v>
      </c>
      <c r="K85" s="28">
        <f t="shared" si="21"/>
        <v>0.001270527754</v>
      </c>
      <c r="L85" s="28">
        <f t="shared" si="22"/>
        <v>0.9216039308</v>
      </c>
      <c r="M85" s="28">
        <f t="shared" si="23"/>
        <v>0.04011222717</v>
      </c>
      <c r="N85" s="28">
        <f t="shared" si="24"/>
        <v>0.003765256278</v>
      </c>
      <c r="O85" s="28">
        <f t="shared" si="25"/>
        <v>0.002887962931</v>
      </c>
      <c r="P85" s="28">
        <f t="shared" si="26"/>
        <v>0.02833084829</v>
      </c>
      <c r="Q85" s="6"/>
      <c r="R85" s="26">
        <f t="shared" si="7"/>
        <v>1</v>
      </c>
      <c r="S85" s="30">
        <f t="shared" si="8"/>
        <v>1.38814457</v>
      </c>
      <c r="T85" s="30">
        <f t="shared" ref="T85:U85" si="204">((F84+F85)/2)*T$25*($C85-$C84)</f>
        <v>0.39662284</v>
      </c>
      <c r="U85" s="30">
        <f t="shared" si="204"/>
        <v>0.1264548729</v>
      </c>
      <c r="V85" s="30">
        <f t="shared" si="28"/>
        <v>0.4356332237</v>
      </c>
      <c r="W85" s="30">
        <f t="shared" ref="W85:X85" si="205">((I84+I85)/2)*W$25*($C85-$C84)</f>
        <v>0.8066740909</v>
      </c>
      <c r="X85" s="30">
        <f t="shared" si="205"/>
        <v>2.750931825</v>
      </c>
      <c r="Y85" s="30">
        <f t="shared" si="30"/>
        <v>3.025746658</v>
      </c>
      <c r="Z85" s="30">
        <f>(L85-OFFSET(L85,-IF(C85-C84&gt;i_Cos_Days,1,MIN(B85,i_Cos_Days)),0))*MIN(i_Cos_Days,($C85-$C84))</f>
        <v>0</v>
      </c>
      <c r="AA85" s="30">
        <f t="shared" si="31"/>
        <v>17.16690455</v>
      </c>
      <c r="AB85" s="30">
        <f t="shared" si="32"/>
        <v>4.227267886</v>
      </c>
      <c r="AC85" s="30">
        <f t="shared" si="33"/>
        <v>0.5156579714</v>
      </c>
      <c r="AD85" s="30">
        <f t="shared" si="34"/>
        <v>0</v>
      </c>
      <c r="AE85" s="6"/>
      <c r="AF85" s="30">
        <f t="shared" si="11"/>
        <v>0.9565879983</v>
      </c>
      <c r="AG85" s="30" t="str">
        <f>MIN(1,SUM(OFFSET(E85,0,0,-i_Eve_ECG,1)))</f>
        <v>#VALUE!</v>
      </c>
      <c r="AH85" s="30" t="str">
        <f t="shared" si="12"/>
        <v>#VALUE!</v>
      </c>
      <c r="AI85" s="30" t="str">
        <f t="shared" si="13"/>
        <v>#VALUE!</v>
      </c>
      <c r="AJ85" s="30" t="str">
        <f>(AH85*(i_Adv_Fals/i_Adv_Alar)*i_Int_Kend_false)*AJ$25</f>
        <v>#VALUE!</v>
      </c>
      <c r="AK85" s="30" t="str">
        <f>(AH85*(i_Adv_Lead/i_Adv_Alar)*i_Int_Kend_leadsoff)*AK$25</f>
        <v>#VALUE!</v>
      </c>
      <c r="AL85" s="30">
        <f>((SUM(F84:J84)-((I84+J84)*(1-i_Bac_ICU)))+(SUM(F85:J85)-((I85+J85)*(1-i_Bac_ICU))))/2*(C85-C84)</f>
        <v>0.0006212948874</v>
      </c>
      <c r="AM85" s="30">
        <f>(((I84+J84)*(1-i_Bac_ICU))+((I85+J85)*(1-i_Bac_ICU))+K84+E84+E85+K85)/2*(C85-C84)</f>
        <v>0.002722299349</v>
      </c>
      <c r="AN85" s="6"/>
      <c r="AO85" s="6"/>
      <c r="AP85" s="6"/>
      <c r="AQ85" s="6"/>
      <c r="AR85" s="6"/>
      <c r="AS85" s="6"/>
      <c r="AT85" s="6"/>
      <c r="AU85" s="6"/>
    </row>
    <row r="86" ht="14.25" customHeight="1">
      <c r="A86" s="6"/>
      <c r="B86" s="26">
        <f t="shared" ref="B86:C86" si="206">B85+1</f>
        <v>60</v>
      </c>
      <c r="C86" s="26">
        <f t="shared" si="206"/>
        <v>60</v>
      </c>
      <c r="D86" s="26">
        <f t="shared" si="6"/>
        <v>0.2</v>
      </c>
      <c r="E86" s="28">
        <f t="shared" si="15"/>
        <v>0.0001354919116</v>
      </c>
      <c r="F86" s="28">
        <f t="shared" si="16"/>
        <v>0.0001204864363</v>
      </c>
      <c r="G86" s="28">
        <f t="shared" si="17"/>
        <v>0.00003841438166</v>
      </c>
      <c r="H86" s="28">
        <f t="shared" si="18"/>
        <v>0.0001698894976</v>
      </c>
      <c r="I86" s="28">
        <f t="shared" si="19"/>
        <v>0.0003316278343</v>
      </c>
      <c r="J86" s="28">
        <f t="shared" si="20"/>
        <v>0.001174301871</v>
      </c>
      <c r="K86" s="28">
        <f t="shared" si="21"/>
        <v>0.001246429639</v>
      </c>
      <c r="L86" s="28">
        <f t="shared" si="22"/>
        <v>0.9229641217</v>
      </c>
      <c r="M86" s="28">
        <f t="shared" si="23"/>
        <v>0.03872652399</v>
      </c>
      <c r="N86" s="28">
        <f t="shared" si="24"/>
        <v>0.003787316317</v>
      </c>
      <c r="O86" s="28">
        <f t="shared" si="25"/>
        <v>0.002894956284</v>
      </c>
      <c r="P86" s="28">
        <f t="shared" si="26"/>
        <v>0.02841044018</v>
      </c>
      <c r="Q86" s="6"/>
      <c r="R86" s="26">
        <f t="shared" si="7"/>
        <v>1</v>
      </c>
      <c r="S86" s="30">
        <f t="shared" si="8"/>
        <v>1.387985917</v>
      </c>
      <c r="T86" s="30">
        <f t="shared" ref="T86:U86" si="207">((F85+F86)/2)*T$25*($C86-$C85)</f>
        <v>0.396576416</v>
      </c>
      <c r="U86" s="30">
        <f t="shared" si="207"/>
        <v>0.1264396483</v>
      </c>
      <c r="V86" s="30">
        <f t="shared" si="28"/>
        <v>0.4323581904</v>
      </c>
      <c r="W86" s="30">
        <f t="shared" ref="W86:X86" si="208">((I85+I86)/2)*W$25*($C86-$C85)</f>
        <v>0.7619487414</v>
      </c>
      <c r="X86" s="30">
        <f t="shared" si="208"/>
        <v>2.664015234</v>
      </c>
      <c r="Y86" s="30">
        <f t="shared" si="30"/>
        <v>2.966611831</v>
      </c>
      <c r="Z86" s="30">
        <f>(L86-OFFSET(L86,-IF(C86-C85&gt;i_Cos_Days,1,MIN(B86,i_Cos_Days)),0))*MIN(i_Cos_Days,($C86-$C85))</f>
        <v>0</v>
      </c>
      <c r="AA86" s="30">
        <f t="shared" si="31"/>
        <v>16.57308807</v>
      </c>
      <c r="AB86" s="30">
        <f t="shared" si="32"/>
        <v>4.227168254</v>
      </c>
      <c r="AC86" s="30">
        <f t="shared" si="33"/>
        <v>0.5156458179</v>
      </c>
      <c r="AD86" s="30">
        <f t="shared" si="34"/>
        <v>0</v>
      </c>
      <c r="AE86" s="6"/>
      <c r="AF86" s="30">
        <f t="shared" si="11"/>
        <v>0.9580568344</v>
      </c>
      <c r="AG86" s="30" t="str">
        <f>MIN(1,SUM(OFFSET(E86,0,0,-i_Eve_ECG,1)))</f>
        <v>#VALUE!</v>
      </c>
      <c r="AH86" s="30" t="str">
        <f t="shared" si="12"/>
        <v>#VALUE!</v>
      </c>
      <c r="AI86" s="30" t="str">
        <f t="shared" si="13"/>
        <v>#VALUE!</v>
      </c>
      <c r="AJ86" s="30" t="str">
        <f>(AH86*(i_Adv_Fals/i_Adv_Alar)*i_Int_Kend_false)*AJ$25</f>
        <v>#VALUE!</v>
      </c>
      <c r="AK86" s="30" t="str">
        <f>(AH86*(i_Adv_Lead/i_Adv_Alar)*i_Int_Kend_leadsoff)*AK$25</f>
        <v>#VALUE!</v>
      </c>
      <c r="AL86" s="30">
        <f>((SUM(F85:J85)-((I85+J85)*(1-i_Bac_ICU)))+(SUM(F86:J86)-((I86+J86)*(1-i_Bac_ICU))))/2*(C86-C85)</f>
        <v>0.0006092331426</v>
      </c>
      <c r="AM86" s="30">
        <f>(((I85+J85)*(1-i_Bac_ICU))+((I86+J86)*(1-i_Bac_ICU))+K85+E85+E86+K86)/2*(C86-C85)</f>
        <v>0.002648974931</v>
      </c>
      <c r="AN86" s="6"/>
      <c r="AO86" s="6"/>
      <c r="AP86" s="6"/>
      <c r="AQ86" s="6"/>
      <c r="AR86" s="6"/>
      <c r="AS86" s="6"/>
      <c r="AT86" s="6"/>
      <c r="AU86" s="6"/>
    </row>
    <row r="87" ht="14.25" customHeight="1">
      <c r="A87" s="6"/>
      <c r="B87" s="26">
        <f t="shared" ref="B87:C87" si="209">B86+1</f>
        <v>61</v>
      </c>
      <c r="C87" s="26">
        <f t="shared" si="209"/>
        <v>61</v>
      </c>
      <c r="D87" s="26">
        <f t="shared" si="6"/>
        <v>0.2</v>
      </c>
      <c r="E87" s="28">
        <f t="shared" si="15"/>
        <v>0.0001354766574</v>
      </c>
      <c r="F87" s="28">
        <f t="shared" si="16"/>
        <v>0.0001204726643</v>
      </c>
      <c r="G87" s="28">
        <f t="shared" si="17"/>
        <v>0.00003840987195</v>
      </c>
      <c r="H87" s="28">
        <f t="shared" si="18"/>
        <v>0.0001686838137</v>
      </c>
      <c r="I87" s="28">
        <f t="shared" si="19"/>
        <v>0.0003133238516</v>
      </c>
      <c r="J87" s="28">
        <f t="shared" si="20"/>
        <v>0.001137228797</v>
      </c>
      <c r="K87" s="28">
        <f t="shared" si="21"/>
        <v>0.00122408183</v>
      </c>
      <c r="L87" s="28">
        <f t="shared" si="22"/>
        <v>0.9242702658</v>
      </c>
      <c r="M87" s="28">
        <f t="shared" si="23"/>
        <v>0.03739227745</v>
      </c>
      <c r="N87" s="28">
        <f t="shared" si="24"/>
        <v>0.003808450797</v>
      </c>
      <c r="O87" s="28">
        <f t="shared" si="25"/>
        <v>0.002901477784</v>
      </c>
      <c r="P87" s="28">
        <f t="shared" si="26"/>
        <v>0.02848985072</v>
      </c>
      <c r="Q87" s="6"/>
      <c r="R87" s="26">
        <f t="shared" si="7"/>
        <v>1</v>
      </c>
      <c r="S87" s="30">
        <f t="shared" si="8"/>
        <v>1.387829652</v>
      </c>
      <c r="T87" s="30">
        <f t="shared" ref="T87:U87" si="210">((F86+F87)/2)*T$25*($C87-$C86)</f>
        <v>0.3965307295</v>
      </c>
      <c r="U87" s="30">
        <f t="shared" si="210"/>
        <v>0.1264246806</v>
      </c>
      <c r="V87" s="30">
        <f t="shared" si="28"/>
        <v>0.4292297011</v>
      </c>
      <c r="W87" s="30">
        <f t="shared" ref="W87:X87" si="211">((I86+I87)/2)*W$25*($C87-$C86)</f>
        <v>0.7198275162</v>
      </c>
      <c r="X87" s="30">
        <f t="shared" si="211"/>
        <v>2.57988841</v>
      </c>
      <c r="Y87" s="30">
        <f t="shared" si="30"/>
        <v>2.911868342</v>
      </c>
      <c r="Z87" s="30">
        <f>(L87-OFFSET(L87,-IF(C87-C86&gt;i_Cos_Days,1,MIN(B87,i_Cos_Days)),0))*MIN(i_Cos_Days,($C87-$C86))</f>
        <v>0</v>
      </c>
      <c r="AA87" s="30">
        <f t="shared" si="31"/>
        <v>16.00131384</v>
      </c>
      <c r="AB87" s="30">
        <f t="shared" si="32"/>
        <v>4.227056116</v>
      </c>
      <c r="AC87" s="30">
        <f t="shared" si="33"/>
        <v>0.5156321389</v>
      </c>
      <c r="AD87" s="30">
        <f t="shared" si="34"/>
        <v>0</v>
      </c>
      <c r="AE87" s="6"/>
      <c r="AF87" s="30">
        <f t="shared" si="11"/>
        <v>0.9594700451</v>
      </c>
      <c r="AG87" s="30" t="str">
        <f>MIN(1,SUM(OFFSET(E87,0,0,-i_Eve_ECG,1)))</f>
        <v>#VALUE!</v>
      </c>
      <c r="AH87" s="30" t="str">
        <f t="shared" si="12"/>
        <v>#VALUE!</v>
      </c>
      <c r="AI87" s="30" t="str">
        <f t="shared" si="13"/>
        <v>#VALUE!</v>
      </c>
      <c r="AJ87" s="30" t="str">
        <f>(AH87*(i_Adv_Fals/i_Adv_Alar)*i_Int_Kend_false)*AJ$25</f>
        <v>#VALUE!</v>
      </c>
      <c r="AK87" s="30" t="str">
        <f>(AH87*(i_Adv_Lead/i_Adv_Alar)*i_Int_Kend_leadsoff)*AK$25</f>
        <v>#VALUE!</v>
      </c>
      <c r="AL87" s="30">
        <f>((SUM(F86:J86)-((I86+J86)*(1-i_Bac_ICU)))+(SUM(F87:J87)-((I87+J87)*(1-i_Bac_ICU))))/2*(C87-C86)</f>
        <v>0.0005976700219</v>
      </c>
      <c r="AM87" s="30">
        <f>(((I86+J86)*(1-i_Bac_ICU))+((I87+J87)*(1-i_Bac_ICU))+K86+E86+E87+K87)/2*(C87-C86)</f>
        <v>0.002579489507</v>
      </c>
      <c r="AN87" s="6"/>
      <c r="AO87" s="6"/>
      <c r="AP87" s="6"/>
      <c r="AQ87" s="6"/>
      <c r="AR87" s="6"/>
      <c r="AS87" s="6"/>
      <c r="AT87" s="6"/>
      <c r="AU87" s="6"/>
    </row>
    <row r="88" ht="14.25" customHeight="1">
      <c r="A88" s="6"/>
      <c r="B88" s="26">
        <f t="shared" ref="B88:C88" si="212">B87+1</f>
        <v>62</v>
      </c>
      <c r="C88" s="26">
        <f t="shared" si="212"/>
        <v>62</v>
      </c>
      <c r="D88" s="26">
        <f t="shared" si="6"/>
        <v>0.2</v>
      </c>
      <c r="E88" s="28">
        <f t="shared" si="15"/>
        <v>0.0001354616249</v>
      </c>
      <c r="F88" s="28">
        <f t="shared" si="16"/>
        <v>0.0001204590998</v>
      </c>
      <c r="G88" s="28">
        <f t="shared" si="17"/>
        <v>0.0000384054344</v>
      </c>
      <c r="H88" s="28">
        <f t="shared" si="18"/>
        <v>0.000167531766</v>
      </c>
      <c r="I88" s="28">
        <f t="shared" si="19"/>
        <v>0.0002960860931</v>
      </c>
      <c r="J88" s="28">
        <f t="shared" si="20"/>
        <v>0.0011013469</v>
      </c>
      <c r="K88" s="28">
        <f t="shared" si="21"/>
        <v>0.001203292068</v>
      </c>
      <c r="L88" s="28">
        <f t="shared" si="22"/>
        <v>0.9255244625</v>
      </c>
      <c r="M88" s="28">
        <f t="shared" si="23"/>
        <v>0.0361076095</v>
      </c>
      <c r="N88" s="28">
        <f t="shared" si="24"/>
        <v>0.003828697868</v>
      </c>
      <c r="O88" s="28">
        <f t="shared" si="25"/>
        <v>0.002907558373</v>
      </c>
      <c r="P88" s="28">
        <f t="shared" si="26"/>
        <v>0.02856908873</v>
      </c>
      <c r="Q88" s="6"/>
      <c r="R88" s="26">
        <f t="shared" si="7"/>
        <v>1</v>
      </c>
      <c r="S88" s="30">
        <f t="shared" si="8"/>
        <v>1.387675658</v>
      </c>
      <c r="T88" s="30">
        <f t="shared" ref="T88:U88" si="213">((F87+F88)/2)*T$25*($C88-$C87)</f>
        <v>0.3964857437</v>
      </c>
      <c r="U88" s="30">
        <f t="shared" si="213"/>
        <v>0.1264099567</v>
      </c>
      <c r="V88" s="30">
        <f t="shared" si="28"/>
        <v>0.4262406633</v>
      </c>
      <c r="W88" s="30">
        <f t="shared" ref="W88:X88" si="214">((I87+I88)/2)*W$25*($C88-$C87)</f>
        <v>0.6801595474</v>
      </c>
      <c r="X88" s="30">
        <f t="shared" si="214"/>
        <v>2.498463713</v>
      </c>
      <c r="Y88" s="30">
        <f t="shared" si="30"/>
        <v>2.861024245</v>
      </c>
      <c r="Z88" s="30">
        <f>(L88-OFFSET(L88,-IF(C88-C87&gt;i_Cos_Days,1,MIN(B88,i_Cos_Days)),0))*MIN(i_Cos_Days,($C88-$C87))</f>
        <v>0</v>
      </c>
      <c r="AA88" s="30">
        <f t="shared" si="31"/>
        <v>15.45077874</v>
      </c>
      <c r="AB88" s="30">
        <f t="shared" si="32"/>
        <v>4.226932593</v>
      </c>
      <c r="AC88" s="30">
        <f t="shared" si="33"/>
        <v>0.5156170712</v>
      </c>
      <c r="AD88" s="30">
        <f t="shared" si="34"/>
        <v>0</v>
      </c>
      <c r="AE88" s="6"/>
      <c r="AF88" s="30">
        <f t="shared" si="11"/>
        <v>0.9608298075</v>
      </c>
      <c r="AG88" s="30" t="str">
        <f>MIN(1,SUM(OFFSET(E88,0,0,-i_Eve_ECG,1)))</f>
        <v>#VALUE!</v>
      </c>
      <c r="AH88" s="30" t="str">
        <f t="shared" si="12"/>
        <v>#VALUE!</v>
      </c>
      <c r="AI88" s="30" t="str">
        <f t="shared" si="13"/>
        <v>#VALUE!</v>
      </c>
      <c r="AJ88" s="30" t="str">
        <f>(AH88*(i_Adv_Fals/i_Adv_Alar)*i_Int_Kend_false)*AJ$25</f>
        <v>#VALUE!</v>
      </c>
      <c r="AK88" s="30" t="str">
        <f>(AH88*(i_Adv_Lead/i_Adv_Alar)*i_Int_Kend_leadsoff)*AK$25</f>
        <v>#VALUE!</v>
      </c>
      <c r="AL88" s="30">
        <f>((SUM(F87:J87)-((I87+J87)*(1-i_Bac_ICU)))+(SUM(F88:J88)-((I88+J88)*(1-i_Bac_ICU))))/2*(C88-C87)</f>
        <v>0.0005865832335</v>
      </c>
      <c r="AM88" s="30">
        <f>(((I87+J87)*(1-i_Bac_ICU))+((I88+J88)*(1-i_Bac_ICU))+K87+E87+E88+K88)/2*(C88-C87)</f>
        <v>0.002513547003</v>
      </c>
      <c r="AN88" s="6"/>
      <c r="AO88" s="6"/>
      <c r="AP88" s="6"/>
      <c r="AQ88" s="6"/>
      <c r="AR88" s="6"/>
      <c r="AS88" s="6"/>
      <c r="AT88" s="6"/>
      <c r="AU88" s="6"/>
    </row>
    <row r="89" ht="14.25" customHeight="1">
      <c r="A89" s="6"/>
      <c r="B89" s="26">
        <f t="shared" ref="B89:C89" si="215">B88+1</f>
        <v>63</v>
      </c>
      <c r="C89" s="26">
        <f t="shared" si="215"/>
        <v>63</v>
      </c>
      <c r="D89" s="26">
        <f t="shared" si="6"/>
        <v>0.2</v>
      </c>
      <c r="E89" s="28">
        <f t="shared" si="15"/>
        <v>0.0001354468031</v>
      </c>
      <c r="F89" s="28">
        <f t="shared" si="16"/>
        <v>0.0001204457325</v>
      </c>
      <c r="G89" s="28">
        <f t="shared" si="17"/>
        <v>0.00003840106539</v>
      </c>
      <c r="H89" s="28">
        <f t="shared" si="18"/>
        <v>0.0001664307644</v>
      </c>
      <c r="I89" s="28">
        <f t="shared" si="19"/>
        <v>0.000279852661</v>
      </c>
      <c r="J89" s="28">
        <f t="shared" si="20"/>
        <v>0.001066618583</v>
      </c>
      <c r="K89" s="28">
        <f t="shared" si="21"/>
        <v>0.001183895648</v>
      </c>
      <c r="L89" s="28">
        <f t="shared" si="22"/>
        <v>0.9267287198</v>
      </c>
      <c r="M89" s="28">
        <f t="shared" si="23"/>
        <v>0.03487070542</v>
      </c>
      <c r="N89" s="28">
        <f t="shared" si="24"/>
        <v>0.003848094132</v>
      </c>
      <c r="O89" s="28">
        <f t="shared" si="25"/>
        <v>0.002913226974</v>
      </c>
      <c r="P89" s="28">
        <f t="shared" si="26"/>
        <v>0.02864816239</v>
      </c>
      <c r="Q89" s="6"/>
      <c r="R89" s="26">
        <f t="shared" si="7"/>
        <v>1</v>
      </c>
      <c r="S89" s="30">
        <f t="shared" si="8"/>
        <v>1.387523823</v>
      </c>
      <c r="T89" s="30">
        <f t="shared" ref="T89:U89" si="216">((F88+F89)/2)*T$25*($C89-$C88)</f>
        <v>0.3964414237</v>
      </c>
      <c r="U89" s="30">
        <f t="shared" si="216"/>
        <v>0.1263954643</v>
      </c>
      <c r="V89" s="30">
        <f t="shared" si="28"/>
        <v>0.4233843375</v>
      </c>
      <c r="W89" s="30">
        <f t="shared" ref="W89:X89" si="217">((I88+I89)/2)*W$25*($C89-$C88)</f>
        <v>0.6428025104</v>
      </c>
      <c r="X89" s="30">
        <f t="shared" si="217"/>
        <v>2.419655988</v>
      </c>
      <c r="Y89" s="30">
        <f t="shared" si="30"/>
        <v>2.813658802</v>
      </c>
      <c r="Z89" s="30">
        <f>(L89-OFFSET(L89,-IF(C89-C88&gt;i_Cos_Days,1,MIN(B89,i_Cos_Days)),0))*MIN(i_Cos_Days,($C89-$C88))</f>
        <v>0</v>
      </c>
      <c r="AA89" s="30">
        <f t="shared" si="31"/>
        <v>14.92070647</v>
      </c>
      <c r="AB89" s="30">
        <f t="shared" si="32"/>
        <v>4.226798659</v>
      </c>
      <c r="AC89" s="30">
        <f t="shared" si="33"/>
        <v>0.5156007334</v>
      </c>
      <c r="AD89" s="30">
        <f t="shared" si="34"/>
        <v>0</v>
      </c>
      <c r="AE89" s="6"/>
      <c r="AF89" s="30">
        <f t="shared" si="11"/>
        <v>0.9621382033</v>
      </c>
      <c r="AG89" s="30" t="str">
        <f>MIN(1,SUM(OFFSET(E89,0,0,-i_Eve_ECG,1)))</f>
        <v>#VALUE!</v>
      </c>
      <c r="AH89" s="30" t="str">
        <f t="shared" si="12"/>
        <v>#VALUE!</v>
      </c>
      <c r="AI89" s="30" t="str">
        <f t="shared" si="13"/>
        <v>#VALUE!</v>
      </c>
      <c r="AJ89" s="30" t="str">
        <f>(AH89*(i_Adv_Fals/i_Adv_Alar)*i_Int_Kend_false)*AJ$25</f>
        <v>#VALUE!</v>
      </c>
      <c r="AK89" s="30" t="str">
        <f>(AH89*(i_Adv_Lead/i_Adv_Alar)*i_Int_Kend_leadsoff)*AK$25</f>
        <v>#VALUE!</v>
      </c>
      <c r="AL89" s="30">
        <f>((SUM(F88:J88)-((I88+J88)*(1-i_Bac_ICU)))+(SUM(F89:J89)-((I89+J89)*(1-i_Bac_ICU))))/2*(C89-C88)</f>
        <v>0.0005759515265</v>
      </c>
      <c r="AM89" s="30">
        <f>(((I88+J88)*(1-i_Bac_ICU))+((I89+J89)*(1-i_Bac_ICU))+K88+E88+E89+K89)/2*(C89-C88)</f>
        <v>0.002450885595</v>
      </c>
      <c r="AN89" s="6"/>
      <c r="AO89" s="6"/>
      <c r="AP89" s="6"/>
      <c r="AQ89" s="6"/>
      <c r="AR89" s="6"/>
      <c r="AS89" s="6"/>
      <c r="AT89" s="6"/>
      <c r="AU89" s="6"/>
    </row>
    <row r="90" ht="14.25" customHeight="1">
      <c r="A90" s="6"/>
      <c r="B90" s="26">
        <f t="shared" ref="B90:C90" si="218">B89+1</f>
        <v>64</v>
      </c>
      <c r="C90" s="26">
        <f t="shared" si="218"/>
        <v>64</v>
      </c>
      <c r="D90" s="26">
        <f t="shared" si="6"/>
        <v>0.2</v>
      </c>
      <c r="E90" s="28">
        <f t="shared" si="15"/>
        <v>0.0001354321817</v>
      </c>
      <c r="F90" s="28">
        <f t="shared" si="16"/>
        <v>0.0001204325526</v>
      </c>
      <c r="G90" s="28">
        <f t="shared" si="17"/>
        <v>0.00003839676151</v>
      </c>
      <c r="H90" s="28">
        <f t="shared" si="18"/>
        <v>0.0001653783486</v>
      </c>
      <c r="I90" s="28">
        <f t="shared" si="19"/>
        <v>0.0002645651859</v>
      </c>
      <c r="J90" s="28">
        <f t="shared" si="20"/>
        <v>0.001033007347</v>
      </c>
      <c r="K90" s="28">
        <f t="shared" si="21"/>
        <v>0.001165750997</v>
      </c>
      <c r="L90" s="28">
        <f t="shared" si="22"/>
        <v>0.9278849595</v>
      </c>
      <c r="M90" s="28">
        <f t="shared" si="23"/>
        <v>0.03367981252</v>
      </c>
      <c r="N90" s="28">
        <f t="shared" si="24"/>
        <v>0.003866674695</v>
      </c>
      <c r="O90" s="28">
        <f t="shared" si="25"/>
        <v>0.002918510621</v>
      </c>
      <c r="P90" s="28">
        <f t="shared" si="26"/>
        <v>0.0287270793</v>
      </c>
      <c r="Q90" s="6"/>
      <c r="R90" s="26">
        <f t="shared" si="7"/>
        <v>1</v>
      </c>
      <c r="S90" s="30">
        <f t="shared" si="8"/>
        <v>1.387374041</v>
      </c>
      <c r="T90" s="30">
        <f t="shared" ref="T90:U90" si="219">((F89+F90)/2)*T$25*($C90-$C89)</f>
        <v>0.3963977366</v>
      </c>
      <c r="U90" s="30">
        <f t="shared" si="219"/>
        <v>0.1263811919</v>
      </c>
      <c r="V90" s="30">
        <f t="shared" si="28"/>
        <v>0.4206543211</v>
      </c>
      <c r="W90" s="30">
        <f t="shared" ref="W90:X90" si="220">((I89+I90)/2)*W$25*($C90-$C89)</f>
        <v>0.6076221755</v>
      </c>
      <c r="X90" s="30">
        <f t="shared" si="220"/>
        <v>2.343382537</v>
      </c>
      <c r="Y90" s="30">
        <f t="shared" si="30"/>
        <v>2.769411019</v>
      </c>
      <c r="Z90" s="30">
        <f>(L90-OFFSET(L90,-IF(C90-C89&gt;i_Cos_Days,1,MIN(B90,i_Cos_Days)),0))*MIN(i_Cos_Days,($C90-$C89))</f>
        <v>0</v>
      </c>
      <c r="AA90" s="30">
        <f t="shared" si="31"/>
        <v>14.41034713</v>
      </c>
      <c r="AB90" s="30">
        <f t="shared" si="32"/>
        <v>4.226655162</v>
      </c>
      <c r="AC90" s="30">
        <f t="shared" si="33"/>
        <v>0.5155832291</v>
      </c>
      <c r="AD90" s="30">
        <f t="shared" si="34"/>
        <v>0</v>
      </c>
      <c r="AE90" s="6"/>
      <c r="AF90" s="30">
        <f t="shared" si="11"/>
        <v>0.9633972241</v>
      </c>
      <c r="AG90" s="30" t="str">
        <f>MIN(1,SUM(OFFSET(E90,0,0,-i_Eve_ECG,1)))</f>
        <v>#VALUE!</v>
      </c>
      <c r="AH90" s="30" t="str">
        <f t="shared" si="12"/>
        <v>#VALUE!</v>
      </c>
      <c r="AI90" s="30" t="str">
        <f t="shared" si="13"/>
        <v>#VALUE!</v>
      </c>
      <c r="AJ90" s="30" t="str">
        <f>(AH90*(i_Adv_Fals/i_Adv_Alar)*i_Int_Kend_false)*AJ$25</f>
        <v>#VALUE!</v>
      </c>
      <c r="AK90" s="30" t="str">
        <f>(AH90*(i_Adv_Lead/i_Adv_Alar)*i_Int_Kend_leadsoff)*AK$25</f>
        <v>#VALUE!</v>
      </c>
      <c r="AL90" s="30">
        <f>((SUM(F89:J89)-((I89+J89)*(1-i_Bac_ICU)))+(SUM(F90:J90)-((I90+J90)*(1-i_Bac_ICU))))/2*(C90-C89)</f>
        <v>0.0005657546457</v>
      </c>
      <c r="AM90" s="30">
        <f>(((I89+J89)*(1-i_Bac_ICU))+((I90+J90)*(1-i_Bac_ICU))+K89+E89+E90+K90)/2*(C90-C89)</f>
        <v>0.00239127267</v>
      </c>
      <c r="AN90" s="6"/>
      <c r="AO90" s="6"/>
      <c r="AP90" s="6"/>
      <c r="AQ90" s="6"/>
      <c r="AR90" s="6"/>
      <c r="AS90" s="6"/>
      <c r="AT90" s="6"/>
      <c r="AU90" s="6"/>
    </row>
    <row r="91" ht="14.25" customHeight="1">
      <c r="A91" s="6"/>
      <c r="B91" s="26">
        <f t="shared" ref="B91:C91" si="221">B90+1</f>
        <v>65</v>
      </c>
      <c r="C91" s="26">
        <f t="shared" si="221"/>
        <v>65</v>
      </c>
      <c r="D91" s="26">
        <f t="shared" si="6"/>
        <v>0.2</v>
      </c>
      <c r="E91" s="28">
        <f t="shared" si="15"/>
        <v>0.0001354177508</v>
      </c>
      <c r="F91" s="28">
        <f t="shared" si="16"/>
        <v>0.0001204195509</v>
      </c>
      <c r="G91" s="28">
        <f t="shared" si="17"/>
        <v>0.00003839251953</v>
      </c>
      <c r="H91" s="28">
        <f t="shared" si="18"/>
        <v>0.0001643721818</v>
      </c>
      <c r="I91" s="28">
        <f t="shared" si="19"/>
        <v>0.0002501686378</v>
      </c>
      <c r="J91" s="28">
        <f t="shared" si="20"/>
        <v>0.001000477767</v>
      </c>
      <c r="K91" s="28">
        <f t="shared" si="21"/>
        <v>0.001148735995</v>
      </c>
      <c r="L91" s="28">
        <f t="shared" si="22"/>
        <v>0.9289950224</v>
      </c>
      <c r="M91" s="28">
        <f t="shared" si="23"/>
        <v>0.0325332388</v>
      </c>
      <c r="N91" s="28">
        <f t="shared" si="24"/>
        <v>0.003884473232</v>
      </c>
      <c r="O91" s="28">
        <f t="shared" si="25"/>
        <v>0.002923434579</v>
      </c>
      <c r="P91" s="28">
        <f t="shared" si="26"/>
        <v>0.02880584657</v>
      </c>
      <c r="Q91" s="6"/>
      <c r="R91" s="26">
        <f t="shared" si="7"/>
        <v>1</v>
      </c>
      <c r="S91" s="30">
        <f t="shared" si="8"/>
        <v>1.38722621</v>
      </c>
      <c r="T91" s="30">
        <f t="shared" ref="T91:U91" si="222">((F90+F91)/2)*T$25*($C91-$C90)</f>
        <v>0.3963546512</v>
      </c>
      <c r="U91" s="30">
        <f t="shared" si="222"/>
        <v>0.1263671285</v>
      </c>
      <c r="V91" s="30">
        <f t="shared" si="28"/>
        <v>0.4180445325</v>
      </c>
      <c r="W91" s="30">
        <f t="shared" ref="W91:X91" si="223">((I90+I91)/2)*W$25*($C91-$C90)</f>
        <v>0.5744919781</v>
      </c>
      <c r="X91" s="30">
        <f t="shared" si="223"/>
        <v>2.269563086</v>
      </c>
      <c r="Y91" s="30">
        <f t="shared" si="30"/>
        <v>2.727970093</v>
      </c>
      <c r="Z91" s="30">
        <f>(L91-OFFSET(L91,-IF(C91-C90&gt;i_Cos_Days,1,MIN(B91,i_Cos_Days)),0))*MIN(i_Cos_Days,($C91-$C90))</f>
        <v>0</v>
      </c>
      <c r="AA91" s="30">
        <f t="shared" si="31"/>
        <v>13.91897658</v>
      </c>
      <c r="AB91" s="30">
        <f t="shared" si="32"/>
        <v>4.226502846</v>
      </c>
      <c r="AC91" s="30">
        <f t="shared" si="33"/>
        <v>0.5155646489</v>
      </c>
      <c r="AD91" s="30">
        <f t="shared" si="34"/>
        <v>0</v>
      </c>
      <c r="AE91" s="6"/>
      <c r="AF91" s="30">
        <f t="shared" si="11"/>
        <v>0.9646087768</v>
      </c>
      <c r="AG91" s="30" t="str">
        <f>MIN(1,SUM(OFFSET(E91,0,0,-i_Eve_ECG,1)))</f>
        <v>#VALUE!</v>
      </c>
      <c r="AH91" s="30" t="str">
        <f t="shared" si="12"/>
        <v>#VALUE!</v>
      </c>
      <c r="AI91" s="30" t="str">
        <f t="shared" si="13"/>
        <v>#VALUE!</v>
      </c>
      <c r="AJ91" s="30" t="str">
        <f>(AH91*(i_Adv_Fals/i_Adv_Alar)*i_Int_Kend_false)*AJ$25</f>
        <v>#VALUE!</v>
      </c>
      <c r="AK91" s="30" t="str">
        <f>(AH91*(i_Adv_Lead/i_Adv_Alar)*i_Int_Kend_leadsoff)*AK$25</f>
        <v>#VALUE!</v>
      </c>
      <c r="AL91" s="30">
        <f>((SUM(F90:J90)-((I90+J90)*(1-i_Bac_ICU)))+(SUM(F91:J91)-((I91+J91)*(1-i_Bac_ICU))))/2*(C91-C90)</f>
        <v>0.0005559732869</v>
      </c>
      <c r="AM91" s="30">
        <f>(((I90+J90)*(1-i_Bac_ICU))+((I91+J91)*(1-i_Bac_ICU))+K90+E90+E91+K91)/2*(C91-C90)</f>
        <v>0.002334500602</v>
      </c>
      <c r="AN91" s="6"/>
      <c r="AO91" s="6"/>
      <c r="AP91" s="6"/>
      <c r="AQ91" s="6"/>
      <c r="AR91" s="6"/>
      <c r="AS91" s="6"/>
      <c r="AT91" s="6"/>
      <c r="AU91" s="6"/>
    </row>
    <row r="92" ht="14.25" customHeight="1">
      <c r="A92" s="6"/>
      <c r="B92" s="26">
        <f t="shared" ref="B92:C92" si="224">B91+1</f>
        <v>66</v>
      </c>
      <c r="C92" s="26">
        <f t="shared" si="224"/>
        <v>66</v>
      </c>
      <c r="D92" s="26">
        <f t="shared" si="6"/>
        <v>0.2</v>
      </c>
      <c r="E92" s="28">
        <f t="shared" si="15"/>
        <v>0.0001354035013</v>
      </c>
      <c r="F92" s="28">
        <f t="shared" si="16"/>
        <v>0.0001204067187</v>
      </c>
      <c r="G92" s="28">
        <f t="shared" si="17"/>
        <v>0.00003838833639</v>
      </c>
      <c r="H92" s="28">
        <f t="shared" si="18"/>
        <v>0.0001634100449</v>
      </c>
      <c r="I92" s="28">
        <f t="shared" si="19"/>
        <v>0.0002366111448</v>
      </c>
      <c r="J92" s="28">
        <f t="shared" si="20"/>
        <v>0.0009689954782</v>
      </c>
      <c r="K92" s="28">
        <f t="shared" si="21"/>
        <v>0.001132744899</v>
      </c>
      <c r="L92" s="28">
        <f t="shared" si="22"/>
        <v>0.9300606731</v>
      </c>
      <c r="M92" s="28">
        <f t="shared" si="23"/>
        <v>0.0314293514</v>
      </c>
      <c r="N92" s="28">
        <f t="shared" si="24"/>
        <v>0.003901522039</v>
      </c>
      <c r="O92" s="28">
        <f t="shared" si="25"/>
        <v>0.00292802246</v>
      </c>
      <c r="P92" s="28">
        <f t="shared" si="26"/>
        <v>0.02888447087</v>
      </c>
      <c r="Q92" s="6"/>
      <c r="R92" s="26">
        <f t="shared" si="7"/>
        <v>1</v>
      </c>
      <c r="S92" s="30">
        <f t="shared" si="8"/>
        <v>1.387080237</v>
      </c>
      <c r="T92" s="30">
        <f t="shared" ref="T92:U92" si="225">((F91+F92)/2)*T$25*($C92-$C91)</f>
        <v>0.3963121381</v>
      </c>
      <c r="U92" s="30">
        <f t="shared" si="225"/>
        <v>0.1263532638</v>
      </c>
      <c r="V92" s="30">
        <f t="shared" si="28"/>
        <v>0.4155491957</v>
      </c>
      <c r="W92" s="30">
        <f t="shared" ref="W92:X92" si="226">((I91+I92)/2)*W$25*($C92-$C91)</f>
        <v>0.5432926054</v>
      </c>
      <c r="X92" s="30">
        <f t="shared" si="226"/>
        <v>2.198119744</v>
      </c>
      <c r="Y92" s="30">
        <f t="shared" si="30"/>
        <v>2.689067455</v>
      </c>
      <c r="Z92" s="30">
        <f>(L92-OFFSET(L92,-IF(C92-C91&gt;i_Cos_Days,1,MIN(B92,i_Cos_Days)),0))*MIN(i_Cos_Days,($C92-$C91))</f>
        <v>0</v>
      </c>
      <c r="AA92" s="30">
        <f t="shared" si="31"/>
        <v>13.4458959</v>
      </c>
      <c r="AB92" s="30">
        <f t="shared" si="32"/>
        <v>4.226342365</v>
      </c>
      <c r="AC92" s="30">
        <f t="shared" si="33"/>
        <v>0.5155450729</v>
      </c>
      <c r="AD92" s="30">
        <f t="shared" si="34"/>
        <v>0</v>
      </c>
      <c r="AE92" s="6"/>
      <c r="AF92" s="30">
        <f t="shared" si="11"/>
        <v>0.9657746885</v>
      </c>
      <c r="AG92" s="30" t="str">
        <f>MIN(1,SUM(OFFSET(E92,0,0,-i_Eve_ECG,1)))</f>
        <v>#VALUE!</v>
      </c>
      <c r="AH92" s="30" t="str">
        <f t="shared" si="12"/>
        <v>#VALUE!</v>
      </c>
      <c r="AI92" s="30" t="str">
        <f t="shared" si="13"/>
        <v>#VALUE!</v>
      </c>
      <c r="AJ92" s="30" t="str">
        <f>(AH92*(i_Adv_Fals/i_Adv_Alar)*i_Int_Kend_false)*AJ$25</f>
        <v>#VALUE!</v>
      </c>
      <c r="AK92" s="30" t="str">
        <f>(AH92*(i_Adv_Lead/i_Adv_Alar)*i_Int_Kend_leadsoff)*AK$25</f>
        <v>#VALUE!</v>
      </c>
      <c r="AL92" s="30">
        <f>((SUM(F91:J91)-((I91+J91)*(1-i_Bac_ICU)))+(SUM(F92:J92)-((I92+J92)*(1-i_Bac_ICU))))/2*(C92-C91)</f>
        <v>0.000546589054</v>
      </c>
      <c r="AM92" s="30">
        <f>(((I91+J91)*(1-i_Bac_ICU))+((I92+J92)*(1-i_Bac_ICU))+K91+E91+E92+K92)/2*(C92-C91)</f>
        <v>0.002280383209</v>
      </c>
      <c r="AN92" s="6"/>
      <c r="AO92" s="6"/>
      <c r="AP92" s="6"/>
      <c r="AQ92" s="6"/>
      <c r="AR92" s="6"/>
      <c r="AS92" s="6"/>
      <c r="AT92" s="6"/>
      <c r="AU92" s="6"/>
    </row>
    <row r="93" ht="14.25" customHeight="1">
      <c r="A93" s="6"/>
      <c r="B93" s="26">
        <f t="shared" ref="B93:C93" si="227">B92+1</f>
        <v>67</v>
      </c>
      <c r="C93" s="26">
        <f t="shared" si="227"/>
        <v>67</v>
      </c>
      <c r="D93" s="26">
        <f t="shared" si="6"/>
        <v>0.2</v>
      </c>
      <c r="E93" s="28">
        <f t="shared" si="15"/>
        <v>0.0001353894243</v>
      </c>
      <c r="F93" s="28">
        <f t="shared" si="16"/>
        <v>0.0001203940477</v>
      </c>
      <c r="G93" s="28">
        <f t="shared" si="17"/>
        <v>0.00003838420921</v>
      </c>
      <c r="H93" s="28">
        <f t="shared" si="18"/>
        <v>0.0001624898303</v>
      </c>
      <c r="I93" s="28">
        <f t="shared" si="19"/>
        <v>0.0002238438201</v>
      </c>
      <c r="J93" s="28">
        <f t="shared" si="20"/>
        <v>0.000938527149</v>
      </c>
      <c r="K93" s="28">
        <f t="shared" si="21"/>
        <v>0.001117685789</v>
      </c>
      <c r="L93" s="28">
        <f t="shared" si="22"/>
        <v>0.9310836038</v>
      </c>
      <c r="M93" s="28">
        <f t="shared" si="23"/>
        <v>0.03036657509</v>
      </c>
      <c r="N93" s="28">
        <f t="shared" si="24"/>
        <v>0.003917852088</v>
      </c>
      <c r="O93" s="28">
        <f t="shared" si="25"/>
        <v>0.002932296325</v>
      </c>
      <c r="P93" s="28">
        <f t="shared" si="26"/>
        <v>0.02896295843</v>
      </c>
      <c r="Q93" s="6"/>
      <c r="R93" s="26">
        <f t="shared" si="7"/>
        <v>1</v>
      </c>
      <c r="S93" s="30">
        <f t="shared" si="8"/>
        <v>1.386936032</v>
      </c>
      <c r="T93" s="30">
        <f t="shared" ref="T93:U93" si="228">((F92+F93)/2)*T$25*($C93-$C92)</f>
        <v>0.3962701692</v>
      </c>
      <c r="U93" s="30">
        <f t="shared" si="228"/>
        <v>0.1263395881</v>
      </c>
      <c r="V93" s="30">
        <f t="shared" si="28"/>
        <v>0.4131628257</v>
      </c>
      <c r="W93" s="30">
        <f t="shared" ref="W93:X93" si="229">((I92+I93)/2)*W$25*($C93-$C92)</f>
        <v>0.5139116013</v>
      </c>
      <c r="X93" s="30">
        <f t="shared" si="229"/>
        <v>2.128976952</v>
      </c>
      <c r="Y93" s="30">
        <f t="shared" si="30"/>
        <v>2.652470131</v>
      </c>
      <c r="Z93" s="30">
        <f>(L93-OFFSET(L93,-IF(C93-C92&gt;i_Cos_Days,1,MIN(B93,i_Cos_Days)),0))*MIN(i_Cos_Days,($C93-$C92))</f>
        <v>0</v>
      </c>
      <c r="AA93" s="30">
        <f t="shared" si="31"/>
        <v>12.99043069</v>
      </c>
      <c r="AB93" s="30">
        <f t="shared" si="32"/>
        <v>4.226174297</v>
      </c>
      <c r="AC93" s="30">
        <f t="shared" si="33"/>
        <v>0.5155245714</v>
      </c>
      <c r="AD93" s="30">
        <f t="shared" si="34"/>
        <v>0</v>
      </c>
      <c r="AE93" s="6"/>
      <c r="AF93" s="30">
        <f t="shared" si="11"/>
        <v>0.9668967106</v>
      </c>
      <c r="AG93" s="30" t="str">
        <f>MIN(1,SUM(OFFSET(E93,0,0,-i_Eve_ECG,1)))</f>
        <v>#VALUE!</v>
      </c>
      <c r="AH93" s="30" t="str">
        <f t="shared" si="12"/>
        <v>#VALUE!</v>
      </c>
      <c r="AI93" s="30" t="str">
        <f t="shared" si="13"/>
        <v>#VALUE!</v>
      </c>
      <c r="AJ93" s="30" t="str">
        <f>(AH93*(i_Adv_Fals/i_Adv_Alar)*i_Int_Kend_false)*AJ$25</f>
        <v>#VALUE!</v>
      </c>
      <c r="AK93" s="30" t="str">
        <f>(AH93*(i_Adv_Lead/i_Adv_Alar)*i_Int_Kend_leadsoff)*AK$25</f>
        <v>#VALUE!</v>
      </c>
      <c r="AL93" s="30">
        <f>((SUM(F92:J92)-((I92+J92)*(1-i_Bac_ICU)))+(SUM(F93:J93)-((I93+J93)*(1-i_Bac_ICU))))/2*(C93-C92)</f>
        <v>0.000537584417</v>
      </c>
      <c r="AM93" s="30">
        <f>(((I92+J92)*(1-i_Bac_ICU))+((I93+J93)*(1-i_Bac_ICU))+K92+E92+E93+K93)/2*(C93-C92)</f>
        <v>0.00222875278</v>
      </c>
      <c r="AN93" s="6"/>
      <c r="AO93" s="6"/>
      <c r="AP93" s="6"/>
      <c r="AQ93" s="6"/>
      <c r="AR93" s="6"/>
      <c r="AS93" s="6"/>
      <c r="AT93" s="6"/>
      <c r="AU93" s="6"/>
    </row>
    <row r="94" ht="14.25" customHeight="1">
      <c r="A94" s="6"/>
      <c r="B94" s="26">
        <f t="shared" ref="B94:C94" si="230">B93+1</f>
        <v>68</v>
      </c>
      <c r="C94" s="26">
        <f t="shared" si="230"/>
        <v>68</v>
      </c>
      <c r="D94" s="26">
        <f t="shared" si="6"/>
        <v>0.2</v>
      </c>
      <c r="E94" s="28">
        <f t="shared" si="15"/>
        <v>0.0001353755115</v>
      </c>
      <c r="F94" s="28">
        <f t="shared" si="16"/>
        <v>0.0001203815303</v>
      </c>
      <c r="G94" s="28">
        <f t="shared" si="17"/>
        <v>0.00003838013524</v>
      </c>
      <c r="H94" s="28">
        <f t="shared" si="18"/>
        <v>0.0001616095369</v>
      </c>
      <c r="I94" s="28">
        <f t="shared" si="19"/>
        <v>0.0002118205974</v>
      </c>
      <c r="J94" s="28">
        <f t="shared" si="20"/>
        <v>0.0009090404621</v>
      </c>
      <c r="K94" s="28">
        <f t="shared" si="21"/>
        <v>0.00110347843</v>
      </c>
      <c r="L94" s="28">
        <f t="shared" si="22"/>
        <v>0.9320654382</v>
      </c>
      <c r="M94" s="28">
        <f t="shared" si="23"/>
        <v>0.02934339058</v>
      </c>
      <c r="N94" s="28">
        <f t="shared" si="24"/>
        <v>0.003933493082</v>
      </c>
      <c r="O94" s="28">
        <f t="shared" si="25"/>
        <v>0.00293627679</v>
      </c>
      <c r="P94" s="28">
        <f t="shared" si="26"/>
        <v>0.02904131512</v>
      </c>
      <c r="Q94" s="6"/>
      <c r="R94" s="26">
        <f t="shared" si="7"/>
        <v>1</v>
      </c>
      <c r="S94" s="30">
        <f t="shared" si="8"/>
        <v>1.386793509</v>
      </c>
      <c r="T94" s="30">
        <f t="shared" ref="T94:U94" si="231">((F93+F94)/2)*T$25*($C94-$C93)</f>
        <v>0.3962287183</v>
      </c>
      <c r="U94" s="30">
        <f t="shared" si="231"/>
        <v>0.126326092</v>
      </c>
      <c r="V94" s="30">
        <f t="shared" si="28"/>
        <v>0.4108802138</v>
      </c>
      <c r="W94" s="30">
        <f t="shared" ref="W94:X94" si="232">((I93+I94)/2)*W$25*($C94-$C93)</f>
        <v>0.486242989</v>
      </c>
      <c r="X94" s="30">
        <f t="shared" si="232"/>
        <v>2.062061444</v>
      </c>
      <c r="Y94" s="30">
        <f t="shared" si="30"/>
        <v>2.617975207</v>
      </c>
      <c r="Z94" s="30">
        <f>(L94-OFFSET(L94,-IF(C94-C93&gt;i_Cos_Days,1,MIN(B94,i_Cos_Days)),0))*MIN(i_Cos_Days,($C94-$C93))</f>
        <v>0</v>
      </c>
      <c r="AA94" s="30">
        <f t="shared" si="31"/>
        <v>12.55193043</v>
      </c>
      <c r="AB94" s="30">
        <f t="shared" si="32"/>
        <v>4.225999158</v>
      </c>
      <c r="AC94" s="30">
        <f t="shared" si="33"/>
        <v>0.5155032073</v>
      </c>
      <c r="AD94" s="30">
        <f t="shared" si="34"/>
        <v>0</v>
      </c>
      <c r="AE94" s="6"/>
      <c r="AF94" s="30">
        <f t="shared" si="11"/>
        <v>0.9679765232</v>
      </c>
      <c r="AG94" s="30" t="str">
        <f>MIN(1,SUM(OFFSET(E94,0,0,-i_Eve_ECG,1)))</f>
        <v>#VALUE!</v>
      </c>
      <c r="AH94" s="30" t="str">
        <f t="shared" si="12"/>
        <v>#VALUE!</v>
      </c>
      <c r="AI94" s="30" t="str">
        <f t="shared" si="13"/>
        <v>#VALUE!</v>
      </c>
      <c r="AJ94" s="30" t="str">
        <f>(AH94*(i_Adv_Fals/i_Adv_Alar)*i_Int_Kend_false)*AJ$25</f>
        <v>#VALUE!</v>
      </c>
      <c r="AK94" s="30" t="str">
        <f>(AH94*(i_Adv_Lead/i_Adv_Alar)*i_Int_Kend_leadsoff)*AK$25</f>
        <v>#VALUE!</v>
      </c>
      <c r="AL94" s="30">
        <f>((SUM(F93:J93)-((I93+J93)*(1-i_Bac_ICU)))+(SUM(F94:J94)-((I94+J94)*(1-i_Bac_ICU))))/2*(C94-C93)</f>
        <v>0.0005289426716</v>
      </c>
      <c r="AM94" s="30">
        <f>(((I93+J93)*(1-i_Bac_ICU))+((I94+J94)*(1-i_Bac_ICU))+K93+E93+E94+K94)/2*(C94-C93)</f>
        <v>0.002179457565</v>
      </c>
      <c r="AN94" s="6"/>
      <c r="AO94" s="6"/>
      <c r="AP94" s="6"/>
      <c r="AQ94" s="6"/>
      <c r="AR94" s="6"/>
      <c r="AS94" s="6"/>
      <c r="AT94" s="6"/>
      <c r="AU94" s="6"/>
    </row>
    <row r="95" ht="14.25" customHeight="1">
      <c r="A95" s="6"/>
      <c r="B95" s="26">
        <f t="shared" ref="B95:C95" si="233">B94+1</f>
        <v>69</v>
      </c>
      <c r="C95" s="26">
        <f t="shared" si="233"/>
        <v>69</v>
      </c>
      <c r="D95" s="26">
        <f t="shared" si="6"/>
        <v>0.2</v>
      </c>
      <c r="E95" s="28">
        <f t="shared" si="15"/>
        <v>0.000135361755</v>
      </c>
      <c r="F95" s="28">
        <f t="shared" si="16"/>
        <v>0.0001203691588</v>
      </c>
      <c r="G95" s="28">
        <f t="shared" si="17"/>
        <v>0.00003837611191</v>
      </c>
      <c r="H95" s="28">
        <f t="shared" si="18"/>
        <v>0.0001607672646</v>
      </c>
      <c r="I95" s="28">
        <f t="shared" si="19"/>
        <v>0.0002004980735</v>
      </c>
      <c r="J95" s="28">
        <f t="shared" si="20"/>
        <v>0.0008805040895</v>
      </c>
      <c r="K95" s="28">
        <f t="shared" si="21"/>
        <v>0.001090052482</v>
      </c>
      <c r="L95" s="28">
        <f t="shared" si="22"/>
        <v>0.933007735</v>
      </c>
      <c r="M95" s="28">
        <f t="shared" si="23"/>
        <v>0.02835833296</v>
      </c>
      <c r="N95" s="28">
        <f t="shared" si="24"/>
        <v>0.003948473502</v>
      </c>
      <c r="O95" s="28">
        <f t="shared" si="25"/>
        <v>0.002939983118</v>
      </c>
      <c r="P95" s="28">
        <f t="shared" si="26"/>
        <v>0.02911954649</v>
      </c>
      <c r="Q95" s="6"/>
      <c r="R95" s="26">
        <f t="shared" si="7"/>
        <v>1</v>
      </c>
      <c r="S95" s="30">
        <f t="shared" si="8"/>
        <v>1.386652587</v>
      </c>
      <c r="T95" s="30">
        <f t="shared" ref="T95:U95" si="234">((F94+F95)/2)*T$25*($C95-$C94)</f>
        <v>0.3961877602</v>
      </c>
      <c r="U95" s="30">
        <f t="shared" si="234"/>
        <v>0.1263127668</v>
      </c>
      <c r="V95" s="30">
        <f t="shared" si="28"/>
        <v>0.4086964139</v>
      </c>
      <c r="W95" s="30">
        <f t="shared" ref="W95:X95" si="235">((I94+I95)/2)*W$25*($C95-$C94)</f>
        <v>0.460186912</v>
      </c>
      <c r="X95" s="30">
        <f t="shared" si="235"/>
        <v>1.997302182</v>
      </c>
      <c r="Y95" s="30">
        <f t="shared" si="30"/>
        <v>2.585405209</v>
      </c>
      <c r="Z95" s="30">
        <f>(L95-OFFSET(L95,-IF(C95-C94&gt;i_Cos_Days,1,MIN(B95,i_Cos_Days)),0))*MIN(i_Cos_Days,($C95-$C94))</f>
        <v>0</v>
      </c>
      <c r="AA95" s="30">
        <f t="shared" si="31"/>
        <v>12.12976781</v>
      </c>
      <c r="AB95" s="30">
        <f t="shared" si="32"/>
        <v>4.225817406</v>
      </c>
      <c r="AC95" s="30">
        <f t="shared" si="33"/>
        <v>0.5154810365</v>
      </c>
      <c r="AD95" s="30">
        <f t="shared" si="34"/>
        <v>0</v>
      </c>
      <c r="AE95" s="6"/>
      <c r="AF95" s="30">
        <f t="shared" si="11"/>
        <v>0.9690157381</v>
      </c>
      <c r="AG95" s="30" t="str">
        <f>MIN(1,SUM(OFFSET(E95,0,0,-i_Eve_ECG,1)))</f>
        <v>#VALUE!</v>
      </c>
      <c r="AH95" s="30" t="str">
        <f t="shared" si="12"/>
        <v>#VALUE!</v>
      </c>
      <c r="AI95" s="30" t="str">
        <f t="shared" si="13"/>
        <v>#VALUE!</v>
      </c>
      <c r="AJ95" s="30" t="str">
        <f>(AH95*(i_Adv_Fals/i_Adv_Alar)*i_Int_Kend_false)*AJ$25</f>
        <v>#VALUE!</v>
      </c>
      <c r="AK95" s="30" t="str">
        <f>(AH95*(i_Adv_Lead/i_Adv_Alar)*i_Int_Kend_leadsoff)*AK$25</f>
        <v>#VALUE!</v>
      </c>
      <c r="AL95" s="30">
        <f>((SUM(F94:J94)-((I94+J94)*(1-i_Bac_ICU)))+(SUM(F95:J95)-((I95+J95)*(1-i_Bac_ICU))))/2*(C95-C94)</f>
        <v>0.0005206478999</v>
      </c>
      <c r="AM95" s="30">
        <f>(((I94+J94)*(1-i_Bac_ICU))+((I95+J95)*(1-i_Bac_ICU))+K94+E94+E95+K95)/2*(C95-C94)</f>
        <v>0.002132359669</v>
      </c>
      <c r="AN95" s="6"/>
      <c r="AO95" s="6"/>
      <c r="AP95" s="6"/>
      <c r="AQ95" s="6"/>
      <c r="AR95" s="6"/>
      <c r="AS95" s="6"/>
      <c r="AT95" s="6"/>
      <c r="AU95" s="6"/>
    </row>
    <row r="96" ht="14.25" customHeight="1">
      <c r="A96" s="6"/>
      <c r="B96" s="26">
        <f t="shared" ref="B96:C96" si="236">B95+1</f>
        <v>70</v>
      </c>
      <c r="C96" s="26">
        <f t="shared" si="236"/>
        <v>70</v>
      </c>
      <c r="D96" s="26">
        <f t="shared" si="6"/>
        <v>0.2</v>
      </c>
      <c r="E96" s="28">
        <f t="shared" si="15"/>
        <v>0.0001353481474</v>
      </c>
      <c r="F96" s="28">
        <f t="shared" si="16"/>
        <v>0.0001203569264</v>
      </c>
      <c r="G96" s="28">
        <f t="shared" si="17"/>
        <v>0.00003837213675</v>
      </c>
      <c r="H96" s="28">
        <f t="shared" si="18"/>
        <v>0.000159961209</v>
      </c>
      <c r="I96" s="28">
        <f t="shared" si="19"/>
        <v>0.0001898353589</v>
      </c>
      <c r="J96" s="28">
        <f t="shared" si="20"/>
        <v>0.0008528876682</v>
      </c>
      <c r="K96" s="28">
        <f t="shared" si="21"/>
        <v>0.001077346016</v>
      </c>
      <c r="L96" s="28">
        <f t="shared" si="22"/>
        <v>0.9339119908</v>
      </c>
      <c r="M96" s="28">
        <f t="shared" si="23"/>
        <v>0.02740998999</v>
      </c>
      <c r="N96" s="28">
        <f t="shared" si="24"/>
        <v>0.003962820658</v>
      </c>
      <c r="O96" s="28">
        <f t="shared" si="25"/>
        <v>0.002943433303</v>
      </c>
      <c r="P96" s="28">
        <f t="shared" si="26"/>
        <v>0.02919765774</v>
      </c>
      <c r="Q96" s="6"/>
      <c r="R96" s="26">
        <f t="shared" si="7"/>
        <v>1</v>
      </c>
      <c r="S96" s="30">
        <f t="shared" si="8"/>
        <v>1.386513189</v>
      </c>
      <c r="T96" s="30">
        <f t="shared" ref="T96:U96" si="237">((F95+F96)/2)*T$25*($C96-$C95)</f>
        <v>0.3961472712</v>
      </c>
      <c r="U96" s="30">
        <f t="shared" si="237"/>
        <v>0.1262996042</v>
      </c>
      <c r="V96" s="30">
        <f t="shared" si="28"/>
        <v>0.4066067298</v>
      </c>
      <c r="W96" s="30">
        <f t="shared" ref="W96:X96" si="238">((I95+I96)/2)*W$25*($C96-$C95)</f>
        <v>0.4356492916</v>
      </c>
      <c r="X96" s="30">
        <f t="shared" si="238"/>
        <v>1.934630315</v>
      </c>
      <c r="Y96" s="30">
        <f t="shared" si="30"/>
        <v>2.554604239</v>
      </c>
      <c r="Z96" s="30">
        <f>(L96-OFFSET(L96,-IF(C96-C95&gt;i_Cos_Days,1,MIN(B96,i_Cos_Days)),0))*MIN(i_Cos_Days,($C96-$C95))</f>
        <v>0</v>
      </c>
      <c r="AA96" s="30">
        <f t="shared" si="31"/>
        <v>11.72333801</v>
      </c>
      <c r="AB96" s="30">
        <f t="shared" si="32"/>
        <v>4.225629454</v>
      </c>
      <c r="AC96" s="30">
        <f t="shared" si="33"/>
        <v>0.5154581093</v>
      </c>
      <c r="AD96" s="30">
        <f t="shared" si="34"/>
        <v>0</v>
      </c>
      <c r="AE96" s="6"/>
      <c r="AF96" s="30">
        <f t="shared" si="11"/>
        <v>0.9700159026</v>
      </c>
      <c r="AG96" s="30" t="str">
        <f>MIN(1,SUM(OFFSET(E96,0,0,-i_Eve_ECG,1)))</f>
        <v>#VALUE!</v>
      </c>
      <c r="AH96" s="30" t="str">
        <f t="shared" si="12"/>
        <v>#VALUE!</v>
      </c>
      <c r="AI96" s="30" t="str">
        <f t="shared" si="13"/>
        <v>#VALUE!</v>
      </c>
      <c r="AJ96" s="30" t="str">
        <f>(AH96*(i_Adv_Fals/i_Adv_Alar)*i_Int_Kend_false)*AJ$25</f>
        <v>#VALUE!</v>
      </c>
      <c r="AK96" s="30" t="str">
        <f>(AH96*(i_Adv_Lead/i_Adv_Alar)*i_Int_Kend_leadsoff)*AK$25</f>
        <v>#VALUE!</v>
      </c>
      <c r="AL96" s="30">
        <f>((SUM(F95:J95)-((I95+J95)*(1-i_Bac_ICU)))+(SUM(F96:J96)-((I96+J96)*(1-i_Bac_ICU))))/2*(C96-C95)</f>
        <v>0.0005126849331</v>
      </c>
      <c r="AM96" s="30">
        <f>(((I95+J95)*(1-i_Bac_ICU))+((I96+J96)*(1-i_Bac_ICU))+K95+E95+E96+K96)/2*(C96-C95)</f>
        <v>0.002087333266</v>
      </c>
      <c r="AN96" s="6"/>
      <c r="AO96" s="6"/>
      <c r="AP96" s="6"/>
      <c r="AQ96" s="6"/>
      <c r="AR96" s="6"/>
      <c r="AS96" s="6"/>
      <c r="AT96" s="6"/>
      <c r="AU96" s="6"/>
    </row>
    <row r="97" ht="14.25" customHeight="1">
      <c r="A97" s="6"/>
      <c r="B97" s="26">
        <f t="shared" ref="B97:C97" si="239">B96+1</f>
        <v>71</v>
      </c>
      <c r="C97" s="26">
        <f t="shared" si="239"/>
        <v>71</v>
      </c>
      <c r="D97" s="26">
        <f t="shared" si="6"/>
        <v>0.2</v>
      </c>
      <c r="E97" s="28">
        <f t="shared" si="15"/>
        <v>0.0001353346815</v>
      </c>
      <c r="F97" s="28">
        <f t="shared" si="16"/>
        <v>0.0001203448264</v>
      </c>
      <c r="G97" s="28">
        <f t="shared" si="17"/>
        <v>0.00003836820745</v>
      </c>
      <c r="H97" s="28">
        <f t="shared" si="18"/>
        <v>0.0001591896567</v>
      </c>
      <c r="I97" s="28">
        <f t="shared" si="19"/>
        <v>0.0001797939363</v>
      </c>
      <c r="J97" s="28">
        <f t="shared" si="20"/>
        <v>0.0008261617753</v>
      </c>
      <c r="K97" s="28">
        <f t="shared" si="21"/>
        <v>0.001065304259</v>
      </c>
      <c r="L97" s="28">
        <f t="shared" si="22"/>
        <v>0.9347796435</v>
      </c>
      <c r="M97" s="28">
        <f t="shared" si="23"/>
        <v>0.02649700045</v>
      </c>
      <c r="N97" s="28">
        <f t="shared" si="24"/>
        <v>0.003976560736</v>
      </c>
      <c r="O97" s="28">
        <f t="shared" si="25"/>
        <v>0.002946644158</v>
      </c>
      <c r="P97" s="28">
        <f t="shared" si="26"/>
        <v>0.02927565383</v>
      </c>
      <c r="Q97" s="6"/>
      <c r="R97" s="26">
        <f t="shared" si="7"/>
        <v>1</v>
      </c>
      <c r="S97" s="30">
        <f t="shared" si="8"/>
        <v>1.386375244</v>
      </c>
      <c r="T97" s="30">
        <f t="shared" ref="T97:U97" si="240">((F96+F97)/2)*T$25*($C97-$C96)</f>
        <v>0.3961072289</v>
      </c>
      <c r="U97" s="30">
        <f t="shared" si="240"/>
        <v>0.1262865963</v>
      </c>
      <c r="V97" s="30">
        <f t="shared" si="28"/>
        <v>0.4046067016</v>
      </c>
      <c r="W97" s="30">
        <f t="shared" ref="W97:X97" si="241">((I96+I97)/2)*W$25*($C97-$C96)</f>
        <v>0.4125415023</v>
      </c>
      <c r="X97" s="30">
        <f t="shared" si="241"/>
        <v>1.873979116</v>
      </c>
      <c r="Y97" s="30">
        <f t="shared" si="30"/>
        <v>2.525434747</v>
      </c>
      <c r="Z97" s="30">
        <f>(L97-OFFSET(L97,-IF(C97-C96&gt;i_Cos_Days,1,MIN(B97,i_Cos_Days)),0))*MIN(i_Cos_Days,($C97-$C96))</f>
        <v>0</v>
      </c>
      <c r="AA97" s="30">
        <f t="shared" si="31"/>
        <v>11.33205799</v>
      </c>
      <c r="AB97" s="30">
        <f t="shared" si="32"/>
        <v>4.225435671</v>
      </c>
      <c r="AC97" s="30">
        <f t="shared" si="33"/>
        <v>0.515434471</v>
      </c>
      <c r="AD97" s="30">
        <f t="shared" si="34"/>
        <v>0</v>
      </c>
      <c r="AE97" s="6"/>
      <c r="AF97" s="30">
        <f t="shared" si="11"/>
        <v>0.9709785022</v>
      </c>
      <c r="AG97" s="30" t="str">
        <f>MIN(1,SUM(OFFSET(E97,0,0,-i_Eve_ECG,1)))</f>
        <v>#VALUE!</v>
      </c>
      <c r="AH97" s="30" t="str">
        <f t="shared" si="12"/>
        <v>#VALUE!</v>
      </c>
      <c r="AI97" s="30" t="str">
        <f t="shared" si="13"/>
        <v>#VALUE!</v>
      </c>
      <c r="AJ97" s="30" t="str">
        <f>(AH97*(i_Adv_Fals/i_Adv_Alar)*i_Int_Kend_false)*AJ$25</f>
        <v>#VALUE!</v>
      </c>
      <c r="AK97" s="30" t="str">
        <f>(AH97*(i_Adv_Lead/i_Adv_Alar)*i_Int_Kend_leadsoff)*AK$25</f>
        <v>#VALUE!</v>
      </c>
      <c r="AL97" s="30">
        <f>((SUM(F96:J96)-((I96+J96)*(1-i_Bac_ICU)))+(SUM(F97:J97)-((I97+J97)*(1-i_Bac_ICU))))/2*(C97-C96)</f>
        <v>0.0005050393154</v>
      </c>
      <c r="AM97" s="30">
        <f>(((I96+J96)*(1-i_Bac_ICU))+((I97+J97)*(1-i_Bac_ICU))+K96+E96+E97+K97)/2*(C97-C96)</f>
        <v>0.002044263087</v>
      </c>
      <c r="AN97" s="6"/>
      <c r="AO97" s="6"/>
      <c r="AP97" s="6"/>
      <c r="AQ97" s="6"/>
      <c r="AR97" s="6"/>
      <c r="AS97" s="6"/>
      <c r="AT97" s="6"/>
      <c r="AU97" s="6"/>
    </row>
    <row r="98" ht="14.25" customHeight="1">
      <c r="A98" s="6"/>
      <c r="B98" s="26">
        <f t="shared" ref="B98:C98" si="242">B97+1</f>
        <v>72</v>
      </c>
      <c r="C98" s="26">
        <f t="shared" si="242"/>
        <v>72</v>
      </c>
      <c r="D98" s="26">
        <f t="shared" si="6"/>
        <v>0.2</v>
      </c>
      <c r="E98" s="28">
        <f t="shared" si="15"/>
        <v>0.0001353213506</v>
      </c>
      <c r="F98" s="28">
        <f t="shared" si="16"/>
        <v>0.0001203328524</v>
      </c>
      <c r="G98" s="28">
        <f t="shared" si="17"/>
        <v>0.0000383643218</v>
      </c>
      <c r="H98" s="28">
        <f t="shared" si="18"/>
        <v>0.0001584509807</v>
      </c>
      <c r="I98" s="28">
        <f t="shared" si="19"/>
        <v>0.000170337526</v>
      </c>
      <c r="J98" s="28">
        <f t="shared" si="20"/>
        <v>0.0008002979035</v>
      </c>
      <c r="K98" s="28">
        <f t="shared" si="21"/>
        <v>0.001053878554</v>
      </c>
      <c r="L98" s="28">
        <f t="shared" si="22"/>
        <v>0.9356120743</v>
      </c>
      <c r="M98" s="28">
        <f t="shared" si="23"/>
        <v>0.02561805252</v>
      </c>
      <c r="N98" s="28">
        <f t="shared" si="24"/>
        <v>0.003989718842</v>
      </c>
      <c r="O98" s="28">
        <f t="shared" si="25"/>
        <v>0.002949631392</v>
      </c>
      <c r="P98" s="28">
        <f t="shared" si="26"/>
        <v>0.02935353942</v>
      </c>
      <c r="Q98" s="6"/>
      <c r="R98" s="26">
        <f t="shared" si="7"/>
        <v>1</v>
      </c>
      <c r="S98" s="30">
        <f t="shared" si="8"/>
        <v>1.386238681</v>
      </c>
      <c r="T98" s="30">
        <f t="shared" ref="T98:U98" si="243">((F97+F98)/2)*T$25*($C98-$C97)</f>
        <v>0.3960676119</v>
      </c>
      <c r="U98" s="30">
        <f t="shared" si="243"/>
        <v>0.1262737358</v>
      </c>
      <c r="V98" s="30">
        <f t="shared" si="28"/>
        <v>0.4026920945</v>
      </c>
      <c r="W98" s="30">
        <f t="shared" ref="W98:X98" si="244">((I97+I98)/2)*W$25*($C98-$C97)</f>
        <v>0.3907800635</v>
      </c>
      <c r="X98" s="30">
        <f t="shared" si="244"/>
        <v>1.815283929</v>
      </c>
      <c r="Y98" s="30">
        <f t="shared" si="30"/>
        <v>2.497774822</v>
      </c>
      <c r="Z98" s="30">
        <f>(L98-OFFSET(L98,-IF(C98-C97&gt;i_Cos_Days,1,MIN(B98,i_Cos_Days)),0))*MIN(i_Cos_Days,($C98-$C97))</f>
        <v>0</v>
      </c>
      <c r="AA98" s="30">
        <f t="shared" si="31"/>
        <v>10.95536586</v>
      </c>
      <c r="AB98" s="30">
        <f t="shared" si="32"/>
        <v>4.225236395</v>
      </c>
      <c r="AC98" s="30">
        <f t="shared" si="33"/>
        <v>0.5154101626</v>
      </c>
      <c r="AD98" s="30">
        <f t="shared" si="34"/>
        <v>0</v>
      </c>
      <c r="AE98" s="6"/>
      <c r="AF98" s="30">
        <f t="shared" si="11"/>
        <v>0.971904964</v>
      </c>
      <c r="AG98" s="30" t="str">
        <f>MIN(1,SUM(OFFSET(E98,0,0,-i_Eve_ECG,1)))</f>
        <v>#VALUE!</v>
      </c>
      <c r="AH98" s="30" t="str">
        <f t="shared" si="12"/>
        <v>#VALUE!</v>
      </c>
      <c r="AI98" s="30" t="str">
        <f t="shared" si="13"/>
        <v>#VALUE!</v>
      </c>
      <c r="AJ98" s="30" t="str">
        <f>(AH98*(i_Adv_Fals/i_Adv_Alar)*i_Int_Kend_false)*AJ$25</f>
        <v>#VALUE!</v>
      </c>
      <c r="AK98" s="30" t="str">
        <f>(AH98*(i_Adv_Lead/i_Adv_Alar)*i_Int_Kend_leadsoff)*AK$25</f>
        <v>#VALUE!</v>
      </c>
      <c r="AL98" s="30">
        <f>((SUM(F97:J97)-((I97+J97)*(1-i_Bac_ICU)))+(SUM(F98:J98)-((I98+J98)*(1-i_Bac_ICU))))/2*(C98-C97)</f>
        <v>0.0004976972693</v>
      </c>
      <c r="AM98" s="30">
        <f>(((I97+J97)*(1-i_Bac_ICU))+((I98+J98)*(1-i_Bac_ICU))+K97+E97+E98+K98)/2*(C98-C97)</f>
        <v>0.002003043146</v>
      </c>
      <c r="AN98" s="6"/>
      <c r="AO98" s="6"/>
      <c r="AP98" s="6"/>
      <c r="AQ98" s="6"/>
      <c r="AR98" s="6"/>
      <c r="AS98" s="6"/>
      <c r="AT98" s="6"/>
      <c r="AU98" s="6"/>
    </row>
    <row r="99" ht="14.25" customHeight="1">
      <c r="A99" s="6"/>
      <c r="B99" s="26">
        <f t="shared" ref="B99:C99" si="245">B98+1</f>
        <v>73</v>
      </c>
      <c r="C99" s="26">
        <f t="shared" si="245"/>
        <v>73</v>
      </c>
      <c r="D99" s="26">
        <f t="shared" si="6"/>
        <v>0.2</v>
      </c>
      <c r="E99" s="28">
        <f t="shared" si="15"/>
        <v>0.0001353081483</v>
      </c>
      <c r="F99" s="28">
        <f t="shared" si="16"/>
        <v>0.0001203209985</v>
      </c>
      <c r="G99" s="28">
        <f t="shared" si="17"/>
        <v>0.00003836047772</v>
      </c>
      <c r="H99" s="28">
        <f t="shared" si="18"/>
        <v>0.0001577436356</v>
      </c>
      <c r="I99" s="28">
        <f t="shared" si="19"/>
        <v>0.0001614319584</v>
      </c>
      <c r="J99" s="28">
        <f t="shared" si="20"/>
        <v>0.0007752684358</v>
      </c>
      <c r="K99" s="28">
        <f t="shared" si="21"/>
        <v>0.001043025477</v>
      </c>
      <c r="L99" s="28">
        <f t="shared" si="22"/>
        <v>0.9364106111</v>
      </c>
      <c r="M99" s="28">
        <f t="shared" si="23"/>
        <v>0.02477188214</v>
      </c>
      <c r="N99" s="28">
        <f t="shared" si="24"/>
        <v>0.004002319049</v>
      </c>
      <c r="O99" s="28">
        <f t="shared" si="25"/>
        <v>0.002952409677</v>
      </c>
      <c r="P99" s="28">
        <f t="shared" si="26"/>
        <v>0.02943131894</v>
      </c>
      <c r="Q99" s="6"/>
      <c r="R99" s="26">
        <f t="shared" si="7"/>
        <v>1</v>
      </c>
      <c r="S99" s="30">
        <f t="shared" si="8"/>
        <v>1.386103436</v>
      </c>
      <c r="T99" s="30">
        <f t="shared" ref="T99:U99" si="246">((F98+F99)/2)*T$25*($C99-$C98)</f>
        <v>0.3960283999</v>
      </c>
      <c r="U99" s="30">
        <f t="shared" si="246"/>
        <v>0.1262610155</v>
      </c>
      <c r="V99" s="30">
        <f t="shared" si="28"/>
        <v>0.4008588868</v>
      </c>
      <c r="W99" s="30">
        <f t="shared" ref="W99:X99" si="247">((I98+I99)/2)*W$25*($C99-$C98)</f>
        <v>0.3702863471</v>
      </c>
      <c r="X99" s="30">
        <f t="shared" si="247"/>
        <v>1.758482115</v>
      </c>
      <c r="Y99" s="30">
        <f t="shared" si="30"/>
        <v>2.471515936</v>
      </c>
      <c r="Z99" s="30">
        <f>(L99-OFFSET(L99,-IF(C99-C98&gt;i_Cos_Days,1,MIN(B99,i_Cos_Days)),0))*MIN(i_Cos_Days,($C99-$C98))</f>
        <v>0</v>
      </c>
      <c r="AA99" s="30">
        <f t="shared" si="31"/>
        <v>10.59272011</v>
      </c>
      <c r="AB99" s="30">
        <f t="shared" si="32"/>
        <v>4.225031932</v>
      </c>
      <c r="AC99" s="30">
        <f t="shared" si="33"/>
        <v>0.5153852214</v>
      </c>
      <c r="AD99" s="30">
        <f t="shared" si="34"/>
        <v>0</v>
      </c>
      <c r="AE99" s="6"/>
      <c r="AF99" s="30">
        <f t="shared" si="11"/>
        <v>0.9727966587</v>
      </c>
      <c r="AG99" s="30" t="str">
        <f>MIN(1,SUM(OFFSET(E99,0,0,-i_Eve_ECG,1)))</f>
        <v>#VALUE!</v>
      </c>
      <c r="AH99" s="30" t="str">
        <f t="shared" si="12"/>
        <v>#VALUE!</v>
      </c>
      <c r="AI99" s="30" t="str">
        <f t="shared" si="13"/>
        <v>#VALUE!</v>
      </c>
      <c r="AJ99" s="30" t="str">
        <f>(AH99*(i_Adv_Fals/i_Adv_Alar)*i_Int_Kend_false)*AJ$25</f>
        <v>#VALUE!</v>
      </c>
      <c r="AK99" s="30" t="str">
        <f>(AH99*(i_Adv_Lead/i_Adv_Alar)*i_Int_Kend_leadsoff)*AK$25</f>
        <v>#VALUE!</v>
      </c>
      <c r="AL99" s="30">
        <f>((SUM(F98:J98)-((I98+J98)*(1-i_Bac_ICU)))+(SUM(F99:J99)-((I99+J99)*(1-i_Bac_ICU))))/2*(C99-C98)</f>
        <v>0.0004906456629</v>
      </c>
      <c r="AM99" s="30">
        <f>(((I98+J98)*(1-i_Bac_ICU))+((I99+J99)*(1-i_Bac_ICU))+K98+E98+E99+K99)/2*(C99-C98)</f>
        <v>0.001963575647</v>
      </c>
      <c r="AN99" s="6"/>
      <c r="AO99" s="6"/>
      <c r="AP99" s="6"/>
      <c r="AQ99" s="6"/>
      <c r="AR99" s="6"/>
      <c r="AS99" s="6"/>
      <c r="AT99" s="6"/>
      <c r="AU99" s="6"/>
    </row>
    <row r="100" ht="14.25" customHeight="1">
      <c r="A100" s="6"/>
      <c r="B100" s="26">
        <f t="shared" ref="B100:C100" si="248">B99+1</f>
        <v>74</v>
      </c>
      <c r="C100" s="26">
        <f t="shared" si="248"/>
        <v>74</v>
      </c>
      <c r="D100" s="26">
        <f t="shared" si="6"/>
        <v>0.2</v>
      </c>
      <c r="E100" s="28">
        <f t="shared" si="15"/>
        <v>0.0001352950685</v>
      </c>
      <c r="F100" s="28">
        <f t="shared" si="16"/>
        <v>0.000120309259</v>
      </c>
      <c r="G100" s="28">
        <f t="shared" si="17"/>
        <v>0.00003835667322</v>
      </c>
      <c r="H100" s="28">
        <f t="shared" si="18"/>
        <v>0.000157066154</v>
      </c>
      <c r="I100" s="28">
        <f t="shared" si="19"/>
        <v>0.0001530450534</v>
      </c>
      <c r="J100" s="28">
        <f t="shared" si="20"/>
        <v>0.000751046621</v>
      </c>
      <c r="K100" s="28">
        <f t="shared" si="21"/>
        <v>0.001032706107</v>
      </c>
      <c r="L100" s="28">
        <f t="shared" si="22"/>
        <v>0.9371765299</v>
      </c>
      <c r="M100" s="28">
        <f t="shared" si="23"/>
        <v>0.02395727142</v>
      </c>
      <c r="N100" s="28">
        <f t="shared" si="24"/>
        <v>0.004014384436</v>
      </c>
      <c r="O100" s="28">
        <f t="shared" si="25"/>
        <v>0.002954992722</v>
      </c>
      <c r="P100" s="28">
        <f t="shared" si="26"/>
        <v>0.0295089966</v>
      </c>
      <c r="Q100" s="6"/>
      <c r="R100" s="26">
        <f t="shared" si="7"/>
        <v>1</v>
      </c>
      <c r="S100" s="30">
        <f t="shared" si="8"/>
        <v>1.385969447</v>
      </c>
      <c r="T100" s="30">
        <f t="shared" ref="T100:U100" si="249">((F99+F100)/2)*T$25*($C100-$C99)</f>
        <v>0.3959895738</v>
      </c>
      <c r="U100" s="30">
        <f t="shared" si="249"/>
        <v>0.1262484287</v>
      </c>
      <c r="V100" s="30">
        <f t="shared" si="28"/>
        <v>0.399103259</v>
      </c>
      <c r="W100" s="30">
        <f t="shared" ref="W100:X100" si="250">((I99+I100)/2)*W$25*($C100-$C99)</f>
        <v>0.3509863005</v>
      </c>
      <c r="X100" s="30">
        <f t="shared" si="250"/>
        <v>1.703512992</v>
      </c>
      <c r="Y100" s="30">
        <f t="shared" si="30"/>
        <v>2.446561032</v>
      </c>
      <c r="Z100" s="30">
        <f>(L100-OFFSET(L100,-IF(C100-C99&gt;i_Cos_Days,1,MIN(B100,i_Cos_Days)),0))*MIN(i_Cos_Days,($C100-$C99))</f>
        <v>0</v>
      </c>
      <c r="AA100" s="30">
        <f t="shared" si="31"/>
        <v>10.24359902</v>
      </c>
      <c r="AB100" s="30">
        <f t="shared" si="32"/>
        <v>4.224822561</v>
      </c>
      <c r="AC100" s="30">
        <f t="shared" si="33"/>
        <v>0.5153596815</v>
      </c>
      <c r="AD100" s="30">
        <f t="shared" si="34"/>
        <v>0</v>
      </c>
      <c r="AE100" s="6"/>
      <c r="AF100" s="30">
        <f t="shared" si="11"/>
        <v>0.9736549036</v>
      </c>
      <c r="AG100" s="30" t="str">
        <f>MIN(1,SUM(OFFSET(E100,0,0,-i_Eve_ECG,1)))</f>
        <v>#VALUE!</v>
      </c>
      <c r="AH100" s="30" t="str">
        <f t="shared" si="12"/>
        <v>#VALUE!</v>
      </c>
      <c r="AI100" s="30" t="str">
        <f t="shared" si="13"/>
        <v>#VALUE!</v>
      </c>
      <c r="AJ100" s="30" t="str">
        <f>(AH100*(i_Adv_Fals/i_Adv_Alar)*i_Int_Kend_false)*AJ$25</f>
        <v>#VALUE!</v>
      </c>
      <c r="AK100" s="30" t="str">
        <f>(AH100*(i_Adv_Lead/i_Adv_Alar)*i_Int_Kend_leadsoff)*AK$25</f>
        <v>#VALUE!</v>
      </c>
      <c r="AL100" s="30">
        <f>((SUM(F99:J99)-((I99+J99)*(1-i_Bac_ICU)))+(SUM(F100:J100)-((I100+J100)*(1-i_Bac_ICU))))/2*(C100-C99)</f>
        <v>0.000483871978</v>
      </c>
      <c r="AM100" s="30">
        <f>(((I99+J99)*(1-i_Bac_ICU))+((I100+J100)*(1-i_Bac_ICU))+K99+E99+E100+K100)/2*(C100-C99)</f>
        <v>0.001925770056</v>
      </c>
      <c r="AN100" s="6"/>
      <c r="AO100" s="6"/>
      <c r="AP100" s="6"/>
      <c r="AQ100" s="6"/>
      <c r="AR100" s="6"/>
      <c r="AS100" s="6"/>
      <c r="AT100" s="6"/>
      <c r="AU100" s="6"/>
    </row>
    <row r="101" ht="14.25" customHeight="1">
      <c r="A101" s="6"/>
      <c r="B101" s="26">
        <f t="shared" ref="B101:C101" si="251">B100+1</f>
        <v>75</v>
      </c>
      <c r="C101" s="26">
        <f t="shared" si="251"/>
        <v>75</v>
      </c>
      <c r="D101" s="26">
        <f t="shared" si="6"/>
        <v>0.2</v>
      </c>
      <c r="E101" s="28">
        <f t="shared" si="15"/>
        <v>0.0001352821056</v>
      </c>
      <c r="F101" s="28">
        <f t="shared" si="16"/>
        <v>0.0001202976285</v>
      </c>
      <c r="G101" s="28">
        <f t="shared" si="17"/>
        <v>0.00003835290643</v>
      </c>
      <c r="H101" s="28">
        <f t="shared" si="18"/>
        <v>0.0001564171419</v>
      </c>
      <c r="I101" s="28">
        <f t="shared" si="19"/>
        <v>0.0001451465065</v>
      </c>
      <c r="J101" s="28">
        <f t="shared" si="20"/>
        <v>0.0007276065484</v>
      </c>
      <c r="K101" s="28">
        <f t="shared" si="21"/>
        <v>0.001022885402</v>
      </c>
      <c r="L101" s="28">
        <f t="shared" si="22"/>
        <v>0.9379110579</v>
      </c>
      <c r="M101" s="28">
        <f t="shared" si="23"/>
        <v>0.02317304705</v>
      </c>
      <c r="N101" s="28">
        <f t="shared" si="24"/>
        <v>0.004025937129</v>
      </c>
      <c r="O101" s="28">
        <f t="shared" si="25"/>
        <v>0.002957393332</v>
      </c>
      <c r="P101" s="28">
        <f t="shared" si="26"/>
        <v>0.02958657639</v>
      </c>
      <c r="Q101" s="6"/>
      <c r="R101" s="26">
        <f t="shared" si="7"/>
        <v>1</v>
      </c>
      <c r="S101" s="30">
        <f t="shared" si="8"/>
        <v>1.385836654</v>
      </c>
      <c r="T101" s="30">
        <f t="shared" ref="T101:U101" si="252">((F100+F101)/2)*T$25*($C101-$C100)</f>
        <v>0.3959511153</v>
      </c>
      <c r="U101" s="30">
        <f t="shared" si="252"/>
        <v>0.1262359691</v>
      </c>
      <c r="V101" s="30">
        <f t="shared" si="28"/>
        <v>0.3974215833</v>
      </c>
      <c r="W101" s="30">
        <f t="shared" ref="W101:X101" si="253">((I100+I101)/2)*W$25*($C101-$C100)</f>
        <v>0.332810185</v>
      </c>
      <c r="X101" s="30">
        <f t="shared" si="253"/>
        <v>1.650317786</v>
      </c>
      <c r="Y101" s="30">
        <f t="shared" si="30"/>
        <v>2.422822932</v>
      </c>
      <c r="Z101" s="30">
        <f>(L101-OFFSET(L101,-IF(C101-C100&gt;i_Cos_Days,1,MIN(B101,i_Cos_Days)),0))*MIN(i_Cos_Days,($C101-$C100))</f>
        <v>0</v>
      </c>
      <c r="AA101" s="30">
        <f t="shared" si="31"/>
        <v>9.907499897</v>
      </c>
      <c r="AB101" s="30">
        <f t="shared" si="32"/>
        <v>4.224608539</v>
      </c>
      <c r="AC101" s="30">
        <f t="shared" si="33"/>
        <v>0.5153335743</v>
      </c>
      <c r="AD101" s="30">
        <f t="shared" si="34"/>
        <v>0</v>
      </c>
      <c r="AE101" s="6"/>
      <c r="AF101" s="30">
        <f t="shared" si="11"/>
        <v>0.9744809647</v>
      </c>
      <c r="AG101" s="30" t="str">
        <f>MIN(1,SUM(OFFSET(E101,0,0,-i_Eve_ECG,1)))</f>
        <v>#VALUE!</v>
      </c>
      <c r="AH101" s="30" t="str">
        <f t="shared" si="12"/>
        <v>#VALUE!</v>
      </c>
      <c r="AI101" s="30" t="str">
        <f t="shared" si="13"/>
        <v>#VALUE!</v>
      </c>
      <c r="AJ101" s="30" t="str">
        <f>(AH101*(i_Adv_Fals/i_Adv_Alar)*i_Int_Kend_false)*AJ$25</f>
        <v>#VALUE!</v>
      </c>
      <c r="AK101" s="30" t="str">
        <f>(AH101*(i_Adv_Lead/i_Adv_Alar)*i_Int_Kend_leadsoff)*AK$25</f>
        <v>#VALUE!</v>
      </c>
      <c r="AL101" s="30">
        <f>((SUM(F100:J100)-((I100+J100)*(1-i_Bac_ICU)))+(SUM(F101:J101)-((I101+J101)*(1-i_Bac_ICU))))/2*(C101-C100)</f>
        <v>0.0004773642805</v>
      </c>
      <c r="AM101" s="30">
        <f>(((I100+J100)*(1-i_Bac_ICU))+((I101+J101)*(1-i_Bac_ICU))+K100+E100+E101+K101)/2*(C101-C100)</f>
        <v>0.001889542307</v>
      </c>
      <c r="AN101" s="6"/>
      <c r="AO101" s="6"/>
      <c r="AP101" s="6"/>
      <c r="AQ101" s="6"/>
      <c r="AR101" s="6"/>
      <c r="AS101" s="6"/>
      <c r="AT101" s="6"/>
      <c r="AU101" s="6"/>
    </row>
    <row r="102" ht="14.25" customHeight="1">
      <c r="A102" s="6"/>
      <c r="B102" s="26">
        <f t="shared" ref="B102:C102" si="254">B101+1</f>
        <v>76</v>
      </c>
      <c r="C102" s="26">
        <f t="shared" si="254"/>
        <v>76</v>
      </c>
      <c r="D102" s="26">
        <f t="shared" si="6"/>
        <v>0.2</v>
      </c>
      <c r="E102" s="28">
        <f t="shared" si="15"/>
        <v>0.000135269254</v>
      </c>
      <c r="F102" s="28">
        <f t="shared" si="16"/>
        <v>0.0001202861019</v>
      </c>
      <c r="G102" s="28">
        <f t="shared" si="17"/>
        <v>0.00003834917556</v>
      </c>
      <c r="H102" s="28">
        <f t="shared" si="18"/>
        <v>0.0001557952751</v>
      </c>
      <c r="I102" s="28">
        <f t="shared" si="19"/>
        <v>0.0001377077807</v>
      </c>
      <c r="J102" s="28">
        <f t="shared" si="20"/>
        <v>0.0007049231245</v>
      </c>
      <c r="K102" s="28">
        <f t="shared" si="21"/>
        <v>0.001013531677</v>
      </c>
      <c r="L102" s="28">
        <f t="shared" si="22"/>
        <v>0.9386153749</v>
      </c>
      <c r="M102" s="28">
        <f t="shared" si="23"/>
        <v>0.0224180788</v>
      </c>
      <c r="N102" s="28">
        <f t="shared" si="24"/>
        <v>0.004036998342</v>
      </c>
      <c r="O102" s="28">
        <f t="shared" si="25"/>
        <v>0.00295962347</v>
      </c>
      <c r="P102" s="28">
        <f t="shared" si="26"/>
        <v>0.02966406212</v>
      </c>
      <c r="Q102" s="6"/>
      <c r="R102" s="26">
        <f t="shared" si="7"/>
        <v>1</v>
      </c>
      <c r="S102" s="30">
        <f t="shared" si="8"/>
        <v>1.385705002</v>
      </c>
      <c r="T102" s="30">
        <f t="shared" ref="T102:U102" si="255">((F101+F102)/2)*T$25*($C102-$C101)</f>
        <v>0.3959130072</v>
      </c>
      <c r="U102" s="30">
        <f t="shared" si="255"/>
        <v>0.1262236307</v>
      </c>
      <c r="V102" s="30">
        <f t="shared" si="28"/>
        <v>0.3958104138</v>
      </c>
      <c r="W102" s="30">
        <f t="shared" ref="W102:X102" si="256">((I101+I102)/2)*W$25*($C102-$C101)</f>
        <v>0.3156923278</v>
      </c>
      <c r="X102" s="30">
        <f t="shared" si="256"/>
        <v>1.59883957</v>
      </c>
      <c r="Y102" s="30">
        <f t="shared" si="30"/>
        <v>2.400222989</v>
      </c>
      <c r="Z102" s="30">
        <f>(L102-OFFSET(L102,-IF(C102-C101&gt;i_Cos_Days,1,MIN(B102,i_Cos_Days)),0))*MIN(i_Cos_Days,($C102-$C101))</f>
        <v>0</v>
      </c>
      <c r="AA102" s="30">
        <f t="shared" si="31"/>
        <v>9.583938521</v>
      </c>
      <c r="AB102" s="30">
        <f t="shared" si="32"/>
        <v>4.224390101</v>
      </c>
      <c r="AC102" s="30">
        <f t="shared" si="33"/>
        <v>0.5153069284</v>
      </c>
      <c r="AD102" s="30">
        <f t="shared" si="34"/>
        <v>0</v>
      </c>
      <c r="AE102" s="6"/>
      <c r="AF102" s="30">
        <f t="shared" si="11"/>
        <v>0.9752760588</v>
      </c>
      <c r="AG102" s="30" t="str">
        <f>MIN(1,SUM(OFFSET(E102,0,0,-i_Eve_ECG,1)))</f>
        <v>#VALUE!</v>
      </c>
      <c r="AH102" s="30" t="str">
        <f t="shared" si="12"/>
        <v>#VALUE!</v>
      </c>
      <c r="AI102" s="30" t="str">
        <f t="shared" si="13"/>
        <v>#VALUE!</v>
      </c>
      <c r="AJ102" s="30" t="str">
        <f>(AH102*(i_Adv_Fals/i_Adv_Alar)*i_Int_Kend_false)*AJ$25</f>
        <v>#VALUE!</v>
      </c>
      <c r="AK102" s="30" t="str">
        <f>(AH102*(i_Adv_Lead/i_Adv_Alar)*i_Int_Kend_leadsoff)*AK$25</f>
        <v>#VALUE!</v>
      </c>
      <c r="AL102" s="30">
        <f>((SUM(F101:J101)-((I101+J101)*(1-i_Bac_ICU)))+(SUM(F102:J102)-((I102+J102)*(1-i_Bac_ICU))))/2*(C102-C101)</f>
        <v>0.0004711111915</v>
      </c>
      <c r="AM102" s="30">
        <f>(((I101+J101)*(1-i_Bac_ICU))+((I102+J102)*(1-i_Bac_ICU))+K101+E101+E102+K102)/2*(C102-C101)</f>
        <v>0.001854814122</v>
      </c>
      <c r="AN102" s="6"/>
      <c r="AO102" s="6"/>
      <c r="AP102" s="6"/>
      <c r="AQ102" s="6"/>
      <c r="AR102" s="6"/>
      <c r="AS102" s="6"/>
      <c r="AT102" s="6"/>
      <c r="AU102" s="6"/>
    </row>
    <row r="103" ht="14.25" customHeight="1">
      <c r="A103" s="6"/>
      <c r="B103" s="26">
        <f t="shared" ref="B103:C103" si="257">B102+1</f>
        <v>77</v>
      </c>
      <c r="C103" s="26">
        <f t="shared" si="257"/>
        <v>77</v>
      </c>
      <c r="D103" s="26">
        <f t="shared" si="6"/>
        <v>0.2</v>
      </c>
      <c r="E103" s="28">
        <f t="shared" si="15"/>
        <v>0.0001352565086</v>
      </c>
      <c r="F103" s="28">
        <f t="shared" si="16"/>
        <v>0.0001202746743</v>
      </c>
      <c r="G103" s="28">
        <f t="shared" si="17"/>
        <v>0.00003834547892</v>
      </c>
      <c r="H103" s="28">
        <f t="shared" si="18"/>
        <v>0.0001551992956</v>
      </c>
      <c r="I103" s="28">
        <f t="shared" si="19"/>
        <v>0.0001307020045</v>
      </c>
      <c r="J103" s="28">
        <f t="shared" si="20"/>
        <v>0.0006829720481</v>
      </c>
      <c r="K103" s="28">
        <f t="shared" si="21"/>
        <v>0.001004616167</v>
      </c>
      <c r="L103" s="28">
        <f t="shared" si="22"/>
        <v>0.9392906157</v>
      </c>
      <c r="M103" s="28">
        <f t="shared" si="23"/>
        <v>0.02169127799</v>
      </c>
      <c r="N103" s="28">
        <f t="shared" si="24"/>
        <v>0.004047588411</v>
      </c>
      <c r="O103" s="28">
        <f t="shared" si="25"/>
        <v>0.002961694311</v>
      </c>
      <c r="P103" s="28">
        <f t="shared" si="26"/>
        <v>0.0297414574</v>
      </c>
      <c r="Q103" s="6"/>
      <c r="R103" s="26">
        <f t="shared" si="7"/>
        <v>1</v>
      </c>
      <c r="S103" s="30">
        <f t="shared" si="8"/>
        <v>1.385574437</v>
      </c>
      <c r="T103" s="30">
        <f t="shared" ref="T103:U103" si="258">((F102+F103)/2)*T$25*($C103-$C102)</f>
        <v>0.395875233</v>
      </c>
      <c r="U103" s="30">
        <f t="shared" si="258"/>
        <v>0.1262114077</v>
      </c>
      <c r="V103" s="30">
        <f t="shared" si="28"/>
        <v>0.3942664769</v>
      </c>
      <c r="W103" s="30">
        <f t="shared" ref="W103:X103" si="259">((I102+I103)/2)*W$25*($C103-$C102)</f>
        <v>0.2995708876</v>
      </c>
      <c r="X103" s="30">
        <f t="shared" si="259"/>
        <v>1.549023216</v>
      </c>
      <c r="Y103" s="30">
        <f t="shared" si="30"/>
        <v>2.378689957</v>
      </c>
      <c r="Z103" s="30">
        <f>(L103-OFFSET(L103,-IF(C103-C102&gt;i_Cos_Days,1,MIN(B103,i_Cos_Days)),0))*MIN(i_Cos_Days,($C103-$C102))</f>
        <v>0</v>
      </c>
      <c r="AA103" s="30">
        <f t="shared" si="31"/>
        <v>9.272448437</v>
      </c>
      <c r="AB103" s="30">
        <f t="shared" si="32"/>
        <v>4.224167466</v>
      </c>
      <c r="AC103" s="30">
        <f t="shared" si="33"/>
        <v>0.5152797706</v>
      </c>
      <c r="AD103" s="30">
        <f t="shared" si="34"/>
        <v>0</v>
      </c>
      <c r="AE103" s="6"/>
      <c r="AF103" s="30">
        <f t="shared" si="11"/>
        <v>0.9760413558</v>
      </c>
      <c r="AG103" s="30" t="str">
        <f>MIN(1,SUM(OFFSET(E103,0,0,-i_Eve_ECG,1)))</f>
        <v>#VALUE!</v>
      </c>
      <c r="AH103" s="30" t="str">
        <f t="shared" si="12"/>
        <v>#VALUE!</v>
      </c>
      <c r="AI103" s="30" t="str">
        <f t="shared" si="13"/>
        <v>#VALUE!</v>
      </c>
      <c r="AJ103" s="30" t="str">
        <f>(AH103*(i_Adv_Fals/i_Adv_Alar)*i_Int_Kend_false)*AJ$25</f>
        <v>#VALUE!</v>
      </c>
      <c r="AK103" s="30" t="str">
        <f>(AH103*(i_Adv_Lead/i_Adv_Alar)*i_Int_Kend_leadsoff)*AK$25</f>
        <v>#VALUE!</v>
      </c>
      <c r="AL103" s="30">
        <f>((SUM(F102:J102)-((I102+J102)*(1-i_Bac_ICU)))+(SUM(F103:J103)-((I103+J103)*(1-i_Bac_ICU))))/2*(C103-C102)</f>
        <v>0.0004651018601</v>
      </c>
      <c r="AM103" s="30">
        <f>(((I102+J102)*(1-i_Bac_ICU))+((I103+J103)*(1-i_Bac_ICU))+K102+E102+E103+K103)/2*(C103-C102)</f>
        <v>0.001821512423</v>
      </c>
      <c r="AN103" s="6"/>
      <c r="AO103" s="6"/>
      <c r="AP103" s="6"/>
      <c r="AQ103" s="6"/>
      <c r="AR103" s="6"/>
      <c r="AS103" s="6"/>
      <c r="AT103" s="6"/>
      <c r="AU103" s="6"/>
    </row>
    <row r="104" ht="14.25" customHeight="1">
      <c r="A104" s="6"/>
      <c r="B104" s="26">
        <f t="shared" ref="B104:C104" si="260">B103+1</f>
        <v>78</v>
      </c>
      <c r="C104" s="26">
        <f t="shared" si="260"/>
        <v>78</v>
      </c>
      <c r="D104" s="26">
        <f t="shared" si="6"/>
        <v>0.2</v>
      </c>
      <c r="E104" s="28">
        <f t="shared" si="15"/>
        <v>0.0001352438644</v>
      </c>
      <c r="F104" s="28">
        <f t="shared" si="16"/>
        <v>0.0001202633412</v>
      </c>
      <c r="G104" s="28">
        <f t="shared" si="17"/>
        <v>0.00003834181491</v>
      </c>
      <c r="H104" s="28">
        <f t="shared" si="18"/>
        <v>0.000154628008</v>
      </c>
      <c r="I104" s="28">
        <f t="shared" si="19"/>
        <v>0.0001241038759</v>
      </c>
      <c r="J104" s="28">
        <f t="shared" si="20"/>
        <v>0.0006617297876</v>
      </c>
      <c r="K104" s="28">
        <f t="shared" si="21"/>
        <v>0.0009961126543</v>
      </c>
      <c r="L104" s="28">
        <f t="shared" si="22"/>
        <v>0.9399378718</v>
      </c>
      <c r="M104" s="28">
        <f t="shared" si="23"/>
        <v>0.02099159604</v>
      </c>
      <c r="N104" s="28">
        <f t="shared" si="24"/>
        <v>0.004057726833</v>
      </c>
      <c r="O104" s="28">
        <f t="shared" si="25"/>
        <v>0.002963616292</v>
      </c>
      <c r="P104" s="28">
        <f t="shared" si="26"/>
        <v>0.02981876568</v>
      </c>
      <c r="Q104" s="6"/>
      <c r="R104" s="26">
        <f t="shared" si="7"/>
        <v>1</v>
      </c>
      <c r="S104" s="30">
        <f t="shared" si="8"/>
        <v>1.385444909</v>
      </c>
      <c r="T104" s="30">
        <f t="shared" ref="T104:U104" si="261">((F103+F104)/2)*T$25*($C104-$C103)</f>
        <v>0.3958377772</v>
      </c>
      <c r="U104" s="30">
        <f t="shared" si="261"/>
        <v>0.1261992948</v>
      </c>
      <c r="V104" s="30">
        <f t="shared" si="28"/>
        <v>0.3927866623</v>
      </c>
      <c r="W104" s="30">
        <f t="shared" ref="W104:X104" si="262">((I103+I104)/2)*W$25*($C104-$C103)</f>
        <v>0.284387634</v>
      </c>
      <c r="X104" s="30">
        <f t="shared" si="262"/>
        <v>1.500815338</v>
      </c>
      <c r="Y104" s="30">
        <f t="shared" si="30"/>
        <v>2.358159026</v>
      </c>
      <c r="Z104" s="30">
        <f>(L104-OFFSET(L104,-IF(C104-C103&gt;i_Cos_Days,1,MIN(B104,i_Cos_Days)),0))*MIN(i_Cos_Days,($C104-$C103))</f>
        <v>0</v>
      </c>
      <c r="AA104" s="30">
        <f t="shared" si="31"/>
        <v>8.972580364</v>
      </c>
      <c r="AB104" s="30">
        <f t="shared" si="32"/>
        <v>4.223940838</v>
      </c>
      <c r="AC104" s="30">
        <f t="shared" si="33"/>
        <v>0.5152521256</v>
      </c>
      <c r="AD104" s="30">
        <f t="shared" si="34"/>
        <v>0</v>
      </c>
      <c r="AE104" s="6"/>
      <c r="AF104" s="30">
        <f t="shared" si="11"/>
        <v>0.9767779806</v>
      </c>
      <c r="AG104" s="30" t="str">
        <f>MIN(1,SUM(OFFSET(E104,0,0,-i_Eve_ECG,1)))</f>
        <v>#VALUE!</v>
      </c>
      <c r="AH104" s="30" t="str">
        <f t="shared" si="12"/>
        <v>#VALUE!</v>
      </c>
      <c r="AI104" s="30" t="str">
        <f t="shared" si="13"/>
        <v>#VALUE!</v>
      </c>
      <c r="AJ104" s="30" t="str">
        <f>(AH104*(i_Adv_Fals/i_Adv_Alar)*i_Int_Kend_false)*AJ$25</f>
        <v>#VALUE!</v>
      </c>
      <c r="AK104" s="30" t="str">
        <f>(AH104*(i_Adv_Lead/i_Adv_Alar)*i_Int_Kend_leadsoff)*AK$25</f>
        <v>#VALUE!</v>
      </c>
      <c r="AL104" s="30">
        <f>((SUM(F103:J103)-((I103+J103)*(1-i_Bac_ICU)))+(SUM(F104:J104)-((I104+J104)*(1-i_Bac_ICU))))/2*(C104-C103)</f>
        <v>0.0004593259374</v>
      </c>
      <c r="AM104" s="30">
        <f>(((I103+J103)*(1-i_Bac_ICU))+((I104+J104)*(1-i_Bac_ICU))+K103+E103+E104+K104)/2*(C104-C103)</f>
        <v>0.001789568824</v>
      </c>
      <c r="AN104" s="6"/>
      <c r="AO104" s="6"/>
      <c r="AP104" s="6"/>
      <c r="AQ104" s="6"/>
      <c r="AR104" s="6"/>
      <c r="AS104" s="6"/>
      <c r="AT104" s="6"/>
      <c r="AU104" s="6"/>
    </row>
    <row r="105" ht="14.25" customHeight="1">
      <c r="A105" s="6"/>
      <c r="B105" s="26">
        <f t="shared" ref="B105:C105" si="263">B104+1</f>
        <v>79</v>
      </c>
      <c r="C105" s="26">
        <f t="shared" si="263"/>
        <v>79</v>
      </c>
      <c r="D105" s="26">
        <f t="shared" si="6"/>
        <v>0.2</v>
      </c>
      <c r="E105" s="28">
        <f t="shared" si="15"/>
        <v>0.0001352313167</v>
      </c>
      <c r="F105" s="28">
        <f t="shared" si="16"/>
        <v>0.000120252098</v>
      </c>
      <c r="G105" s="28">
        <f t="shared" si="17"/>
        <v>0.00003833818199</v>
      </c>
      <c r="H105" s="28">
        <f t="shared" si="18"/>
        <v>0.0001540802765</v>
      </c>
      <c r="I105" s="28">
        <f t="shared" si="19"/>
        <v>0.000117889571</v>
      </c>
      <c r="J105" s="28">
        <f t="shared" si="20"/>
        <v>0.0006411735572</v>
      </c>
      <c r="K105" s="28">
        <f t="shared" si="21"/>
        <v>0.000987997148</v>
      </c>
      <c r="L105" s="28">
        <f t="shared" si="22"/>
        <v>0.9405581931</v>
      </c>
      <c r="M105" s="28">
        <f t="shared" si="23"/>
        <v>0.02031802308</v>
      </c>
      <c r="N105" s="28">
        <f t="shared" si="24"/>
        <v>0.004067432299</v>
      </c>
      <c r="O105" s="28">
        <f t="shared" si="25"/>
        <v>0.002965399166</v>
      </c>
      <c r="P105" s="28">
        <f t="shared" si="26"/>
        <v>0.02989599024</v>
      </c>
      <c r="Q105" s="6"/>
      <c r="R105" s="26">
        <f t="shared" si="7"/>
        <v>1</v>
      </c>
      <c r="S105" s="30">
        <f t="shared" si="8"/>
        <v>1.38531637</v>
      </c>
      <c r="T105" s="30">
        <f t="shared" ref="T105:U105" si="264">((F104+F105)/2)*T$25*($C105-$C104)</f>
        <v>0.3958006248</v>
      </c>
      <c r="U105" s="30">
        <f t="shared" si="264"/>
        <v>0.1261872867</v>
      </c>
      <c r="V105" s="30">
        <f t="shared" si="28"/>
        <v>0.3913680148</v>
      </c>
      <c r="W105" s="30">
        <f t="shared" ref="W105:X105" si="265">((I104+I105)/2)*W$25*($C105-$C104)</f>
        <v>0.2700877377</v>
      </c>
      <c r="X105" s="30">
        <f t="shared" si="265"/>
        <v>1.45416424</v>
      </c>
      <c r="Y105" s="30">
        <f t="shared" si="30"/>
        <v>2.338571019</v>
      </c>
      <c r="Z105" s="30">
        <f>(L105-OFFSET(L105,-IF(C105-C104&gt;i_Cos_Days,1,MIN(B105,i_Cos_Days)),0))*MIN(i_Cos_Days,($C105-$C104))</f>
        <v>0</v>
      </c>
      <c r="AA105" s="30">
        <f t="shared" si="31"/>
        <v>8.683901583</v>
      </c>
      <c r="AB105" s="30">
        <f t="shared" si="32"/>
        <v>4.223710403</v>
      </c>
      <c r="AC105" s="30">
        <f t="shared" si="33"/>
        <v>0.5152240163</v>
      </c>
      <c r="AD105" s="30">
        <f t="shared" si="34"/>
        <v>0</v>
      </c>
      <c r="AE105" s="6"/>
      <c r="AF105" s="30">
        <f t="shared" si="11"/>
        <v>0.9774870148</v>
      </c>
      <c r="AG105" s="30" t="str">
        <f>MIN(1,SUM(OFFSET(E105,0,0,-i_Eve_ECG,1)))</f>
        <v>#VALUE!</v>
      </c>
      <c r="AH105" s="30" t="str">
        <f t="shared" si="12"/>
        <v>#VALUE!</v>
      </c>
      <c r="AI105" s="30" t="str">
        <f t="shared" si="13"/>
        <v>#VALUE!</v>
      </c>
      <c r="AJ105" s="30" t="str">
        <f>(AH105*(i_Adv_Fals/i_Adv_Alar)*i_Int_Kend_false)*AJ$25</f>
        <v>#VALUE!</v>
      </c>
      <c r="AK105" s="30" t="str">
        <f>(AH105*(i_Adv_Lead/i_Adv_Alar)*i_Int_Kend_leadsoff)*AK$25</f>
        <v>#VALUE!</v>
      </c>
      <c r="AL105" s="30">
        <f>((SUM(F104:J104)-((I104+J104)*(1-i_Bac_ICU)))+(SUM(F105:J105)-((I105+J105)*(1-i_Bac_ICU))))/2*(C105-C104)</f>
        <v>0.0004537735518</v>
      </c>
      <c r="AM105" s="30">
        <f>(((I104+J104)*(1-i_Bac_ICU))+((I105+J105)*(1-i_Bac_ICU))+K104+E104+E105+K105)/2*(C105-C104)</f>
        <v>0.001758919196</v>
      </c>
      <c r="AN105" s="6"/>
      <c r="AO105" s="6"/>
      <c r="AP105" s="6"/>
      <c r="AQ105" s="6"/>
      <c r="AR105" s="6"/>
      <c r="AS105" s="6"/>
      <c r="AT105" s="6"/>
      <c r="AU105" s="6"/>
    </row>
    <row r="106" ht="14.25" customHeight="1">
      <c r="A106" s="6"/>
      <c r="B106" s="26">
        <f t="shared" ref="B106:C106" si="266">B105+1</f>
        <v>80</v>
      </c>
      <c r="C106" s="26">
        <f t="shared" si="266"/>
        <v>80</v>
      </c>
      <c r="D106" s="26">
        <f t="shared" si="6"/>
        <v>0.2</v>
      </c>
      <c r="E106" s="28">
        <f t="shared" si="15"/>
        <v>0.0001352188611</v>
      </c>
      <c r="F106" s="28">
        <f t="shared" si="16"/>
        <v>0.0001202409407</v>
      </c>
      <c r="G106" s="28">
        <f t="shared" si="17"/>
        <v>0.00003833457873</v>
      </c>
      <c r="H106" s="28">
        <f t="shared" si="18"/>
        <v>0.0001535550217</v>
      </c>
      <c r="I106" s="28">
        <f t="shared" si="19"/>
        <v>0.000112036659</v>
      </c>
      <c r="J106" s="28">
        <f t="shared" si="20"/>
        <v>0.000621281295</v>
      </c>
      <c r="K106" s="28">
        <f t="shared" si="21"/>
        <v>0.0009802476212</v>
      </c>
      <c r="L106" s="28">
        <f t="shared" si="22"/>
        <v>0.9411525895</v>
      </c>
      <c r="M106" s="28">
        <f t="shared" si="23"/>
        <v>0.01966958651</v>
      </c>
      <c r="N106" s="28">
        <f t="shared" si="24"/>
        <v>0.004076722726</v>
      </c>
      <c r="O106" s="28">
        <f t="shared" si="25"/>
        <v>0.002967052042</v>
      </c>
      <c r="P106" s="28">
        <f t="shared" si="26"/>
        <v>0.0299731342</v>
      </c>
      <c r="Q106" s="6"/>
      <c r="R106" s="26">
        <f t="shared" si="7"/>
        <v>1</v>
      </c>
      <c r="S106" s="30">
        <f t="shared" si="8"/>
        <v>1.385188774</v>
      </c>
      <c r="T106" s="30">
        <f t="shared" ref="T106:U106" si="267">((F105+F106)/2)*T$25*($C106-$C105)</f>
        <v>0.3957637619</v>
      </c>
      <c r="U106" s="30">
        <f t="shared" si="267"/>
        <v>0.1261753786</v>
      </c>
      <c r="V106" s="30">
        <f t="shared" si="28"/>
        <v>0.3900077257</v>
      </c>
      <c r="W106" s="30">
        <f t="shared" ref="W106:X106" si="268">((I105+I106)/2)*W$25*($C106-$C105)</f>
        <v>0.2566195743</v>
      </c>
      <c r="X106" s="30">
        <f t="shared" si="268"/>
        <v>1.40901987</v>
      </c>
      <c r="Y106" s="30">
        <f t="shared" si="30"/>
        <v>2.319871697</v>
      </c>
      <c r="Z106" s="30">
        <f>(L106-OFFSET(L106,-IF(C106-C105&gt;i_Cos_Days,1,MIN(B106,i_Cos_Days)),0))*MIN(i_Cos_Days,($C106-$C105))</f>
        <v>0</v>
      </c>
      <c r="AA106" s="30">
        <f t="shared" si="31"/>
        <v>8.405995349</v>
      </c>
      <c r="AB106" s="30">
        <f t="shared" si="32"/>
        <v>4.223476338</v>
      </c>
      <c r="AC106" s="30">
        <f t="shared" si="33"/>
        <v>0.5151954642</v>
      </c>
      <c r="AD106" s="30">
        <f t="shared" si="34"/>
        <v>0</v>
      </c>
      <c r="AE106" s="6"/>
      <c r="AF106" s="30">
        <f t="shared" si="11"/>
        <v>0.9781694985</v>
      </c>
      <c r="AG106" s="30" t="str">
        <f>MIN(1,SUM(OFFSET(E106,0,0,-i_Eve_ECG,1)))</f>
        <v>#VALUE!</v>
      </c>
      <c r="AH106" s="30" t="str">
        <f t="shared" si="12"/>
        <v>#VALUE!</v>
      </c>
      <c r="AI106" s="30" t="str">
        <f t="shared" si="13"/>
        <v>#VALUE!</v>
      </c>
      <c r="AJ106" s="30" t="str">
        <f>(AH106*(i_Adv_Fals/i_Adv_Alar)*i_Int_Kend_false)*AJ$25</f>
        <v>#VALUE!</v>
      </c>
      <c r="AK106" s="30" t="str">
        <f>(AH106*(i_Adv_Lead/i_Adv_Alar)*i_Int_Kend_leadsoff)*AK$25</f>
        <v>#VALUE!</v>
      </c>
      <c r="AL106" s="30">
        <f>((SUM(F105:J105)-((I105+J105)*(1-i_Bac_ICU)))+(SUM(F106:J106)-((I106+J106)*(1-i_Bac_ICU))))/2*(C106-C105)</f>
        <v>0.0004484352856</v>
      </c>
      <c r="AM106" s="30">
        <f>(((I105+J105)*(1-i_Bac_ICU))+((I106+J106)*(1-i_Bac_ICU))+K105+E105+E106+K106)/2*(C106-C105)</f>
        <v>0.001729503278</v>
      </c>
      <c r="AN106" s="6"/>
      <c r="AO106" s="6"/>
      <c r="AP106" s="6"/>
      <c r="AQ106" s="6"/>
      <c r="AR106" s="6"/>
      <c r="AS106" s="6"/>
      <c r="AT106" s="6"/>
      <c r="AU106" s="6"/>
    </row>
    <row r="107" ht="14.25" customHeight="1">
      <c r="A107" s="6"/>
      <c r="B107" s="26">
        <f t="shared" ref="B107:C107" si="269">B106+1</f>
        <v>81</v>
      </c>
      <c r="C107" s="26">
        <f t="shared" si="269"/>
        <v>81</v>
      </c>
      <c r="D107" s="26">
        <f t="shared" si="6"/>
        <v>0.2</v>
      </c>
      <c r="E107" s="28">
        <f t="shared" si="15"/>
        <v>0.0001352064933</v>
      </c>
      <c r="F107" s="28">
        <f t="shared" si="16"/>
        <v>0.0001202298653</v>
      </c>
      <c r="G107" s="28">
        <f t="shared" si="17"/>
        <v>0.00003833100373</v>
      </c>
      <c r="H107" s="28">
        <f t="shared" si="18"/>
        <v>0.0001530512173</v>
      </c>
      <c r="I107" s="28">
        <f t="shared" si="19"/>
        <v>0.0001065240205</v>
      </c>
      <c r="J107" s="28">
        <f t="shared" si="20"/>
        <v>0.0006020316409</v>
      </c>
      <c r="K107" s="28">
        <f t="shared" si="21"/>
        <v>0.0009728437802</v>
      </c>
      <c r="L107" s="28">
        <f t="shared" si="22"/>
        <v>0.941722033</v>
      </c>
      <c r="M107" s="28">
        <f t="shared" si="23"/>
        <v>0.01904534973</v>
      </c>
      <c r="N107" s="28">
        <f t="shared" si="24"/>
        <v>0.004085615293</v>
      </c>
      <c r="O107" s="28">
        <f t="shared" si="25"/>
        <v>0.002968583428</v>
      </c>
      <c r="P107" s="28">
        <f t="shared" si="26"/>
        <v>0.03005020057</v>
      </c>
      <c r="Q107" s="6"/>
      <c r="R107" s="26">
        <f t="shared" si="7"/>
        <v>1</v>
      </c>
      <c r="S107" s="30">
        <f t="shared" si="8"/>
        <v>1.385062078</v>
      </c>
      <c r="T107" s="30">
        <f t="shared" ref="T107:U107" si="270">((F106+F107)/2)*T$25*($C107-$C106)</f>
        <v>0.395727175</v>
      </c>
      <c r="U107" s="30">
        <f t="shared" si="270"/>
        <v>0.1261635658</v>
      </c>
      <c r="V107" s="30">
        <f t="shared" si="28"/>
        <v>0.3887031256</v>
      </c>
      <c r="W107" s="30">
        <f t="shared" ref="W107:X107" si="271">((I106+I107)/2)*W$25*($C107-$C106)</f>
        <v>0.2439345373</v>
      </c>
      <c r="X107" s="30">
        <f t="shared" si="271"/>
        <v>1.365333763</v>
      </c>
      <c r="Y107" s="30">
        <f t="shared" si="30"/>
        <v>2.30201118</v>
      </c>
      <c r="Z107" s="30">
        <f>(L107-OFFSET(L107,-IF(C107-C106&gt;i_Cos_Days,1,MIN(B107,i_Cos_Days)),0))*MIN(i_Cos_Days,($C107-$C106))</f>
        <v>0</v>
      </c>
      <c r="AA107" s="30">
        <f t="shared" si="31"/>
        <v>8.138460322</v>
      </c>
      <c r="AB107" s="30">
        <f t="shared" si="32"/>
        <v>4.223238808</v>
      </c>
      <c r="AC107" s="30">
        <f t="shared" si="33"/>
        <v>0.5151664894</v>
      </c>
      <c r="AD107" s="30">
        <f t="shared" si="34"/>
        <v>0</v>
      </c>
      <c r="AE107" s="6"/>
      <c r="AF107" s="30">
        <f t="shared" si="11"/>
        <v>0.9788264322</v>
      </c>
      <c r="AG107" s="30" t="str">
        <f>MIN(1,SUM(OFFSET(E107,0,0,-i_Eve_ECG,1)))</f>
        <v>#VALUE!</v>
      </c>
      <c r="AH107" s="30" t="str">
        <f t="shared" si="12"/>
        <v>#VALUE!</v>
      </c>
      <c r="AI107" s="30" t="str">
        <f t="shared" si="13"/>
        <v>#VALUE!</v>
      </c>
      <c r="AJ107" s="30" t="str">
        <f>(AH107*(i_Adv_Fals/i_Adv_Alar)*i_Int_Kend_false)*AJ$25</f>
        <v>#VALUE!</v>
      </c>
      <c r="AK107" s="30" t="str">
        <f>(AH107*(i_Adv_Lead/i_Adv_Alar)*i_Int_Kend_leadsoff)*AK$25</f>
        <v>#VALUE!</v>
      </c>
      <c r="AL107" s="30">
        <f>((SUM(F106:J106)-((I106+J106)*(1-i_Bac_ICU)))+(SUM(F107:J107)-((I107+J107)*(1-i_Bac_ICU))))/2*(C107-C106)</f>
        <v>0.0004433021527</v>
      </c>
      <c r="AM107" s="30">
        <f>(((I106+J106)*(1-i_Bac_ICU))+((I107+J107)*(1-i_Bac_ICU))+K106+E106+E107+K107)/2*(C107-C106)</f>
        <v>0.001701264347</v>
      </c>
      <c r="AN107" s="6"/>
      <c r="AO107" s="6"/>
      <c r="AP107" s="6"/>
      <c r="AQ107" s="6"/>
      <c r="AR107" s="6"/>
      <c r="AS107" s="6"/>
      <c r="AT107" s="6"/>
      <c r="AU107" s="6"/>
    </row>
    <row r="108" ht="14.25" customHeight="1">
      <c r="A108" s="6"/>
      <c r="B108" s="26">
        <f t="shared" ref="B108:C108" si="272">B107+1</f>
        <v>82</v>
      </c>
      <c r="C108" s="26">
        <f t="shared" si="272"/>
        <v>82</v>
      </c>
      <c r="D108" s="26">
        <f t="shared" si="6"/>
        <v>0.2</v>
      </c>
      <c r="E108" s="28">
        <f t="shared" si="15"/>
        <v>0.0001351942094</v>
      </c>
      <c r="F108" s="28">
        <f t="shared" si="16"/>
        <v>0.0001202188681</v>
      </c>
      <c r="G108" s="28">
        <f t="shared" si="17"/>
        <v>0.0000383274557</v>
      </c>
      <c r="H108" s="28">
        <f t="shared" si="18"/>
        <v>0.0001525678879</v>
      </c>
      <c r="I108" s="28">
        <f t="shared" si="19"/>
        <v>0.0001013317717</v>
      </c>
      <c r="J108" s="28">
        <f t="shared" si="20"/>
        <v>0.0005834039146</v>
      </c>
      <c r="K108" s="28">
        <f t="shared" si="21"/>
        <v>0.0009657668698</v>
      </c>
      <c r="L108" s="28">
        <f t="shared" si="22"/>
        <v>0.9422674583</v>
      </c>
      <c r="M108" s="28">
        <f t="shared" si="23"/>
        <v>0.0184444108</v>
      </c>
      <c r="N108" s="28">
        <f t="shared" si="24"/>
        <v>0.004094126465</v>
      </c>
      <c r="O108" s="28">
        <f t="shared" si="25"/>
        <v>0.002970001273</v>
      </c>
      <c r="P108" s="28">
        <f t="shared" si="26"/>
        <v>0.0301271922</v>
      </c>
      <c r="Q108" s="6"/>
      <c r="R108" s="26">
        <f t="shared" si="7"/>
        <v>1</v>
      </c>
      <c r="S108" s="30">
        <f t="shared" si="8"/>
        <v>1.38493624</v>
      </c>
      <c r="T108" s="30">
        <f t="shared" ref="T108:U108" si="273">((F107+F108)/2)*T$25*($C108-$C107)</f>
        <v>0.3956908514</v>
      </c>
      <c r="U108" s="30">
        <f t="shared" si="273"/>
        <v>0.1261518439</v>
      </c>
      <c r="V108" s="30">
        <f t="shared" si="28"/>
        <v>0.3874516768</v>
      </c>
      <c r="W108" s="30">
        <f t="shared" ref="W108:X108" si="274">((I107+I108)/2)*W$25*($C108-$C107)</f>
        <v>0.2319868634</v>
      </c>
      <c r="X108" s="30">
        <f t="shared" si="274"/>
        <v>1.323058998</v>
      </c>
      <c r="Y108" s="30">
        <f t="shared" si="30"/>
        <v>2.284943443</v>
      </c>
      <c r="Z108" s="30">
        <f>(L108-OFFSET(L108,-IF(C108-C107&gt;i_Cos_Days,1,MIN(B108,i_Cos_Days)),0))*MIN(i_Cos_Days,($C108-$C107))</f>
        <v>0</v>
      </c>
      <c r="AA108" s="30">
        <f t="shared" si="31"/>
        <v>7.880910011</v>
      </c>
      <c r="AB108" s="30">
        <f t="shared" si="32"/>
        <v>4.222997967</v>
      </c>
      <c r="AC108" s="30">
        <f t="shared" si="33"/>
        <v>0.5151371107</v>
      </c>
      <c r="AD108" s="30">
        <f t="shared" si="34"/>
        <v>0</v>
      </c>
      <c r="AE108" s="6"/>
      <c r="AF108" s="30">
        <f t="shared" si="11"/>
        <v>0.9794587782</v>
      </c>
      <c r="AG108" s="30" t="str">
        <f>MIN(1,SUM(OFFSET(E108,0,0,-i_Eve_ECG,1)))</f>
        <v>#VALUE!</v>
      </c>
      <c r="AH108" s="30" t="str">
        <f t="shared" si="12"/>
        <v>#VALUE!</v>
      </c>
      <c r="AI108" s="30" t="str">
        <f t="shared" si="13"/>
        <v>#VALUE!</v>
      </c>
      <c r="AJ108" s="30" t="str">
        <f>(AH108*(i_Adv_Fals/i_Adv_Alar)*i_Int_Kend_false)*AJ$25</f>
        <v>#VALUE!</v>
      </c>
      <c r="AK108" s="30" t="str">
        <f>(AH108*(i_Adv_Lead/i_Adv_Alar)*i_Int_Kend_leadsoff)*AK$25</f>
        <v>#VALUE!</v>
      </c>
      <c r="AL108" s="30">
        <f>((SUM(F107:J107)-((I107+J107)*(1-i_Bac_ICU)))+(SUM(F108:J108)-((I108+J108)*(1-i_Bac_ICU))))/2*(C108-C107)</f>
        <v>0.0004383655775</v>
      </c>
      <c r="AM108" s="30">
        <f>(((I107+J107)*(1-i_Bac_ICU))+((I108+J108)*(1-i_Bac_ICU))+K107+E107+E108+K108)/2*(C108-C107)</f>
        <v>0.001674148922</v>
      </c>
      <c r="AN108" s="6"/>
      <c r="AO108" s="6"/>
      <c r="AP108" s="6"/>
      <c r="AQ108" s="6"/>
      <c r="AR108" s="6"/>
      <c r="AS108" s="6"/>
      <c r="AT108" s="6"/>
      <c r="AU108" s="6"/>
    </row>
    <row r="109" ht="14.25" customHeight="1">
      <c r="A109" s="6"/>
      <c r="B109" s="26">
        <f t="shared" ref="B109:C109" si="275">B108+1</f>
        <v>83</v>
      </c>
      <c r="C109" s="26">
        <f t="shared" si="275"/>
        <v>83</v>
      </c>
      <c r="D109" s="26">
        <f t="shared" si="6"/>
        <v>0.2</v>
      </c>
      <c r="E109" s="28">
        <f t="shared" si="15"/>
        <v>0.0001351820054</v>
      </c>
      <c r="F109" s="28">
        <f t="shared" si="16"/>
        <v>0.0001202079453</v>
      </c>
      <c r="G109" s="28">
        <f t="shared" si="17"/>
        <v>0.0000383239334</v>
      </c>
      <c r="H109" s="28">
        <f t="shared" si="18"/>
        <v>0.000152104106</v>
      </c>
      <c r="I109" s="28">
        <f t="shared" si="19"/>
        <v>0.00009644119201</v>
      </c>
      <c r="J109" s="28">
        <f t="shared" si="20"/>
        <v>0.0005653780952</v>
      </c>
      <c r="K109" s="28">
        <f t="shared" si="21"/>
        <v>0.000958999506</v>
      </c>
      <c r="L109" s="28">
        <f t="shared" si="22"/>
        <v>0.9427897652</v>
      </c>
      <c r="M109" s="28">
        <f t="shared" si="23"/>
        <v>0.01786590122</v>
      </c>
      <c r="N109" s="28">
        <f t="shared" si="24"/>
        <v>0.004102272028</v>
      </c>
      <c r="O109" s="28">
        <f t="shared" si="25"/>
        <v>0.002971313002</v>
      </c>
      <c r="P109" s="28">
        <f t="shared" si="26"/>
        <v>0.03020411181</v>
      </c>
      <c r="Q109" s="6"/>
      <c r="R109" s="26">
        <f t="shared" si="7"/>
        <v>1</v>
      </c>
      <c r="S109" s="30">
        <f t="shared" si="8"/>
        <v>1.384811222</v>
      </c>
      <c r="T109" s="30">
        <f t="shared" ref="T109:U109" si="276">((F108+F109)/2)*T$25*($C109-$C108)</f>
        <v>0.3956547791</v>
      </c>
      <c r="U109" s="30">
        <f t="shared" si="276"/>
        <v>0.1261402087</v>
      </c>
      <c r="V109" s="30">
        <f t="shared" si="28"/>
        <v>0.386250967</v>
      </c>
      <c r="W109" s="30">
        <f t="shared" ref="W109:X109" si="277">((I108+I109)/2)*W$25*($C109-$C108)</f>
        <v>0.2207334663</v>
      </c>
      <c r="X109" s="30">
        <f t="shared" si="277"/>
        <v>1.28215015</v>
      </c>
      <c r="Y109" s="30">
        <f t="shared" si="30"/>
        <v>2.268625889</v>
      </c>
      <c r="Z109" s="30">
        <f>(L109-OFFSET(L109,-IF(C109-C108&gt;i_Cos_Days,1,MIN(B109,i_Cos_Days)),0))*MIN(i_Cos_Days,($C109-$C108))</f>
        <v>0</v>
      </c>
      <c r="AA109" s="30">
        <f t="shared" si="31"/>
        <v>7.632972242</v>
      </c>
      <c r="AB109" s="30">
        <f t="shared" si="32"/>
        <v>4.22275396</v>
      </c>
      <c r="AC109" s="30">
        <f t="shared" si="33"/>
        <v>0.5151073458</v>
      </c>
      <c r="AD109" s="30">
        <f t="shared" si="34"/>
        <v>0</v>
      </c>
      <c r="AE109" s="6"/>
      <c r="AF109" s="30">
        <f t="shared" si="11"/>
        <v>0.980067462</v>
      </c>
      <c r="AG109" s="30" t="str">
        <f>MIN(1,SUM(OFFSET(E109,0,0,-i_Eve_ECG,1)))</f>
        <v>#VALUE!</v>
      </c>
      <c r="AH109" s="30" t="str">
        <f t="shared" si="12"/>
        <v>#VALUE!</v>
      </c>
      <c r="AI109" s="30" t="str">
        <f t="shared" si="13"/>
        <v>#VALUE!</v>
      </c>
      <c r="AJ109" s="30" t="str">
        <f>(AH109*(i_Adv_Fals/i_Adv_Alar)*i_Int_Kend_false)*AJ$25</f>
        <v>#VALUE!</v>
      </c>
      <c r="AK109" s="30" t="str">
        <f>(AH109*(i_Adv_Lead/i_Adv_Alar)*i_Int_Kend_leadsoff)*AK$25</f>
        <v>#VALUE!</v>
      </c>
      <c r="AL109" s="30">
        <f>((SUM(F108:J108)-((I108+J108)*(1-i_Bac_ICU)))+(SUM(F109:J109)-((I109+J109)*(1-i_Bac_ICU))))/2*(C109-C108)</f>
        <v>0.0004336173746</v>
      </c>
      <c r="AM109" s="30">
        <f>(((I108+J108)*(1-i_Bac_ICU))+((I109+J109)*(1-i_Bac_ICU))+K108+E108+E109+K109)/2*(C109-C108)</f>
        <v>0.001648106506</v>
      </c>
      <c r="AN109" s="6"/>
      <c r="AO109" s="6"/>
      <c r="AP109" s="6"/>
      <c r="AQ109" s="6"/>
      <c r="AR109" s="6"/>
      <c r="AS109" s="6"/>
      <c r="AT109" s="6"/>
      <c r="AU109" s="6"/>
    </row>
    <row r="110" ht="14.25" customHeight="1">
      <c r="A110" s="6"/>
      <c r="B110" s="26">
        <f t="shared" ref="B110:C110" si="278">B109+1</f>
        <v>84</v>
      </c>
      <c r="C110" s="26">
        <f t="shared" si="278"/>
        <v>84</v>
      </c>
      <c r="D110" s="26">
        <f t="shared" si="6"/>
        <v>0.2</v>
      </c>
      <c r="E110" s="28">
        <f t="shared" si="15"/>
        <v>0.0001351698777</v>
      </c>
      <c r="F110" s="28">
        <f t="shared" si="16"/>
        <v>0.0001201970937</v>
      </c>
      <c r="G110" s="28">
        <f t="shared" si="17"/>
        <v>0.00003832043562</v>
      </c>
      <c r="H110" s="28">
        <f t="shared" si="18"/>
        <v>0.0001516589895</v>
      </c>
      <c r="I110" s="28">
        <f t="shared" si="19"/>
        <v>0.00009183465664</v>
      </c>
      <c r="J110" s="28">
        <f t="shared" si="20"/>
        <v>0.0005479348008</v>
      </c>
      <c r="K110" s="28">
        <f t="shared" si="21"/>
        <v>0.0009525255326</v>
      </c>
      <c r="L110" s="28">
        <f t="shared" si="22"/>
        <v>0.9432898193</v>
      </c>
      <c r="M110" s="28">
        <f t="shared" si="23"/>
        <v>0.01730898467</v>
      </c>
      <c r="N110" s="28">
        <f t="shared" si="24"/>
        <v>0.004110067115</v>
      </c>
      <c r="O110" s="28">
        <f t="shared" si="25"/>
        <v>0.002972525553</v>
      </c>
      <c r="P110" s="28">
        <f t="shared" si="26"/>
        <v>0.030280962</v>
      </c>
      <c r="Q110" s="6"/>
      <c r="R110" s="26">
        <f t="shared" si="7"/>
        <v>1</v>
      </c>
      <c r="S110" s="30">
        <f t="shared" si="8"/>
        <v>1.384686986</v>
      </c>
      <c r="T110" s="30">
        <f t="shared" ref="T110:U110" si="279">((F109+F110)/2)*T$25*($C110-$C109)</f>
        <v>0.3956189465</v>
      </c>
      <c r="U110" s="30">
        <f t="shared" si="279"/>
        <v>0.1261286562</v>
      </c>
      <c r="V110" s="30">
        <f t="shared" si="28"/>
        <v>0.385098702</v>
      </c>
      <c r="W110" s="30">
        <f t="shared" ref="W110:X110" si="280">((I109+I110)/2)*W$25*($C110-$C109)</f>
        <v>0.2101337812</v>
      </c>
      <c r="X110" s="30">
        <f t="shared" si="280"/>
        <v>1.24256324</v>
      </c>
      <c r="Y110" s="30">
        <f t="shared" si="30"/>
        <v>2.253018987</v>
      </c>
      <c r="Z110" s="30">
        <f>(L110-OFFSET(L110,-IF(C110-C109&gt;i_Cos_Days,1,MIN(B110,i_Cos_Days)),0))*MIN(i_Cos_Days,($C110-$C109))</f>
        <v>0</v>
      </c>
      <c r="AA110" s="30">
        <f t="shared" si="31"/>
        <v>7.394288636</v>
      </c>
      <c r="AB110" s="30">
        <f t="shared" si="32"/>
        <v>4.222506924</v>
      </c>
      <c r="AC110" s="30">
        <f t="shared" si="33"/>
        <v>0.5150772114</v>
      </c>
      <c r="AD110" s="30">
        <f t="shared" si="34"/>
        <v>0</v>
      </c>
      <c r="AE110" s="6"/>
      <c r="AF110" s="30">
        <f t="shared" si="11"/>
        <v>0.9806533739</v>
      </c>
      <c r="AG110" s="30" t="str">
        <f>MIN(1,SUM(OFFSET(E110,0,0,-i_Eve_ECG,1)))</f>
        <v>#VALUE!</v>
      </c>
      <c r="AH110" s="30" t="str">
        <f t="shared" si="12"/>
        <v>#VALUE!</v>
      </c>
      <c r="AI110" s="30" t="str">
        <f t="shared" si="13"/>
        <v>#VALUE!</v>
      </c>
      <c r="AJ110" s="30" t="str">
        <f>(AH110*(i_Adv_Fals/i_Adv_Alar)*i_Int_Kend_false)*AJ$25</f>
        <v>#VALUE!</v>
      </c>
      <c r="AK110" s="30" t="str">
        <f>(AH110*(i_Adv_Lead/i_Adv_Alar)*i_Int_Kend_leadsoff)*AK$25</f>
        <v>#VALUE!</v>
      </c>
      <c r="AL110" s="30">
        <f>((SUM(F109:J109)-((I109+J109)*(1-i_Bac_ICU)))+(SUM(F110:J110)-((I110+J110)*(1-i_Bac_ICU))))/2*(C110-C109)</f>
        <v>0.0004290497299</v>
      </c>
      <c r="AM110" s="30">
        <f>(((I109+J109)*(1-i_Bac_ICU))+((I110+J110)*(1-i_Bac_ICU))+K109+E109+E110+K110)/2*(C110-C109)</f>
        <v>0.001623089355</v>
      </c>
      <c r="AN110" s="6"/>
      <c r="AO110" s="6"/>
      <c r="AP110" s="6"/>
      <c r="AQ110" s="6"/>
      <c r="AR110" s="6"/>
      <c r="AS110" s="6"/>
      <c r="AT110" s="6"/>
      <c r="AU110" s="6"/>
    </row>
    <row r="111" ht="14.25" customHeight="1">
      <c r="A111" s="6"/>
      <c r="B111" s="26">
        <f t="shared" ref="B111:C111" si="281">B110+1</f>
        <v>85</v>
      </c>
      <c r="C111" s="26">
        <f t="shared" si="281"/>
        <v>85</v>
      </c>
      <c r="D111" s="26">
        <f t="shared" si="6"/>
        <v>0.2</v>
      </c>
      <c r="E111" s="28">
        <f t="shared" si="15"/>
        <v>0.000135157823</v>
      </c>
      <c r="F111" s="28">
        <f t="shared" si="16"/>
        <v>0.00012018631</v>
      </c>
      <c r="G111" s="28">
        <f t="shared" si="17"/>
        <v>0.00003831696127</v>
      </c>
      <c r="H111" s="28">
        <f t="shared" si="18"/>
        <v>0.0001512316996</v>
      </c>
      <c r="I111" s="28">
        <f t="shared" si="19"/>
        <v>0.00008749557238</v>
      </c>
      <c r="J111" s="28">
        <f t="shared" si="20"/>
        <v>0.0005310552683</v>
      </c>
      <c r="K111" s="28">
        <f t="shared" si="21"/>
        <v>0.0009463298968</v>
      </c>
      <c r="L111" s="28">
        <f t="shared" si="22"/>
        <v>0.9437684537</v>
      </c>
      <c r="M111" s="28">
        <f t="shared" si="23"/>
        <v>0.01677285588</v>
      </c>
      <c r="N111" s="28">
        <f t="shared" si="24"/>
        <v>0.004117526231</v>
      </c>
      <c r="O111" s="28">
        <f t="shared" si="25"/>
        <v>0.002973645404</v>
      </c>
      <c r="P111" s="28">
        <f t="shared" si="26"/>
        <v>0.03035774528</v>
      </c>
      <c r="Q111" s="6"/>
      <c r="R111" s="26">
        <f t="shared" si="7"/>
        <v>1</v>
      </c>
      <c r="S111" s="30">
        <f t="shared" si="8"/>
        <v>1.384563497</v>
      </c>
      <c r="T111" s="30">
        <f t="shared" ref="T111:U111" si="282">((F110+F111)/2)*T$25*($C111-$C110)</f>
        <v>0.3955833427</v>
      </c>
      <c r="U111" s="30">
        <f t="shared" si="282"/>
        <v>0.1261171826</v>
      </c>
      <c r="V111" s="30">
        <f t="shared" si="28"/>
        <v>0.3839927001</v>
      </c>
      <c r="W111" s="30">
        <f t="shared" ref="W111:X111" si="283">((I110+I111)/2)*W$25*($C111-$C110)</f>
        <v>0.2001496176</v>
      </c>
      <c r="X111" s="30">
        <f t="shared" si="283"/>
        <v>1.204255696</v>
      </c>
      <c r="Y111" s="30">
        <f t="shared" si="30"/>
        <v>2.238085952</v>
      </c>
      <c r="Z111" s="30">
        <f>(L111-OFFSET(L111,-IF(C111-C110&gt;i_Cos_Days,1,MIN(B111,i_Cos_Days)),0))*MIN(i_Cos_Days,($C111-$C110))</f>
        <v>0</v>
      </c>
      <c r="AA111" s="30">
        <f t="shared" si="31"/>
        <v>7.16451411</v>
      </c>
      <c r="AB111" s="30">
        <f t="shared" si="32"/>
        <v>4.222256988</v>
      </c>
      <c r="AC111" s="30">
        <f t="shared" si="33"/>
        <v>0.5150467234</v>
      </c>
      <c r="AD111" s="30">
        <f t="shared" si="34"/>
        <v>0</v>
      </c>
      <c r="AE111" s="6"/>
      <c r="AF111" s="30">
        <f t="shared" si="11"/>
        <v>0.9812173706</v>
      </c>
      <c r="AG111" s="30" t="str">
        <f>MIN(1,SUM(OFFSET(E111,0,0,-i_Eve_ECG,1)))</f>
        <v>#VALUE!</v>
      </c>
      <c r="AH111" s="30" t="str">
        <f t="shared" si="12"/>
        <v>#VALUE!</v>
      </c>
      <c r="AI111" s="30" t="str">
        <f t="shared" si="13"/>
        <v>#VALUE!</v>
      </c>
      <c r="AJ111" s="30" t="str">
        <f>(AH111*(i_Adv_Fals/i_Adv_Alar)*i_Int_Kend_false)*AJ$25</f>
        <v>#VALUE!</v>
      </c>
      <c r="AK111" s="30" t="str">
        <f>(AH111*(i_Adv_Lead/i_Adv_Alar)*i_Int_Kend_leadsoff)*AK$25</f>
        <v>#VALUE!</v>
      </c>
      <c r="AL111" s="30">
        <f>((SUM(F110:J110)-((I110+J110)*(1-i_Bac_ICU)))+(SUM(F111:J111)-((I111+J111)*(1-i_Bac_ICU))))/2*(C111-C110)</f>
        <v>0.0004246551823</v>
      </c>
      <c r="AM111" s="30">
        <f>(((I110+J110)*(1-i_Bac_ICU))+((I111+J111)*(1-i_Bac_ICU))+K110+E110+E111+K111)/2*(C111-C110)</f>
        <v>0.001599052277</v>
      </c>
      <c r="AN111" s="6"/>
      <c r="AO111" s="6"/>
      <c r="AP111" s="6"/>
      <c r="AQ111" s="6"/>
      <c r="AR111" s="6"/>
      <c r="AS111" s="6"/>
      <c r="AT111" s="6"/>
      <c r="AU111" s="6"/>
    </row>
    <row r="112" ht="14.25" customHeight="1">
      <c r="A112" s="6"/>
      <c r="B112" s="26">
        <f t="shared" ref="B112:C112" si="284">B111+1</f>
        <v>86</v>
      </c>
      <c r="C112" s="26">
        <f t="shared" si="284"/>
        <v>86</v>
      </c>
      <c r="D112" s="26">
        <f t="shared" si="6"/>
        <v>0.2</v>
      </c>
      <c r="E112" s="28">
        <f t="shared" si="15"/>
        <v>0.0001351458378</v>
      </c>
      <c r="F112" s="28">
        <f t="shared" si="16"/>
        <v>0.0001201755912</v>
      </c>
      <c r="G112" s="28">
        <f t="shared" si="17"/>
        <v>0.00003831350925</v>
      </c>
      <c r="H112" s="28">
        <f t="shared" si="18"/>
        <v>0.0001508214382</v>
      </c>
      <c r="I112" s="28">
        <f t="shared" si="19"/>
        <v>0.00008340831743</v>
      </c>
      <c r="J112" s="28">
        <f t="shared" si="20"/>
        <v>0.0005147213343</v>
      </c>
      <c r="K112" s="28">
        <f t="shared" si="21"/>
        <v>0.0009403985423</v>
      </c>
      <c r="L112" s="28">
        <f t="shared" si="22"/>
        <v>0.94422647</v>
      </c>
      <c r="M112" s="28">
        <f t="shared" si="23"/>
        <v>0.01625673948</v>
      </c>
      <c r="N112" s="28">
        <f t="shared" si="24"/>
        <v>0.004124663283</v>
      </c>
      <c r="O112" s="28">
        <f t="shared" si="25"/>
        <v>0.002974678608</v>
      </c>
      <c r="P112" s="28">
        <f t="shared" si="26"/>
        <v>0.03043446403</v>
      </c>
      <c r="Q112" s="6"/>
      <c r="R112" s="26">
        <f t="shared" si="7"/>
        <v>1</v>
      </c>
      <c r="S112" s="30">
        <f t="shared" si="8"/>
        <v>1.38444072</v>
      </c>
      <c r="T112" s="30">
        <f t="shared" ref="T112:U112" si="285">((F111+F112)/2)*T$25*($C112-$C111)</f>
        <v>0.3955479573</v>
      </c>
      <c r="U112" s="30">
        <f t="shared" si="285"/>
        <v>0.1261057844</v>
      </c>
      <c r="V112" s="30">
        <f t="shared" si="28"/>
        <v>0.3829308861</v>
      </c>
      <c r="W112" s="30">
        <f t="shared" ref="W112:X112" si="286">((I111+I112)/2)*W$25*($C112-$C111)</f>
        <v>0.1907450204</v>
      </c>
      <c r="X112" s="30">
        <f t="shared" si="286"/>
        <v>1.167186304</v>
      </c>
      <c r="Y112" s="30">
        <f t="shared" si="30"/>
        <v>2.223792475</v>
      </c>
      <c r="Z112" s="30">
        <f>(L112-OFFSET(L112,-IF(C112-C111&gt;i_Cos_Days,1,MIN(B112,i_Cos_Days)),0))*MIN(i_Cos_Days,($C112-$C111))</f>
        <v>0</v>
      </c>
      <c r="AA112" s="30">
        <f t="shared" si="31"/>
        <v>6.943316389</v>
      </c>
      <c r="AB112" s="30">
        <f t="shared" si="32"/>
        <v>4.222004275</v>
      </c>
      <c r="AC112" s="30">
        <f t="shared" si="33"/>
        <v>0.5150158965</v>
      </c>
      <c r="AD112" s="30">
        <f t="shared" si="34"/>
        <v>0</v>
      </c>
      <c r="AE112" s="6"/>
      <c r="AF112" s="30">
        <f t="shared" si="11"/>
        <v>0.9817602759</v>
      </c>
      <c r="AG112" s="30" t="str">
        <f>MIN(1,SUM(OFFSET(E112,0,0,-i_Eve_ECG,1)))</f>
        <v>#VALUE!</v>
      </c>
      <c r="AH112" s="30" t="str">
        <f t="shared" si="12"/>
        <v>#VALUE!</v>
      </c>
      <c r="AI112" s="30" t="str">
        <f t="shared" si="13"/>
        <v>#VALUE!</v>
      </c>
      <c r="AJ112" s="30" t="str">
        <f>(AH112*(i_Adv_Fals/i_Adv_Alar)*i_Int_Kend_false)*AJ$25</f>
        <v>#VALUE!</v>
      </c>
      <c r="AK112" s="30" t="str">
        <f>(AH112*(i_Adv_Lead/i_Adv_Alar)*i_Int_Kend_leadsoff)*AK$25</f>
        <v>#VALUE!</v>
      </c>
      <c r="AL112" s="30">
        <f>((SUM(F111:J111)-((I111+J111)*(1-i_Bac_ICU)))+(SUM(F112:J112)-((I112+J112)*(1-i_Bac_ICU))))/2*(C112-C111)</f>
        <v>0.0004204266067</v>
      </c>
      <c r="AM112" s="30">
        <f>(((I111+J111)*(1-i_Bac_ICU))+((I112+J112)*(1-i_Bac_ICU))+K111+E111+E112+K112)/2*(C112-C111)</f>
        <v>0.001575952444</v>
      </c>
      <c r="AN112" s="6"/>
      <c r="AO112" s="6"/>
      <c r="AP112" s="6"/>
      <c r="AQ112" s="6"/>
      <c r="AR112" s="6"/>
      <c r="AS112" s="6"/>
      <c r="AT112" s="6"/>
      <c r="AU112" s="6"/>
    </row>
    <row r="113" ht="14.25" customHeight="1">
      <c r="A113" s="6"/>
      <c r="B113" s="26">
        <f t="shared" ref="B113:C113" si="287">B112+1</f>
        <v>87</v>
      </c>
      <c r="C113" s="26">
        <f t="shared" si="287"/>
        <v>87</v>
      </c>
      <c r="D113" s="26">
        <f t="shared" si="6"/>
        <v>0.2</v>
      </c>
      <c r="E113" s="28">
        <f t="shared" si="15"/>
        <v>0.0001351339191</v>
      </c>
      <c r="F113" s="28">
        <f t="shared" si="16"/>
        <v>0.0001201649342</v>
      </c>
      <c r="G113" s="28">
        <f t="shared" si="17"/>
        <v>0.00003831007857</v>
      </c>
      <c r="H113" s="28">
        <f t="shared" si="18"/>
        <v>0.0001504274461</v>
      </c>
      <c r="I113" s="28">
        <f t="shared" si="19"/>
        <v>0.00007955818461</v>
      </c>
      <c r="J113" s="28">
        <f t="shared" si="20"/>
        <v>0.0004989154166</v>
      </c>
      <c r="K113" s="28">
        <f t="shared" si="21"/>
        <v>0.000934718316</v>
      </c>
      <c r="L113" s="28">
        <f t="shared" si="22"/>
        <v>0.9446646398</v>
      </c>
      <c r="M113" s="28">
        <f t="shared" si="23"/>
        <v>0.01575988893</v>
      </c>
      <c r="N113" s="28">
        <f t="shared" si="24"/>
        <v>0.004131491601</v>
      </c>
      <c r="O113" s="28">
        <f t="shared" si="25"/>
        <v>0.002975630821</v>
      </c>
      <c r="P113" s="28">
        <f t="shared" si="26"/>
        <v>0.03051112052</v>
      </c>
      <c r="Q113" s="6"/>
      <c r="R113" s="26">
        <f t="shared" si="7"/>
        <v>1</v>
      </c>
      <c r="S113" s="30">
        <f t="shared" si="8"/>
        <v>1.384318624</v>
      </c>
      <c r="T113" s="30">
        <f t="shared" ref="T113:U113" si="288">((F112+F113)/2)*T$25*($C113-$C112)</f>
        <v>0.3955127805</v>
      </c>
      <c r="U113" s="30">
        <f t="shared" si="288"/>
        <v>0.126094458</v>
      </c>
      <c r="V113" s="30">
        <f t="shared" si="28"/>
        <v>0.3819112857</v>
      </c>
      <c r="W113" s="30">
        <f t="shared" ref="W113:X113" si="289">((I112+I113)/2)*W$25*($C113-$C112)</f>
        <v>0.1818861396</v>
      </c>
      <c r="X113" s="30">
        <f t="shared" si="289"/>
        <v>1.131315168</v>
      </c>
      <c r="Y113" s="30">
        <f t="shared" si="30"/>
        <v>2.210106485</v>
      </c>
      <c r="Z113" s="30">
        <f>(L113-OFFSET(L113,-IF(C113-C112&gt;i_Cos_Days,1,MIN(B113,i_Cos_Days)),0))*MIN(i_Cos_Days,($C113-$C112))</f>
        <v>0</v>
      </c>
      <c r="AA113" s="30">
        <f t="shared" si="31"/>
        <v>6.730375542</v>
      </c>
      <c r="AB113" s="30">
        <f t="shared" si="32"/>
        <v>4.2217489</v>
      </c>
      <c r="AC113" s="30">
        <f t="shared" si="33"/>
        <v>0.5149847448</v>
      </c>
      <c r="AD113" s="30">
        <f t="shared" si="34"/>
        <v>0</v>
      </c>
      <c r="AE113" s="6"/>
      <c r="AF113" s="30">
        <f t="shared" si="11"/>
        <v>0.9822828828</v>
      </c>
      <c r="AG113" s="30" t="str">
        <f>MIN(1,SUM(OFFSET(E113,0,0,-i_Eve_ECG,1)))</f>
        <v>#VALUE!</v>
      </c>
      <c r="AH113" s="30" t="str">
        <f t="shared" si="12"/>
        <v>#VALUE!</v>
      </c>
      <c r="AI113" s="30" t="str">
        <f t="shared" si="13"/>
        <v>#VALUE!</v>
      </c>
      <c r="AJ113" s="30" t="str">
        <f>(AH113*(i_Adv_Fals/i_Adv_Alar)*i_Int_Kend_false)*AJ$25</f>
        <v>#VALUE!</v>
      </c>
      <c r="AK113" s="30" t="str">
        <f>(AH113*(i_Adv_Lead/i_Adv_Alar)*i_Int_Kend_leadsoff)*AK$25</f>
        <v>#VALUE!</v>
      </c>
      <c r="AL113" s="30">
        <f>((SUM(F112:J112)-((I112+J112)*(1-i_Bac_ICU)))+(SUM(F113:J113)-((I113+J113)*(1-i_Bac_ICU))))/2*(C113-C112)</f>
        <v>0.0004163571974</v>
      </c>
      <c r="AM113" s="30">
        <f>(((I112+J112)*(1-i_Bac_ICU))+((I113+J113)*(1-i_Bac_ICU))+K112+E112+E113+K113)/2*(C113-C112)</f>
        <v>0.001553749235</v>
      </c>
      <c r="AN113" s="6"/>
      <c r="AO113" s="6"/>
      <c r="AP113" s="6"/>
      <c r="AQ113" s="6"/>
      <c r="AR113" s="6"/>
      <c r="AS113" s="6"/>
      <c r="AT113" s="6"/>
      <c r="AU113" s="6"/>
    </row>
    <row r="114" ht="14.25" customHeight="1">
      <c r="A114" s="6"/>
      <c r="B114" s="26">
        <f t="shared" ref="B114:C114" si="290">B113+1</f>
        <v>88</v>
      </c>
      <c r="C114" s="26">
        <f t="shared" si="290"/>
        <v>88</v>
      </c>
      <c r="D114" s="26">
        <f t="shared" si="6"/>
        <v>0.2</v>
      </c>
      <c r="E114" s="28">
        <f t="shared" si="15"/>
        <v>0.0001351220638</v>
      </c>
      <c r="F114" s="28">
        <f t="shared" si="16"/>
        <v>0.0001201543363</v>
      </c>
      <c r="G114" s="28">
        <f t="shared" si="17"/>
        <v>0.00003830666825</v>
      </c>
      <c r="H114" s="28">
        <f t="shared" si="18"/>
        <v>0.0001500490008</v>
      </c>
      <c r="I114" s="28">
        <f t="shared" si="19"/>
        <v>0.0000759313279</v>
      </c>
      <c r="J114" s="28">
        <f t="shared" si="20"/>
        <v>0.0004836204955</v>
      </c>
      <c r="K114" s="28">
        <f t="shared" si="21"/>
        <v>0.0009292768861</v>
      </c>
      <c r="L114" s="28">
        <f t="shared" si="22"/>
        <v>0.9450837056</v>
      </c>
      <c r="M114" s="28">
        <f t="shared" si="23"/>
        <v>0.01528158539</v>
      </c>
      <c r="N114" s="28">
        <f t="shared" si="24"/>
        <v>0.004138023963</v>
      </c>
      <c r="O114" s="28">
        <f t="shared" si="25"/>
        <v>0.002976507325</v>
      </c>
      <c r="P114" s="28">
        <f t="shared" si="26"/>
        <v>0.03058771694</v>
      </c>
      <c r="Q114" s="6"/>
      <c r="R114" s="26">
        <f t="shared" si="7"/>
        <v>1</v>
      </c>
      <c r="S114" s="30">
        <f t="shared" si="8"/>
        <v>1.384197178</v>
      </c>
      <c r="T114" s="30">
        <f t="shared" ref="T114:U114" si="291">((F113+F114)/2)*T$25*($C114-$C113)</f>
        <v>0.3954778027</v>
      </c>
      <c r="U114" s="30">
        <f t="shared" si="291"/>
        <v>0.1260832002</v>
      </c>
      <c r="V114" s="30">
        <f t="shared" si="28"/>
        <v>0.3809320204</v>
      </c>
      <c r="W114" s="30">
        <f t="shared" ref="W114:X114" si="292">((I113+I114)/2)*W$25*($C114-$C113)</f>
        <v>0.1735411071</v>
      </c>
      <c r="X114" s="30">
        <f t="shared" si="292"/>
        <v>1.096603669</v>
      </c>
      <c r="Y114" s="30">
        <f t="shared" si="30"/>
        <v>2.196997945</v>
      </c>
      <c r="Z114" s="30">
        <f>(L114-OFFSET(L114,-IF(C114-C113&gt;i_Cos_Days,1,MIN(B114,i_Cos_Days)),0))*MIN(i_Cos_Days,($C114-$C113))</f>
        <v>0</v>
      </c>
      <c r="AA114" s="30">
        <f t="shared" si="31"/>
        <v>6.525383525</v>
      </c>
      <c r="AB114" s="30">
        <f t="shared" si="32"/>
        <v>4.221490972</v>
      </c>
      <c r="AC114" s="30">
        <f t="shared" si="33"/>
        <v>0.5149532818</v>
      </c>
      <c r="AD114" s="30">
        <f t="shared" si="34"/>
        <v>0</v>
      </c>
      <c r="AE114" s="6"/>
      <c r="AF114" s="30">
        <f t="shared" si="11"/>
        <v>0.9827859538</v>
      </c>
      <c r="AG114" s="30" t="str">
        <f>MIN(1,SUM(OFFSET(E114,0,0,-i_Eve_ECG,1)))</f>
        <v>#VALUE!</v>
      </c>
      <c r="AH114" s="30" t="str">
        <f t="shared" si="12"/>
        <v>#VALUE!</v>
      </c>
      <c r="AI114" s="30" t="str">
        <f t="shared" si="13"/>
        <v>#VALUE!</v>
      </c>
      <c r="AJ114" s="30" t="str">
        <f>(AH114*(i_Adv_Fals/i_Adv_Alar)*i_Int_Kend_false)*AJ$25</f>
        <v>#VALUE!</v>
      </c>
      <c r="AK114" s="30" t="str">
        <f>(AH114*(i_Adv_Lead/i_Adv_Alar)*i_Int_Kend_leadsoff)*AK$25</f>
        <v>#VALUE!</v>
      </c>
      <c r="AL114" s="30">
        <f>((SUM(F113:J113)-((I113+J113)*(1-i_Bac_ICU)))+(SUM(F114:J114)-((I114+J114)*(1-i_Bac_ICU))))/2*(C114-C113)</f>
        <v>0.0004124404532</v>
      </c>
      <c r="AM114" s="30">
        <f>(((I113+J113)*(1-i_Bac_ICU))+((I114+J114)*(1-i_Bac_ICU))+K113+E113+E114+K114)/2*(C114-C113)</f>
        <v>0.001532404084</v>
      </c>
      <c r="AN114" s="6"/>
      <c r="AO114" s="6"/>
      <c r="AP114" s="6"/>
      <c r="AQ114" s="6"/>
      <c r="AR114" s="6"/>
      <c r="AS114" s="6"/>
      <c r="AT114" s="6"/>
      <c r="AU114" s="6"/>
    </row>
    <row r="115" ht="14.25" customHeight="1">
      <c r="A115" s="6"/>
      <c r="B115" s="26">
        <f t="shared" ref="B115:C115" si="293">B114+1</f>
        <v>89</v>
      </c>
      <c r="C115" s="26">
        <f t="shared" si="293"/>
        <v>89</v>
      </c>
      <c r="D115" s="26">
        <f t="shared" si="6"/>
        <v>0.2</v>
      </c>
      <c r="E115" s="28">
        <f t="shared" si="15"/>
        <v>0.0001351102692</v>
      </c>
      <c r="F115" s="28">
        <f t="shared" si="16"/>
        <v>0.0001201437948</v>
      </c>
      <c r="G115" s="28">
        <f t="shared" si="17"/>
        <v>0.00003830327737</v>
      </c>
      <c r="H115" s="28">
        <f t="shared" si="18"/>
        <v>0.0001496854147</v>
      </c>
      <c r="I115" s="28">
        <f t="shared" si="19"/>
        <v>0.00007251471202</v>
      </c>
      <c r="J115" s="28">
        <f t="shared" si="20"/>
        <v>0.0004688200965</v>
      </c>
      <c r="K115" s="28">
        <f t="shared" si="21"/>
        <v>0.0009240626719</v>
      </c>
      <c r="L115" s="28">
        <f t="shared" si="22"/>
        <v>0.9454843819</v>
      </c>
      <c r="M115" s="28">
        <f t="shared" si="23"/>
        <v>0.01482113681</v>
      </c>
      <c r="N115" s="28">
        <f t="shared" si="24"/>
        <v>0.00414427262</v>
      </c>
      <c r="O115" s="28">
        <f t="shared" si="25"/>
        <v>0.002977313055</v>
      </c>
      <c r="P115" s="28">
        <f t="shared" si="26"/>
        <v>0.03066425538</v>
      </c>
      <c r="Q115" s="6"/>
      <c r="R115" s="26">
        <f t="shared" si="7"/>
        <v>1</v>
      </c>
      <c r="S115" s="30">
        <f t="shared" si="8"/>
        <v>1.384076353</v>
      </c>
      <c r="T115" s="30">
        <f t="shared" ref="T115:U115" si="294">((F114+F115)/2)*T$25*($C115-$C114)</f>
        <v>0.395443015</v>
      </c>
      <c r="U115" s="30">
        <f t="shared" si="294"/>
        <v>0.1260720079</v>
      </c>
      <c r="V115" s="30">
        <f t="shared" si="28"/>
        <v>0.3799913026</v>
      </c>
      <c r="W115" s="30">
        <f t="shared" ref="W115:X115" si="295">((I114+I115)/2)*W$25*($C115-$C114)</f>
        <v>0.1656799207</v>
      </c>
      <c r="X115" s="30">
        <f t="shared" si="295"/>
        <v>1.063014425</v>
      </c>
      <c r="Y115" s="30">
        <f t="shared" si="30"/>
        <v>2.18443867</v>
      </c>
      <c r="Z115" s="30">
        <f>(L115-OFFSET(L115,-IF(C115-C114&gt;i_Cos_Days,1,MIN(B115,i_Cos_Days)),0))*MIN(i_Cos_Days,($C115-$C114))</f>
        <v>0</v>
      </c>
      <c r="AA115" s="30">
        <f t="shared" si="31"/>
        <v>6.328043748</v>
      </c>
      <c r="AB115" s="30">
        <f t="shared" si="32"/>
        <v>4.221230596</v>
      </c>
      <c r="AC115" s="30">
        <f t="shared" si="33"/>
        <v>0.5149215201</v>
      </c>
      <c r="AD115" s="30">
        <f t="shared" si="34"/>
        <v>0</v>
      </c>
      <c r="AE115" s="6"/>
      <c r="AF115" s="30">
        <f t="shared" si="11"/>
        <v>0.983270223</v>
      </c>
      <c r="AG115" s="30" t="str">
        <f>MIN(1,SUM(OFFSET(E115,0,0,-i_Eve_ECG,1)))</f>
        <v>#VALUE!</v>
      </c>
      <c r="AH115" s="30" t="str">
        <f t="shared" si="12"/>
        <v>#VALUE!</v>
      </c>
      <c r="AI115" s="30" t="str">
        <f t="shared" si="13"/>
        <v>#VALUE!</v>
      </c>
      <c r="AJ115" s="30" t="str">
        <f>(AH115*(i_Adv_Fals/i_Adv_Alar)*i_Int_Kend_false)*AJ$25</f>
        <v>#VALUE!</v>
      </c>
      <c r="AK115" s="30" t="str">
        <f>(AH115*(i_Adv_Lead/i_Adv_Alar)*i_Int_Kend_leadsoff)*AK$25</f>
        <v>#VALUE!</v>
      </c>
      <c r="AL115" s="30">
        <f>((SUM(F114:J114)-((I114+J114)*(1-i_Bac_ICU)))+(SUM(F115:J115)-((I115+J115)*(1-i_Bac_ICU))))/2*(C115-C114)</f>
        <v>0.0004086701616</v>
      </c>
      <c r="AM115" s="30">
        <f>(((I114+J114)*(1-i_Bac_ICU))+((I115+J115)*(1-i_Bac_ICU))+K114+E114+E115+K115)/2*(C115-C114)</f>
        <v>0.001511880346</v>
      </c>
      <c r="AN115" s="6"/>
      <c r="AO115" s="6"/>
      <c r="AP115" s="6"/>
      <c r="AQ115" s="6"/>
      <c r="AR115" s="6"/>
      <c r="AS115" s="6"/>
      <c r="AT115" s="6"/>
      <c r="AU115" s="6"/>
    </row>
    <row r="116" ht="14.25" customHeight="1">
      <c r="A116" s="6"/>
      <c r="B116" s="26">
        <f t="shared" ref="B116:C116" si="296">B115+1</f>
        <v>90</v>
      </c>
      <c r="C116" s="26">
        <f t="shared" si="296"/>
        <v>90</v>
      </c>
      <c r="D116" s="26">
        <f t="shared" si="6"/>
        <v>0.2</v>
      </c>
      <c r="E116" s="28">
        <f t="shared" si="15"/>
        <v>0.0001350985324</v>
      </c>
      <c r="F116" s="28">
        <f t="shared" si="16"/>
        <v>0.0001201333073</v>
      </c>
      <c r="G116" s="28">
        <f t="shared" si="17"/>
        <v>0.00003829990505</v>
      </c>
      <c r="H116" s="28">
        <f t="shared" si="18"/>
        <v>0.0001493360331</v>
      </c>
      <c r="I116" s="28">
        <f t="shared" si="19"/>
        <v>0.000069296065</v>
      </c>
      <c r="J116" s="28">
        <f t="shared" si="20"/>
        <v>0.0004544982731</v>
      </c>
      <c r="K116" s="28">
        <f t="shared" si="21"/>
        <v>0.0009190647799</v>
      </c>
      <c r="L116" s="28">
        <f t="shared" si="22"/>
        <v>0.9458673565</v>
      </c>
      <c r="M116" s="28">
        <f t="shared" si="23"/>
        <v>0.01437787684</v>
      </c>
      <c r="N116" s="28">
        <f t="shared" si="24"/>
        <v>0.004150249313</v>
      </c>
      <c r="O116" s="28">
        <f t="shared" si="25"/>
        <v>0.002978052623</v>
      </c>
      <c r="P116" s="28">
        <f t="shared" si="26"/>
        <v>0.03074073785</v>
      </c>
      <c r="Q116" s="6"/>
      <c r="R116" s="26">
        <f t="shared" si="7"/>
        <v>1</v>
      </c>
      <c r="S116" s="30">
        <f t="shared" si="8"/>
        <v>1.383956121</v>
      </c>
      <c r="T116" s="30">
        <f t="shared" ref="T116:U116" si="297">((F115+F116)/2)*T$25*($C116-$C115)</f>
        <v>0.395408409</v>
      </c>
      <c r="U116" s="30">
        <f t="shared" si="297"/>
        <v>0.1260608781</v>
      </c>
      <c r="V116" s="30">
        <f t="shared" si="28"/>
        <v>0.3790874306</v>
      </c>
      <c r="W116" s="30">
        <f t="shared" ref="W116:X116" si="298">((I115+I116)/2)*W$25*($C116-$C115)</f>
        <v>0.1582743353</v>
      </c>
      <c r="X116" s="30">
        <f t="shared" si="298"/>
        <v>1.030511251</v>
      </c>
      <c r="Y116" s="30">
        <f t="shared" si="30"/>
        <v>2.172402171</v>
      </c>
      <c r="Z116" s="30">
        <f>(L116-OFFSET(L116,-IF(C116-C115&gt;i_Cos_Days,1,MIN(B116,i_Cos_Days)),0))*MIN(i_Cos_Days,($C116-$C115))</f>
        <v>0</v>
      </c>
      <c r="AA116" s="30">
        <f t="shared" si="31"/>
        <v>6.138070655</v>
      </c>
      <c r="AB116" s="30">
        <f t="shared" si="32"/>
        <v>4.22096787</v>
      </c>
      <c r="AC116" s="30">
        <f t="shared" si="33"/>
        <v>0.5148894719</v>
      </c>
      <c r="AD116" s="30">
        <f t="shared" si="34"/>
        <v>0</v>
      </c>
      <c r="AE116" s="6"/>
      <c r="AF116" s="30">
        <f t="shared" si="11"/>
        <v>0.9837363963</v>
      </c>
      <c r="AG116" s="30" t="str">
        <f>MIN(1,SUM(OFFSET(E116,0,0,-i_Eve_ECG,1)))</f>
        <v>#VALUE!</v>
      </c>
      <c r="AH116" s="30" t="str">
        <f t="shared" si="12"/>
        <v>#VALUE!</v>
      </c>
      <c r="AI116" s="30" t="str">
        <f t="shared" si="13"/>
        <v>#VALUE!</v>
      </c>
      <c r="AJ116" s="30" t="str">
        <f>(AH116*(i_Adv_Fals/i_Adv_Alar)*i_Int_Kend_false)*AJ$25</f>
        <v>#VALUE!</v>
      </c>
      <c r="AK116" s="30" t="str">
        <f>(AH116*(i_Adv_Lead/i_Adv_Alar)*i_Int_Kend_leadsoff)*AK$25</f>
        <v>#VALUE!</v>
      </c>
      <c r="AL116" s="30">
        <f>((SUM(F115:J115)-((I115+J115)*(1-i_Bac_ICU)))+(SUM(F116:J116)-((I116+J116)*(1-i_Bac_ICU))))/2*(C116-C115)</f>
        <v>0.0004050403862</v>
      </c>
      <c r="AM116" s="30">
        <f>(((I115+J115)*(1-i_Bac_ICU))+((I116+J116)*(1-i_Bac_ICU))+K115+E115+E116+K116)/2*(C116-C115)</f>
        <v>0.00149214318</v>
      </c>
      <c r="AN116" s="6"/>
      <c r="AO116" s="6"/>
      <c r="AP116" s="6"/>
      <c r="AQ116" s="6"/>
      <c r="AR116" s="6"/>
      <c r="AS116" s="6"/>
      <c r="AT116" s="6"/>
      <c r="AU116" s="6"/>
    </row>
    <row r="117" ht="14.25" customHeight="1">
      <c r="A117" s="6"/>
      <c r="B117" s="26">
        <f t="shared" ref="B117:C117" si="299">B116+1</f>
        <v>91</v>
      </c>
      <c r="C117" s="26">
        <f t="shared" si="299"/>
        <v>91</v>
      </c>
      <c r="D117" s="26">
        <f t="shared" si="6"/>
        <v>0.2</v>
      </c>
      <c r="E117" s="28">
        <f t="shared" si="15"/>
        <v>0.000135086851</v>
      </c>
      <c r="F117" s="28">
        <f t="shared" si="16"/>
        <v>0.0001201228713</v>
      </c>
      <c r="G117" s="28">
        <f t="shared" si="17"/>
        <v>0.00003829655046</v>
      </c>
      <c r="H117" s="28">
        <f t="shared" si="18"/>
        <v>0.0001490002329</v>
      </c>
      <c r="I117" s="28">
        <f t="shared" si="19"/>
        <v>0.00006626383347</v>
      </c>
      <c r="J117" s="28">
        <f t="shared" si="20"/>
        <v>0.0004406395898</v>
      </c>
      <c r="K117" s="28">
        <f t="shared" si="21"/>
        <v>0.0009142729493</v>
      </c>
      <c r="L117" s="28">
        <f t="shared" si="22"/>
        <v>0.9462332913</v>
      </c>
      <c r="M117" s="28">
        <f t="shared" si="23"/>
        <v>0.01395116396</v>
      </c>
      <c r="N117" s="28">
        <f t="shared" si="24"/>
        <v>0.0041559653</v>
      </c>
      <c r="O117" s="28">
        <f t="shared" si="25"/>
        <v>0.002978730335</v>
      </c>
      <c r="P117" s="28">
        <f t="shared" si="26"/>
        <v>0.03081716626</v>
      </c>
      <c r="Q117" s="6"/>
      <c r="R117" s="26">
        <f t="shared" si="7"/>
        <v>1</v>
      </c>
      <c r="S117" s="30">
        <f t="shared" si="8"/>
        <v>1.383836456</v>
      </c>
      <c r="T117" s="30">
        <f t="shared" ref="T117:U117" si="300">((F116+F117)/2)*T$25*($C117-$C116)</f>
        <v>0.3953739764</v>
      </c>
      <c r="U117" s="30">
        <f t="shared" si="300"/>
        <v>0.1260498081</v>
      </c>
      <c r="V117" s="30">
        <f t="shared" si="28"/>
        <v>0.3782187846</v>
      </c>
      <c r="W117" s="30">
        <f t="shared" ref="W117:X117" si="301">((I116+I117)/2)*W$25*($C117-$C116)</f>
        <v>0.1512977594</v>
      </c>
      <c r="X117" s="30">
        <f t="shared" si="301"/>
        <v>0.9990591211</v>
      </c>
      <c r="Y117" s="30">
        <f t="shared" si="30"/>
        <v>2.160863514</v>
      </c>
      <c r="Z117" s="30">
        <f>(L117-OFFSET(L117,-IF(C117-C116&gt;i_Cos_Days,1,MIN(B117,i_Cos_Days)),0))*MIN(i_Cos_Days,($C117-$C116))</f>
        <v>0</v>
      </c>
      <c r="AA117" s="30">
        <f t="shared" si="31"/>
        <v>5.955189311</v>
      </c>
      <c r="AB117" s="30">
        <f t="shared" si="32"/>
        <v>4.220702889</v>
      </c>
      <c r="AC117" s="30">
        <f t="shared" si="33"/>
        <v>0.5148571485</v>
      </c>
      <c r="AD117" s="30">
        <f t="shared" si="34"/>
        <v>0</v>
      </c>
      <c r="AE117" s="6"/>
      <c r="AF117" s="30">
        <f t="shared" si="11"/>
        <v>0.9841851532</v>
      </c>
      <c r="AG117" s="30" t="str">
        <f>MIN(1,SUM(OFFSET(E117,0,0,-i_Eve_ECG,1)))</f>
        <v>#VALUE!</v>
      </c>
      <c r="AH117" s="30" t="str">
        <f t="shared" si="12"/>
        <v>#VALUE!</v>
      </c>
      <c r="AI117" s="30" t="str">
        <f t="shared" si="13"/>
        <v>#VALUE!</v>
      </c>
      <c r="AJ117" s="30" t="str">
        <f>(AH117*(i_Adv_Fals/i_Adv_Alar)*i_Int_Kend_false)*AJ$25</f>
        <v>#VALUE!</v>
      </c>
      <c r="AK117" s="30" t="str">
        <f>(AH117*(i_Adv_Lead/i_Adv_Alar)*i_Int_Kend_leadsoff)*AK$25</f>
        <v>#VALUE!</v>
      </c>
      <c r="AL117" s="30">
        <f>((SUM(F116:J116)-((I116+J116)*(1-i_Bac_ICU)))+(SUM(F117:J117)-((I117+J117)*(1-i_Bac_ICU))))/2*(C117-C116)</f>
        <v>0.0004015454524</v>
      </c>
      <c r="AM117" s="30">
        <f>(((I116+J116)*(1-i_Bac_ICU))+((I117+J117)*(1-i_Bac_ICU))+K116+E116+E117+K117)/2*(C117-C116)</f>
        <v>0.001473159435</v>
      </c>
      <c r="AN117" s="6"/>
      <c r="AO117" s="6"/>
      <c r="AP117" s="6"/>
      <c r="AQ117" s="6"/>
      <c r="AR117" s="6"/>
      <c r="AS117" s="6"/>
      <c r="AT117" s="6"/>
      <c r="AU117" s="6"/>
    </row>
    <row r="118" ht="14.25" customHeight="1">
      <c r="A118" s="6"/>
      <c r="B118" s="26">
        <f t="shared" ref="B118:B136" si="304">B117+1</f>
        <v>92</v>
      </c>
      <c r="C118" s="26">
        <f t="shared" ref="C118:C136" si="305">C117+91.3</f>
        <v>182.3</v>
      </c>
      <c r="D118" s="26">
        <f t="shared" si="6"/>
        <v>0.5</v>
      </c>
      <c r="E118" s="28">
        <f t="shared" ref="E118:E136" si="306">SUMPRODUCT($E117:$P117,$W$9:$AH$9)</f>
        <v>0</v>
      </c>
      <c r="F118" s="28">
        <f t="shared" ref="F118:F136" si="307">SUMPRODUCT($E117:$P117,$W$10:$AH$10)</f>
        <v>0</v>
      </c>
      <c r="G118" s="28">
        <f t="shared" ref="G118:G136" si="308">SUMPRODUCT($E117:$P117,$W$11:$AH$11)</f>
        <v>0</v>
      </c>
      <c r="H118" s="28">
        <f t="shared" ref="H118:H136" si="309">SUMPRODUCT($E117:$P117,$W$12:$AH$12)</f>
        <v>0.0002648617552</v>
      </c>
      <c r="I118" s="28">
        <f t="shared" ref="I118:I136" si="310">SUMPRODUCT($E117:$P117,$W$13:$AH$13)</f>
        <v>0.00000009186860047</v>
      </c>
      <c r="J118" s="28">
        <f t="shared" ref="J118:J136" si="311">SUMPRODUCT($E117:$P117,$W$14:$AH$14)</f>
        <v>0.00000008246531113</v>
      </c>
      <c r="K118" s="28">
        <f t="shared" ref="K118:K136" si="312">SUMPRODUCT($E117:$P117,$W$15:$AH$15)</f>
        <v>0.0005389427424</v>
      </c>
      <c r="L118" s="28">
        <f t="shared" ref="L118:L136" si="313">SUMPRODUCT($E117:$P117,$W$16:$AH$16)</f>
        <v>0.9564461295</v>
      </c>
      <c r="M118" s="28">
        <f t="shared" ref="M118:M136" si="314">SUMPRODUCT($E117:$P117,$W$17:$AH$17)</f>
        <v>0.002256735983</v>
      </c>
      <c r="N118" s="28">
        <f t="shared" ref="N118:N136" si="315">SUMPRODUCT($E117:$P117,$W$18:$AH$18)</f>
        <v>0.001203484913</v>
      </c>
      <c r="O118" s="28">
        <f t="shared" ref="O118:O136" si="316">SUMPRODUCT($E117:$P117,$W$19:$AH$19)</f>
        <v>0.001337910131</v>
      </c>
      <c r="P118" s="28">
        <f t="shared" ref="P118:P136" si="317">SUMPRODUCT($E117:$P117,$W$20:$AH$20)</f>
        <v>0.03795176065</v>
      </c>
      <c r="Q118" s="6"/>
      <c r="R118" s="26">
        <f t="shared" si="7"/>
        <v>1</v>
      </c>
      <c r="S118" s="30">
        <f t="shared" si="8"/>
        <v>0</v>
      </c>
      <c r="T118" s="30">
        <f t="shared" ref="T118:U118" si="302">((F117+F118)/2)*T$25*($C118-$C117)</f>
        <v>18.04803804</v>
      </c>
      <c r="U118" s="30">
        <f t="shared" si="302"/>
        <v>5.753921731</v>
      </c>
      <c r="V118" s="30">
        <f t="shared" si="28"/>
        <v>47.90307164</v>
      </c>
      <c r="W118" s="30">
        <f t="shared" ref="W118:X118" si="303">((I117+I118)/2)*W$25*($C118-$C117)</f>
        <v>6.761612647</v>
      </c>
      <c r="X118" s="30">
        <f t="shared" si="303"/>
        <v>44.90935562</v>
      </c>
      <c r="Y118" s="30">
        <f t="shared" si="30"/>
        <v>156.3816232</v>
      </c>
      <c r="Z118" s="30">
        <f>(L118-OFFSET(L118,-IF(C118-C117&gt;i_Cos_Days,1,MIN(B118,i_Cos_Days)),0))*MIN(i_Cos_Days,($C118-$C117))</f>
        <v>0</v>
      </c>
      <c r="AA118" s="30">
        <f t="shared" si="31"/>
        <v>311.0722185</v>
      </c>
      <c r="AB118" s="30">
        <f t="shared" ref="AB118:AB136" si="320">(N118-(N117*$AF$18))*AB$25</f>
        <v>28.38517853</v>
      </c>
      <c r="AC118" s="30">
        <f t="shared" ref="AC118:AC136" si="321">(O118-(O117*$AG$19))*AC$25</f>
        <v>3.455286703</v>
      </c>
      <c r="AD118" s="30">
        <f t="shared" si="34"/>
        <v>0</v>
      </c>
      <c r="AE118" s="6"/>
      <c r="AF118" s="30">
        <f t="shared" si="11"/>
        <v>0.9969392852</v>
      </c>
      <c r="AG118" s="30" t="str">
        <f>MIN(1,SUM(OFFSET(E118,0,0,-i_Eve_ECG,1)))</f>
        <v>#VALUE!</v>
      </c>
      <c r="AH118" s="30" t="str">
        <f t="shared" si="12"/>
        <v>#VALUE!</v>
      </c>
      <c r="AI118" s="30" t="str">
        <f t="shared" si="13"/>
        <v>#VALUE!</v>
      </c>
      <c r="AJ118" s="30" t="str">
        <f>(AH118*(i_Adv_Fals/i_Adv_Alar)*i_Int_Kend_false)*AJ$25</f>
        <v>#VALUE!</v>
      </c>
      <c r="AK118" s="30" t="str">
        <f>(AH118*(i_Adv_Lead/i_Adv_Alar)*i_Int_Kend_leadsoff)*AK$25</f>
        <v>#VALUE!</v>
      </c>
      <c r="AL118" s="30">
        <f>((SUM(F117:J117)-((I117+J117)*(1-i_Bac_ICU)))+(SUM(F118:J118)-((I118+J118)*(1-i_Bac_ICU))))/2*(C118-C117)</f>
        <v>0.03034467524</v>
      </c>
      <c r="AM118" s="30">
        <f>(((I117+J117)*(1-i_Bac_ICU))+((I118+J118)*(1-i_Bac_ICU))+K117+E117+E118+K118)/2*(C118-C117)</f>
        <v>0.0914340818</v>
      </c>
      <c r="AN118" s="6"/>
      <c r="AO118" s="6"/>
      <c r="AP118" s="6"/>
      <c r="AQ118" s="6"/>
      <c r="AR118" s="6"/>
      <c r="AS118" s="6"/>
      <c r="AT118" s="6"/>
      <c r="AU118" s="6"/>
    </row>
    <row r="119" ht="14.25" customHeight="1">
      <c r="A119" s="6"/>
      <c r="B119" s="26">
        <f t="shared" si="304"/>
        <v>93</v>
      </c>
      <c r="C119" s="26">
        <f t="shared" si="305"/>
        <v>273.6</v>
      </c>
      <c r="D119" s="26">
        <f t="shared" si="6"/>
        <v>0.7</v>
      </c>
      <c r="E119" s="28">
        <f t="shared" si="306"/>
        <v>0</v>
      </c>
      <c r="F119" s="28">
        <f t="shared" si="307"/>
        <v>0</v>
      </c>
      <c r="G119" s="28">
        <f t="shared" si="308"/>
        <v>0</v>
      </c>
      <c r="H119" s="28">
        <f t="shared" si="309"/>
        <v>0</v>
      </c>
      <c r="I119" s="28">
        <f t="shared" si="310"/>
        <v>0.00000005498784414</v>
      </c>
      <c r="J119" s="28">
        <f t="shared" si="311"/>
        <v>0.00000004935951622</v>
      </c>
      <c r="K119" s="28">
        <f t="shared" si="312"/>
        <v>0.0002185810384</v>
      </c>
      <c r="L119" s="28">
        <f t="shared" si="313"/>
        <v>0.9515856597</v>
      </c>
      <c r="M119" s="28">
        <f t="shared" si="314"/>
        <v>0.000779434252</v>
      </c>
      <c r="N119" s="28">
        <f t="shared" si="315"/>
        <v>0.001201627904</v>
      </c>
      <c r="O119" s="28">
        <f t="shared" si="316"/>
        <v>0.0013358457</v>
      </c>
      <c r="P119" s="28">
        <f t="shared" si="317"/>
        <v>0.04487874708</v>
      </c>
      <c r="Q119" s="6"/>
      <c r="R119" s="26">
        <f t="shared" si="7"/>
        <v>1</v>
      </c>
      <c r="S119" s="30">
        <f t="shared" si="8"/>
        <v>0</v>
      </c>
      <c r="T119" s="30">
        <f t="shared" ref="T119:U119" si="318">((F118+F119)/2)*T$25*($C119-$C118)</f>
        <v>0</v>
      </c>
      <c r="U119" s="30">
        <f t="shared" si="318"/>
        <v>0</v>
      </c>
      <c r="V119" s="30">
        <f t="shared" si="28"/>
        <v>30.65681797</v>
      </c>
      <c r="W119" s="30">
        <f t="shared" ref="W119:X119" si="319">((I118+I119)/2)*W$25*($C119-$C118)</f>
        <v>0.0149645978</v>
      </c>
      <c r="X119" s="30">
        <f t="shared" si="319"/>
        <v>0.01343288357</v>
      </c>
      <c r="Y119" s="30">
        <f t="shared" si="30"/>
        <v>81.5176984</v>
      </c>
      <c r="Z119" s="30">
        <f>(L119-OFFSET(L119,-IF(C119-C118&gt;i_Cos_Days,1,MIN(B119,i_Cos_Days)),0))*MIN(i_Cos_Days,($C119-$C118))</f>
        <v>0</v>
      </c>
      <c r="AA119" s="30">
        <f t="shared" si="31"/>
        <v>58.27209041</v>
      </c>
      <c r="AB119" s="30">
        <f t="shared" si="320"/>
        <v>28.34137946</v>
      </c>
      <c r="AC119" s="30">
        <f t="shared" si="321"/>
        <v>3.449955105</v>
      </c>
      <c r="AD119" s="30">
        <f t="shared" si="34"/>
        <v>0</v>
      </c>
      <c r="AE119" s="6"/>
      <c r="AF119" s="30">
        <f t="shared" si="11"/>
        <v>0.9990018804</v>
      </c>
      <c r="AG119" s="30">
        <v>0.0</v>
      </c>
      <c r="AH119" s="30">
        <f t="shared" si="12"/>
        <v>0</v>
      </c>
      <c r="AI119" s="30">
        <f t="shared" si="13"/>
        <v>0</v>
      </c>
      <c r="AJ119" s="30">
        <f>(AH119*(i_Adv_Fals/i_Adv_Alar)*i_Int_Kend_false)*AJ$25</f>
        <v>0</v>
      </c>
      <c r="AK119" s="30">
        <f>(AH119*(i_Adv_Lead/i_Adv_Alar)*i_Int_Kend_leadsoff)*AK$25</f>
        <v>0</v>
      </c>
      <c r="AL119" s="30">
        <f>((SUM(F118:J118)-((I118+J118)*(1-i_Bac_ICU)))+(SUM(F119:J119)-((I119+J119)*(1-i_Bac_ICU))))/2*(C119-C118)</f>
        <v>0.01209325838</v>
      </c>
      <c r="AM119" s="30">
        <f>(((I118+J118)*(1-i_Bac_ICU))+((I119+J119)*(1-i_Bac_ICU))+K118+E118+E119+K119)/2*(C119-C118)</f>
        <v>0.03459136314</v>
      </c>
      <c r="AN119" s="6"/>
      <c r="AO119" s="6"/>
      <c r="AP119" s="6"/>
      <c r="AQ119" s="6"/>
      <c r="AR119" s="6"/>
      <c r="AS119" s="6"/>
      <c r="AT119" s="6"/>
      <c r="AU119" s="6"/>
    </row>
    <row r="120" ht="14.25" customHeight="1">
      <c r="A120" s="6"/>
      <c r="B120" s="26">
        <f t="shared" si="304"/>
        <v>94</v>
      </c>
      <c r="C120" s="26">
        <f t="shared" si="305"/>
        <v>364.9</v>
      </c>
      <c r="D120" s="26">
        <f t="shared" si="6"/>
        <v>1</v>
      </c>
      <c r="E120" s="28">
        <f t="shared" si="306"/>
        <v>0</v>
      </c>
      <c r="F120" s="28">
        <f t="shared" si="307"/>
        <v>0</v>
      </c>
      <c r="G120" s="28">
        <f t="shared" si="308"/>
        <v>0</v>
      </c>
      <c r="H120" s="28">
        <f t="shared" si="309"/>
        <v>0</v>
      </c>
      <c r="I120" s="28">
        <f t="shared" si="310"/>
        <v>0</v>
      </c>
      <c r="J120" s="28">
        <f t="shared" si="311"/>
        <v>0</v>
      </c>
      <c r="K120" s="28">
        <f t="shared" si="312"/>
        <v>0.00000008585281221</v>
      </c>
      <c r="L120" s="28">
        <f t="shared" si="313"/>
        <v>0.9451286038</v>
      </c>
      <c r="M120" s="28">
        <f t="shared" si="314"/>
        <v>0.0006920082735</v>
      </c>
      <c r="N120" s="28">
        <f t="shared" si="315"/>
        <v>0.001193684209</v>
      </c>
      <c r="O120" s="28">
        <f t="shared" si="316"/>
        <v>0.001327014721</v>
      </c>
      <c r="P120" s="28">
        <f t="shared" si="317"/>
        <v>0.05165860315</v>
      </c>
      <c r="Q120" s="6"/>
      <c r="R120" s="26">
        <f t="shared" si="7"/>
        <v>1</v>
      </c>
      <c r="S120" s="30">
        <f t="shared" si="8"/>
        <v>0</v>
      </c>
      <c r="T120" s="30">
        <f t="shared" ref="T120:U120" si="322">((F119+F120)/2)*T$25*($C120-$C119)</f>
        <v>0</v>
      </c>
      <c r="U120" s="30">
        <f t="shared" si="322"/>
        <v>0</v>
      </c>
      <c r="V120" s="30">
        <f t="shared" si="28"/>
        <v>0</v>
      </c>
      <c r="W120" s="30">
        <f t="shared" ref="W120:X120" si="323">((I119+I120)/2)*W$25*($C120-$C119)</f>
        <v>0.005603233646</v>
      </c>
      <c r="X120" s="30">
        <f t="shared" si="323"/>
        <v>0.005029709863</v>
      </c>
      <c r="Y120" s="30">
        <f t="shared" si="30"/>
        <v>23.53090707</v>
      </c>
      <c r="Z120" s="30">
        <f>(L120-OFFSET(L120,-IF(C120-C119&gt;i_Cos_Days,1,MIN(B120,i_Cos_Days)),0))*MIN(i_Cos_Days,($C120-$C119))</f>
        <v>0</v>
      </c>
      <c r="AA120" s="30">
        <f t="shared" si="31"/>
        <v>28.24085122</v>
      </c>
      <c r="AB120" s="30">
        <f t="shared" si="320"/>
        <v>28.1540209</v>
      </c>
      <c r="AC120" s="30">
        <f t="shared" si="321"/>
        <v>3.427148219</v>
      </c>
      <c r="AD120" s="30">
        <f t="shared" si="34"/>
        <v>0</v>
      </c>
      <c r="AE120" s="6"/>
      <c r="AF120" s="30">
        <f t="shared" si="11"/>
        <v>0.9993079059</v>
      </c>
      <c r="AG120" s="30">
        <v>0.0</v>
      </c>
      <c r="AH120" s="30">
        <f t="shared" si="12"/>
        <v>0</v>
      </c>
      <c r="AI120" s="30">
        <f t="shared" si="13"/>
        <v>0</v>
      </c>
      <c r="AJ120" s="30">
        <f>(AH120*(i_Adv_Fals/i_Adv_Alar)*i_Int_Kend_false)*AJ$25</f>
        <v>0</v>
      </c>
      <c r="AK120" s="30">
        <f>(AH120*(i_Adv_Lead/i_Adv_Alar)*i_Int_Kend_leadsoff)*AK$25</f>
        <v>0</v>
      </c>
      <c r="AL120" s="30">
        <f>((SUM(F119:J119)-((I119+J119)*(1-i_Bac_ICU)))+(SUM(F120:J120)-((I120+J120)*(1-i_Bac_ICU))))/2*(C120-C119)</f>
        <v>0.0000008684050296</v>
      </c>
      <c r="AM120" s="30">
        <f>(((I119+J119)*(1-i_Bac_ICU))+((I120+J120)*(1-i_Bac_ICU))+K119+E119+E120+K120)/2*(C120-C119)</f>
        <v>0.009986038635</v>
      </c>
      <c r="AN120" s="6"/>
      <c r="AO120" s="6"/>
      <c r="AP120" s="6"/>
      <c r="AQ120" s="6"/>
      <c r="AR120" s="6"/>
      <c r="AS120" s="6"/>
      <c r="AT120" s="6"/>
      <c r="AU120" s="6"/>
    </row>
    <row r="121" ht="14.25" customHeight="1">
      <c r="A121" s="6"/>
      <c r="B121" s="26">
        <f t="shared" si="304"/>
        <v>95</v>
      </c>
      <c r="C121" s="26">
        <f t="shared" si="305"/>
        <v>456.2</v>
      </c>
      <c r="D121" s="26">
        <f t="shared" si="6"/>
        <v>1.2</v>
      </c>
      <c r="E121" s="28">
        <f t="shared" si="306"/>
        <v>0</v>
      </c>
      <c r="F121" s="28">
        <f t="shared" si="307"/>
        <v>0</v>
      </c>
      <c r="G121" s="28">
        <f t="shared" si="308"/>
        <v>0</v>
      </c>
      <c r="H121" s="28">
        <f t="shared" si="309"/>
        <v>0</v>
      </c>
      <c r="I121" s="28">
        <f t="shared" si="310"/>
        <v>0</v>
      </c>
      <c r="J121" s="28">
        <f t="shared" si="311"/>
        <v>0</v>
      </c>
      <c r="K121" s="28">
        <f t="shared" si="312"/>
        <v>0</v>
      </c>
      <c r="L121" s="28">
        <f t="shared" si="313"/>
        <v>0.9384934752</v>
      </c>
      <c r="M121" s="28">
        <f t="shared" si="314"/>
        <v>0.0006492404637</v>
      </c>
      <c r="N121" s="28">
        <f t="shared" si="315"/>
        <v>0.001185481426</v>
      </c>
      <c r="O121" s="28">
        <f t="shared" si="316"/>
        <v>0.001317895714</v>
      </c>
      <c r="P121" s="28">
        <f t="shared" si="317"/>
        <v>0.05835390718</v>
      </c>
      <c r="Q121" s="6"/>
      <c r="R121" s="26">
        <f t="shared" si="7"/>
        <v>1</v>
      </c>
      <c r="S121" s="30">
        <f t="shared" si="8"/>
        <v>0</v>
      </c>
      <c r="T121" s="30">
        <f t="shared" ref="T121:U121" si="324">((F120+F121)/2)*T$25*($C121-$C120)</f>
        <v>0</v>
      </c>
      <c r="U121" s="30">
        <f t="shared" si="324"/>
        <v>0</v>
      </c>
      <c r="V121" s="30">
        <f t="shared" si="28"/>
        <v>0</v>
      </c>
      <c r="W121" s="30">
        <f t="shared" ref="W121:X121" si="325">((I120+I121)/2)*W$25*($C121-$C120)</f>
        <v>0</v>
      </c>
      <c r="X121" s="30">
        <f t="shared" si="325"/>
        <v>0</v>
      </c>
      <c r="Y121" s="30">
        <f t="shared" si="30"/>
        <v>0.009238685083</v>
      </c>
      <c r="Z121" s="30">
        <f>(L121-OFFSET(L121,-IF(C121-C120&gt;i_Cos_Days,1,MIN(B121,i_Cos_Days)),0))*MIN(i_Cos_Days,($C121-$C120))</f>
        <v>0</v>
      </c>
      <c r="AA121" s="30">
        <f t="shared" si="31"/>
        <v>25.74209008</v>
      </c>
      <c r="AB121" s="30">
        <f t="shared" si="320"/>
        <v>27.96055153</v>
      </c>
      <c r="AC121" s="30">
        <f t="shared" si="321"/>
        <v>3.403597472</v>
      </c>
      <c r="AD121" s="30">
        <f t="shared" si="34"/>
        <v>0</v>
      </c>
      <c r="AE121" s="6"/>
      <c r="AF121" s="30">
        <f t="shared" si="11"/>
        <v>0.9993507595</v>
      </c>
      <c r="AG121" s="30">
        <v>0.0</v>
      </c>
      <c r="AH121" s="30">
        <f t="shared" si="12"/>
        <v>0</v>
      </c>
      <c r="AI121" s="30">
        <f t="shared" si="13"/>
        <v>0</v>
      </c>
      <c r="AJ121" s="30">
        <f>(AH121*(i_Adv_Fals/i_Adv_Alar)*i_Int_Kend_false)*AJ$25</f>
        <v>0</v>
      </c>
      <c r="AK121" s="30">
        <f>(AH121*(i_Adv_Lead/i_Adv_Alar)*i_Int_Kend_leadsoff)*AK$25</f>
        <v>0</v>
      </c>
      <c r="AL121" s="30">
        <f>((SUM(F120:J120)-((I120+J120)*(1-i_Bac_ICU)))+(SUM(F121:J121)-((I121+J121)*(1-i_Bac_ICU))))/2*(C121-C120)</f>
        <v>0</v>
      </c>
      <c r="AM121" s="30">
        <f>(((I120+J120)*(1-i_Bac_ICU))+((I121+J121)*(1-i_Bac_ICU))+K120+E120+E121+K121)/2*(C121-C120)</f>
        <v>0.000003919180878</v>
      </c>
      <c r="AN121" s="6"/>
      <c r="AO121" s="6"/>
      <c r="AP121" s="6"/>
      <c r="AQ121" s="6"/>
      <c r="AR121" s="6"/>
      <c r="AS121" s="6"/>
      <c r="AT121" s="6"/>
      <c r="AU121" s="6"/>
    </row>
    <row r="122" ht="14.25" customHeight="1">
      <c r="A122" s="6"/>
      <c r="B122" s="26">
        <f t="shared" si="304"/>
        <v>96</v>
      </c>
      <c r="C122" s="26">
        <f t="shared" si="305"/>
        <v>547.5</v>
      </c>
      <c r="D122" s="26">
        <f t="shared" si="6"/>
        <v>1.5</v>
      </c>
      <c r="E122" s="28">
        <f t="shared" si="306"/>
        <v>0</v>
      </c>
      <c r="F122" s="28">
        <f t="shared" si="307"/>
        <v>0</v>
      </c>
      <c r="G122" s="28">
        <f t="shared" si="308"/>
        <v>0</v>
      </c>
      <c r="H122" s="28">
        <f t="shared" si="309"/>
        <v>0</v>
      </c>
      <c r="I122" s="28">
        <f t="shared" si="310"/>
        <v>0</v>
      </c>
      <c r="J122" s="28">
        <f t="shared" si="311"/>
        <v>0</v>
      </c>
      <c r="K122" s="28">
        <f t="shared" si="312"/>
        <v>0</v>
      </c>
      <c r="L122" s="28">
        <f t="shared" si="313"/>
        <v>0.9318684481</v>
      </c>
      <c r="M122" s="28">
        <f t="shared" si="314"/>
        <v>0.0006439217524</v>
      </c>
      <c r="N122" s="28">
        <f t="shared" si="315"/>
        <v>0.001177111422</v>
      </c>
      <c r="O122" s="28">
        <f t="shared" si="316"/>
        <v>0.001308590809</v>
      </c>
      <c r="P122" s="28">
        <f t="shared" si="317"/>
        <v>0.06500192796</v>
      </c>
      <c r="Q122" s="6"/>
      <c r="R122" s="26">
        <f t="shared" si="7"/>
        <v>1</v>
      </c>
      <c r="S122" s="30">
        <f t="shared" si="8"/>
        <v>0</v>
      </c>
      <c r="T122" s="30">
        <f t="shared" ref="T122:U122" si="326">((F121+F122)/2)*T$25*($C122-$C121)</f>
        <v>0</v>
      </c>
      <c r="U122" s="30">
        <f t="shared" si="326"/>
        <v>0</v>
      </c>
      <c r="V122" s="30">
        <f t="shared" si="28"/>
        <v>0</v>
      </c>
      <c r="W122" s="30">
        <f t="shared" ref="W122:X122" si="327">((I121+I122)/2)*W$25*($C122-$C121)</f>
        <v>0</v>
      </c>
      <c r="X122" s="30">
        <f t="shared" si="327"/>
        <v>0</v>
      </c>
      <c r="Y122" s="30">
        <f t="shared" si="30"/>
        <v>0</v>
      </c>
      <c r="Z122" s="30">
        <f>(L122-OFFSET(L122,-IF(C122-C121&gt;i_Cos_Days,1,MIN(B122,i_Cos_Days)),0))*MIN(i_Cos_Days,($C122-$C121))</f>
        <v>0</v>
      </c>
      <c r="AA122" s="30">
        <f t="shared" si="31"/>
        <v>24.8191833</v>
      </c>
      <c r="AB122" s="30">
        <f t="shared" si="320"/>
        <v>27.76313812</v>
      </c>
      <c r="AC122" s="30">
        <f t="shared" si="321"/>
        <v>3.379566624</v>
      </c>
      <c r="AD122" s="30">
        <f t="shared" si="34"/>
        <v>0</v>
      </c>
      <c r="AE122" s="6"/>
      <c r="AF122" s="30">
        <f t="shared" si="11"/>
        <v>0.9993560782</v>
      </c>
      <c r="AG122" s="30">
        <v>0.0</v>
      </c>
      <c r="AH122" s="30">
        <f t="shared" si="12"/>
        <v>0</v>
      </c>
      <c r="AI122" s="30">
        <f t="shared" si="13"/>
        <v>0</v>
      </c>
      <c r="AJ122" s="30">
        <f>(AH122*(i_Adv_Fals/i_Adv_Alar)*i_Int_Kend_false)*AJ$25</f>
        <v>0</v>
      </c>
      <c r="AK122" s="30">
        <f>(AH122*(i_Adv_Lead/i_Adv_Alar)*i_Int_Kend_leadsoff)*AK$25</f>
        <v>0</v>
      </c>
      <c r="AL122" s="30">
        <f>((SUM(F121:J121)-((I121+J121)*(1-i_Bac_ICU)))+(SUM(F122:J122)-((I122+J122)*(1-i_Bac_ICU))))/2*(C122-C121)</f>
        <v>0</v>
      </c>
      <c r="AM122" s="30">
        <f>(((I121+J121)*(1-i_Bac_ICU))+((I122+J122)*(1-i_Bac_ICU))+K121+E121+E122+K122)/2*(C122-C121)</f>
        <v>0</v>
      </c>
      <c r="AN122" s="6"/>
      <c r="AO122" s="6"/>
      <c r="AP122" s="6"/>
      <c r="AQ122" s="6"/>
      <c r="AR122" s="6"/>
      <c r="AS122" s="6"/>
      <c r="AT122" s="6"/>
      <c r="AU122" s="6"/>
    </row>
    <row r="123" ht="14.25" customHeight="1">
      <c r="A123" s="6"/>
      <c r="B123" s="26">
        <f t="shared" si="304"/>
        <v>97</v>
      </c>
      <c r="C123" s="26">
        <f t="shared" si="305"/>
        <v>638.8</v>
      </c>
      <c r="D123" s="26">
        <f t="shared" si="6"/>
        <v>1.7</v>
      </c>
      <c r="E123" s="28">
        <f t="shared" si="306"/>
        <v>0</v>
      </c>
      <c r="F123" s="28">
        <f t="shared" si="307"/>
        <v>0</v>
      </c>
      <c r="G123" s="28">
        <f t="shared" si="308"/>
        <v>0</v>
      </c>
      <c r="H123" s="28">
        <f t="shared" si="309"/>
        <v>0</v>
      </c>
      <c r="I123" s="28">
        <f t="shared" si="310"/>
        <v>0</v>
      </c>
      <c r="J123" s="28">
        <f t="shared" si="311"/>
        <v>0</v>
      </c>
      <c r="K123" s="28">
        <f t="shared" si="312"/>
        <v>0</v>
      </c>
      <c r="L123" s="28">
        <f t="shared" si="313"/>
        <v>0.925289474</v>
      </c>
      <c r="M123" s="28">
        <f t="shared" si="314"/>
        <v>0.0006393590957</v>
      </c>
      <c r="N123" s="28">
        <f t="shared" si="315"/>
        <v>0.001168801018</v>
      </c>
      <c r="O123" s="28">
        <f t="shared" si="316"/>
        <v>0.001299352161</v>
      </c>
      <c r="P123" s="28">
        <f t="shared" si="317"/>
        <v>0.07160301371</v>
      </c>
      <c r="Q123" s="6"/>
      <c r="R123" s="26">
        <f t="shared" si="7"/>
        <v>1</v>
      </c>
      <c r="S123" s="30">
        <f t="shared" si="8"/>
        <v>0</v>
      </c>
      <c r="T123" s="30">
        <f t="shared" ref="T123:U123" si="328">((F122+F123)/2)*T$25*($C123-$C122)</f>
        <v>0</v>
      </c>
      <c r="U123" s="30">
        <f t="shared" si="328"/>
        <v>0</v>
      </c>
      <c r="V123" s="30">
        <f t="shared" si="28"/>
        <v>0</v>
      </c>
      <c r="W123" s="30">
        <f t="shared" ref="W123:X123" si="329">((I122+I123)/2)*W$25*($C123-$C122)</f>
        <v>0</v>
      </c>
      <c r="X123" s="30">
        <f t="shared" si="329"/>
        <v>0</v>
      </c>
      <c r="Y123" s="30">
        <f t="shared" si="30"/>
        <v>0</v>
      </c>
      <c r="Z123" s="30">
        <f>(L123-OFFSET(L123,-IF(C123-C122&gt;i_Cos_Days,1,MIN(B123,i_Cos_Days)),0))*MIN(i_Cos_Days,($C123-$C122))</f>
        <v>0</v>
      </c>
      <c r="AA123" s="30">
        <f t="shared" si="31"/>
        <v>24.62953386</v>
      </c>
      <c r="AB123" s="30">
        <f t="shared" si="320"/>
        <v>27.56713042</v>
      </c>
      <c r="AC123" s="30">
        <f t="shared" si="321"/>
        <v>3.35570689</v>
      </c>
      <c r="AD123" s="30">
        <f t="shared" si="34"/>
        <v>0</v>
      </c>
      <c r="AE123" s="6"/>
      <c r="AF123" s="30">
        <f t="shared" si="11"/>
        <v>0.9993606409</v>
      </c>
      <c r="AG123" s="30">
        <v>0.0</v>
      </c>
      <c r="AH123" s="30">
        <f t="shared" si="12"/>
        <v>0</v>
      </c>
      <c r="AI123" s="30">
        <f t="shared" si="13"/>
        <v>0</v>
      </c>
      <c r="AJ123" s="30">
        <f>(AH123*(i_Adv_Fals/i_Adv_Alar)*i_Int_Kend_false)*AJ$25</f>
        <v>0</v>
      </c>
      <c r="AK123" s="30">
        <f>(AH123*(i_Adv_Lead/i_Adv_Alar)*i_Int_Kend_leadsoff)*AK$25</f>
        <v>0</v>
      </c>
      <c r="AL123" s="30">
        <f>((SUM(F122:J122)-((I122+J122)*(1-i_Bac_ICU)))+(SUM(F123:J123)-((I123+J123)*(1-i_Bac_ICU))))/2*(C123-C122)</f>
        <v>0</v>
      </c>
      <c r="AM123" s="30">
        <f>(((I122+J122)*(1-i_Bac_ICU))+((I123+J123)*(1-i_Bac_ICU))+K122+E122+E123+K123)/2*(C123-C122)</f>
        <v>0</v>
      </c>
      <c r="AN123" s="6"/>
      <c r="AO123" s="6"/>
      <c r="AP123" s="6"/>
      <c r="AQ123" s="6"/>
      <c r="AR123" s="6"/>
      <c r="AS123" s="6"/>
      <c r="AT123" s="6"/>
      <c r="AU123" s="6"/>
    </row>
    <row r="124" ht="14.25" customHeight="1">
      <c r="A124" s="6"/>
      <c r="B124" s="26">
        <f t="shared" si="304"/>
        <v>98</v>
      </c>
      <c r="C124" s="26">
        <f t="shared" si="305"/>
        <v>730.1</v>
      </c>
      <c r="D124" s="26">
        <f t="shared" si="6"/>
        <v>2</v>
      </c>
      <c r="E124" s="28">
        <f t="shared" si="306"/>
        <v>0</v>
      </c>
      <c r="F124" s="28">
        <f t="shared" si="307"/>
        <v>0</v>
      </c>
      <c r="G124" s="28">
        <f t="shared" si="308"/>
        <v>0</v>
      </c>
      <c r="H124" s="28">
        <f t="shared" si="309"/>
        <v>0</v>
      </c>
      <c r="I124" s="28">
        <f t="shared" si="310"/>
        <v>0</v>
      </c>
      <c r="J124" s="28">
        <f t="shared" si="311"/>
        <v>0</v>
      </c>
      <c r="K124" s="28">
        <f t="shared" si="312"/>
        <v>0</v>
      </c>
      <c r="L124" s="28">
        <f t="shared" si="313"/>
        <v>0.9187569313</v>
      </c>
      <c r="M124" s="28">
        <f t="shared" si="314"/>
        <v>0.0006348448542</v>
      </c>
      <c r="N124" s="28">
        <f t="shared" si="315"/>
        <v>0.001160549283</v>
      </c>
      <c r="O124" s="28">
        <f t="shared" si="316"/>
        <v>0.001290178735</v>
      </c>
      <c r="P124" s="28">
        <f t="shared" si="317"/>
        <v>0.07815749581</v>
      </c>
      <c r="Q124" s="6"/>
      <c r="R124" s="26">
        <f t="shared" si="7"/>
        <v>1</v>
      </c>
      <c r="S124" s="30">
        <f t="shared" si="8"/>
        <v>0</v>
      </c>
      <c r="T124" s="30">
        <f t="shared" ref="T124:U124" si="330">((F123+F124)/2)*T$25*($C124-$C123)</f>
        <v>0</v>
      </c>
      <c r="U124" s="30">
        <f t="shared" si="330"/>
        <v>0</v>
      </c>
      <c r="V124" s="30">
        <f t="shared" si="28"/>
        <v>0</v>
      </c>
      <c r="W124" s="30">
        <f t="shared" ref="W124:X124" si="331">((I123+I124)/2)*W$25*($C124-$C123)</f>
        <v>0</v>
      </c>
      <c r="X124" s="30">
        <f t="shared" si="331"/>
        <v>0</v>
      </c>
      <c r="Y124" s="30">
        <f t="shared" si="30"/>
        <v>0</v>
      </c>
      <c r="Z124" s="30">
        <f>(L124-OFFSET(L124,-IF(C124-C123&gt;i_Cos_Days,1,MIN(B124,i_Cos_Days)),0))*MIN(i_Cos_Days,($C124-$C123))</f>
        <v>0</v>
      </c>
      <c r="AA124" s="30">
        <f t="shared" si="31"/>
        <v>24.45532432</v>
      </c>
      <c r="AB124" s="30">
        <f t="shared" si="320"/>
        <v>27.3725065</v>
      </c>
      <c r="AC124" s="30">
        <f t="shared" si="321"/>
        <v>3.332015602</v>
      </c>
      <c r="AD124" s="30">
        <f t="shared" si="34"/>
        <v>0</v>
      </c>
      <c r="AE124" s="6"/>
      <c r="AF124" s="30">
        <f t="shared" si="11"/>
        <v>0.9993651551</v>
      </c>
      <c r="AG124" s="30">
        <v>0.0</v>
      </c>
      <c r="AH124" s="30">
        <f t="shared" si="12"/>
        <v>0</v>
      </c>
      <c r="AI124" s="30">
        <f t="shared" si="13"/>
        <v>0</v>
      </c>
      <c r="AJ124" s="30">
        <f>(AH124*(i_Adv_Fals/i_Adv_Alar)*i_Int_Kend_false)*AJ$25</f>
        <v>0</v>
      </c>
      <c r="AK124" s="30">
        <f>(AH124*(i_Adv_Lead/i_Adv_Alar)*i_Int_Kend_leadsoff)*AK$25</f>
        <v>0</v>
      </c>
      <c r="AL124" s="30">
        <f>((SUM(F123:J123)-((I123+J123)*(1-i_Bac_ICU)))+(SUM(F124:J124)-((I124+J124)*(1-i_Bac_ICU))))/2*(C124-C123)</f>
        <v>0</v>
      </c>
      <c r="AM124" s="30">
        <f>(((I123+J123)*(1-i_Bac_ICU))+((I124+J124)*(1-i_Bac_ICU))+K123+E123+E124+K124)/2*(C124-C123)</f>
        <v>0</v>
      </c>
      <c r="AN124" s="6"/>
      <c r="AO124" s="6"/>
      <c r="AP124" s="6"/>
      <c r="AQ124" s="6"/>
      <c r="AR124" s="6"/>
      <c r="AS124" s="6"/>
      <c r="AT124" s="6"/>
      <c r="AU124" s="6"/>
    </row>
    <row r="125" ht="14.25" customHeight="1">
      <c r="A125" s="6"/>
      <c r="B125" s="26">
        <f t="shared" si="304"/>
        <v>99</v>
      </c>
      <c r="C125" s="26">
        <f t="shared" si="305"/>
        <v>821.4</v>
      </c>
      <c r="D125" s="26">
        <f t="shared" si="6"/>
        <v>2.2</v>
      </c>
      <c r="E125" s="28">
        <f t="shared" si="306"/>
        <v>0</v>
      </c>
      <c r="F125" s="28">
        <f t="shared" si="307"/>
        <v>0</v>
      </c>
      <c r="G125" s="28">
        <f t="shared" si="308"/>
        <v>0</v>
      </c>
      <c r="H125" s="28">
        <f t="shared" si="309"/>
        <v>0</v>
      </c>
      <c r="I125" s="28">
        <f t="shared" si="310"/>
        <v>0</v>
      </c>
      <c r="J125" s="28">
        <f t="shared" si="311"/>
        <v>0</v>
      </c>
      <c r="K125" s="28">
        <f t="shared" si="312"/>
        <v>0</v>
      </c>
      <c r="L125" s="28">
        <f t="shared" si="313"/>
        <v>0.912270508</v>
      </c>
      <c r="M125" s="28">
        <f t="shared" si="314"/>
        <v>0.0006303628418</v>
      </c>
      <c r="N125" s="28">
        <f t="shared" si="315"/>
        <v>0.001152355806</v>
      </c>
      <c r="O125" s="28">
        <f t="shared" si="316"/>
        <v>0.001281070074</v>
      </c>
      <c r="P125" s="28">
        <f t="shared" si="317"/>
        <v>0.08466570326</v>
      </c>
      <c r="Q125" s="6"/>
      <c r="R125" s="26">
        <f t="shared" si="7"/>
        <v>1</v>
      </c>
      <c r="S125" s="30">
        <f t="shared" si="8"/>
        <v>0</v>
      </c>
      <c r="T125" s="30">
        <f t="shared" ref="T125:U125" si="332">((F124+F125)/2)*T$25*($C125-$C124)</f>
        <v>0</v>
      </c>
      <c r="U125" s="30">
        <f t="shared" si="332"/>
        <v>0</v>
      </c>
      <c r="V125" s="30">
        <f t="shared" si="28"/>
        <v>0</v>
      </c>
      <c r="W125" s="30">
        <f t="shared" ref="W125:X125" si="333">((I124+I125)/2)*W$25*($C125-$C124)</f>
        <v>0</v>
      </c>
      <c r="X125" s="30">
        <f t="shared" si="333"/>
        <v>0</v>
      </c>
      <c r="Y125" s="30">
        <f t="shared" si="30"/>
        <v>0</v>
      </c>
      <c r="Z125" s="30">
        <f>(L125-OFFSET(L125,-IF(C125-C124&gt;i_Cos_Days,1,MIN(B125,i_Cos_Days)),0))*MIN(i_Cos_Days,($C125-$C124))</f>
        <v>0</v>
      </c>
      <c r="AA125" s="30">
        <f t="shared" si="31"/>
        <v>24.28266255</v>
      </c>
      <c r="AB125" s="30">
        <f t="shared" si="320"/>
        <v>27.17925662</v>
      </c>
      <c r="AC125" s="30">
        <f t="shared" si="321"/>
        <v>3.308491574</v>
      </c>
      <c r="AD125" s="30">
        <f t="shared" si="34"/>
        <v>0</v>
      </c>
      <c r="AE125" s="6"/>
      <c r="AF125" s="30">
        <f t="shared" si="11"/>
        <v>0.9993696372</v>
      </c>
      <c r="AG125" s="30">
        <v>0.0</v>
      </c>
      <c r="AH125" s="30">
        <f t="shared" si="12"/>
        <v>0</v>
      </c>
      <c r="AI125" s="30">
        <f t="shared" si="13"/>
        <v>0</v>
      </c>
      <c r="AJ125" s="30">
        <f>(AH125*(i_Adv_Fals/i_Adv_Alar)*i_Int_Kend_false)*AJ$25</f>
        <v>0</v>
      </c>
      <c r="AK125" s="30">
        <f>(AH125*(i_Adv_Lead/i_Adv_Alar)*i_Int_Kend_leadsoff)*AK$25</f>
        <v>0</v>
      </c>
      <c r="AL125" s="30">
        <f>((SUM(F124:J124)-((I124+J124)*(1-i_Bac_ICU)))+(SUM(F125:J125)-((I125+J125)*(1-i_Bac_ICU))))/2*(C125-C124)</f>
        <v>0</v>
      </c>
      <c r="AM125" s="30">
        <f>(((I124+J124)*(1-i_Bac_ICU))+((I125+J125)*(1-i_Bac_ICU))+K124+E124+E125+K125)/2*(C125-C124)</f>
        <v>0</v>
      </c>
      <c r="AN125" s="6"/>
      <c r="AO125" s="6"/>
      <c r="AP125" s="6"/>
      <c r="AQ125" s="6"/>
      <c r="AR125" s="6"/>
      <c r="AS125" s="6"/>
      <c r="AT125" s="6"/>
      <c r="AU125" s="6"/>
    </row>
    <row r="126" ht="14.25" customHeight="1">
      <c r="A126" s="6"/>
      <c r="B126" s="26">
        <f t="shared" si="304"/>
        <v>100</v>
      </c>
      <c r="C126" s="26">
        <f t="shared" si="305"/>
        <v>912.7</v>
      </c>
      <c r="D126" s="26">
        <f t="shared" si="6"/>
        <v>2.5</v>
      </c>
      <c r="E126" s="28">
        <f t="shared" si="306"/>
        <v>0</v>
      </c>
      <c r="F126" s="28">
        <f t="shared" si="307"/>
        <v>0</v>
      </c>
      <c r="G126" s="28">
        <f t="shared" si="308"/>
        <v>0</v>
      </c>
      <c r="H126" s="28">
        <f t="shared" si="309"/>
        <v>0</v>
      </c>
      <c r="I126" s="28">
        <f t="shared" si="310"/>
        <v>0</v>
      </c>
      <c r="J126" s="28">
        <f t="shared" si="311"/>
        <v>0</v>
      </c>
      <c r="K126" s="28">
        <f t="shared" si="312"/>
        <v>0</v>
      </c>
      <c r="L126" s="28">
        <f t="shared" si="313"/>
        <v>0.9058298788</v>
      </c>
      <c r="M126" s="28">
        <f t="shared" si="314"/>
        <v>0.0006259124804</v>
      </c>
      <c r="N126" s="28">
        <f t="shared" si="315"/>
        <v>0.001144220175</v>
      </c>
      <c r="O126" s="28">
        <f t="shared" si="316"/>
        <v>0.00127202572</v>
      </c>
      <c r="P126" s="28">
        <f t="shared" si="317"/>
        <v>0.09112796278</v>
      </c>
      <c r="Q126" s="6"/>
      <c r="R126" s="26">
        <f t="shared" si="7"/>
        <v>1</v>
      </c>
      <c r="S126" s="30">
        <f t="shared" si="8"/>
        <v>0</v>
      </c>
      <c r="T126" s="30">
        <f t="shared" ref="T126:U126" si="334">((F125+F126)/2)*T$25*($C126-$C125)</f>
        <v>0</v>
      </c>
      <c r="U126" s="30">
        <f t="shared" si="334"/>
        <v>0</v>
      </c>
      <c r="V126" s="30">
        <f t="shared" si="28"/>
        <v>0</v>
      </c>
      <c r="W126" s="30">
        <f t="shared" ref="W126:X126" si="335">((I125+I126)/2)*W$25*($C126-$C125)</f>
        <v>0</v>
      </c>
      <c r="X126" s="30">
        <f t="shared" si="335"/>
        <v>0</v>
      </c>
      <c r="Y126" s="30">
        <f t="shared" si="30"/>
        <v>0</v>
      </c>
      <c r="Z126" s="30">
        <f>(L126-OFFSET(L126,-IF(C126-C125&gt;i_Cos_Days,1,MIN(B126,i_Cos_Days)),0))*MIN(i_Cos_Days,($C126-$C125))</f>
        <v>0</v>
      </c>
      <c r="AA126" s="30">
        <f t="shared" si="31"/>
        <v>24.11122681</v>
      </c>
      <c r="AB126" s="30">
        <f t="shared" si="320"/>
        <v>26.98737108</v>
      </c>
      <c r="AC126" s="30">
        <f t="shared" si="321"/>
        <v>3.285133625</v>
      </c>
      <c r="AD126" s="30">
        <f t="shared" si="34"/>
        <v>0</v>
      </c>
      <c r="AE126" s="6"/>
      <c r="AF126" s="30">
        <f t="shared" si="11"/>
        <v>0.9993740875</v>
      </c>
      <c r="AG126" s="30">
        <v>0.0</v>
      </c>
      <c r="AH126" s="30">
        <f t="shared" si="12"/>
        <v>0</v>
      </c>
      <c r="AI126" s="30">
        <f t="shared" si="13"/>
        <v>0</v>
      </c>
      <c r="AJ126" s="30">
        <f>(AH126*(i_Adv_Fals/i_Adv_Alar)*i_Int_Kend_false)*AJ$25</f>
        <v>0</v>
      </c>
      <c r="AK126" s="30">
        <f>(AH126*(i_Adv_Lead/i_Adv_Alar)*i_Int_Kend_leadsoff)*AK$25</f>
        <v>0</v>
      </c>
      <c r="AL126" s="30">
        <f>((SUM(F125:J125)-((I125+J125)*(1-i_Bac_ICU)))+(SUM(F126:J126)-((I126+J126)*(1-i_Bac_ICU))))/2*(C126-C125)</f>
        <v>0</v>
      </c>
      <c r="AM126" s="30">
        <f>(((I125+J125)*(1-i_Bac_ICU))+((I126+J126)*(1-i_Bac_ICU))+K125+E125+E126+K126)/2*(C126-C125)</f>
        <v>0</v>
      </c>
      <c r="AN126" s="6"/>
      <c r="AO126" s="6"/>
      <c r="AP126" s="6"/>
      <c r="AQ126" s="6"/>
      <c r="AR126" s="6"/>
      <c r="AS126" s="6"/>
      <c r="AT126" s="6"/>
      <c r="AU126" s="6"/>
    </row>
    <row r="127" ht="14.25" customHeight="1">
      <c r="A127" s="6"/>
      <c r="B127" s="26">
        <f t="shared" si="304"/>
        <v>101</v>
      </c>
      <c r="C127" s="26">
        <f t="shared" si="305"/>
        <v>1004</v>
      </c>
      <c r="D127" s="26">
        <f t="shared" si="6"/>
        <v>2.7</v>
      </c>
      <c r="E127" s="28">
        <f t="shared" si="306"/>
        <v>0</v>
      </c>
      <c r="F127" s="28">
        <f t="shared" si="307"/>
        <v>0</v>
      </c>
      <c r="G127" s="28">
        <f t="shared" si="308"/>
        <v>0</v>
      </c>
      <c r="H127" s="28">
        <f t="shared" si="309"/>
        <v>0</v>
      </c>
      <c r="I127" s="28">
        <f t="shared" si="310"/>
        <v>0</v>
      </c>
      <c r="J127" s="28">
        <f t="shared" si="311"/>
        <v>0</v>
      </c>
      <c r="K127" s="28">
        <f t="shared" si="312"/>
        <v>0</v>
      </c>
      <c r="L127" s="28">
        <f t="shared" si="313"/>
        <v>0.8994347205</v>
      </c>
      <c r="M127" s="28">
        <f t="shared" si="314"/>
        <v>0.0006214935387</v>
      </c>
      <c r="N127" s="28">
        <f t="shared" si="315"/>
        <v>0.001136141981</v>
      </c>
      <c r="O127" s="28">
        <f t="shared" si="316"/>
        <v>0.00126304522</v>
      </c>
      <c r="P127" s="28">
        <f t="shared" si="317"/>
        <v>0.09754459875</v>
      </c>
      <c r="Q127" s="6"/>
      <c r="R127" s="26">
        <f t="shared" si="7"/>
        <v>1</v>
      </c>
      <c r="S127" s="30">
        <f t="shared" si="8"/>
        <v>0</v>
      </c>
      <c r="T127" s="30">
        <f t="shared" ref="T127:U127" si="336">((F126+F127)/2)*T$25*($C127-$C126)</f>
        <v>0</v>
      </c>
      <c r="U127" s="30">
        <f t="shared" si="336"/>
        <v>0</v>
      </c>
      <c r="V127" s="30">
        <f t="shared" si="28"/>
        <v>0</v>
      </c>
      <c r="W127" s="30">
        <f t="shared" ref="W127:X127" si="337">((I126+I127)/2)*W$25*($C127-$C126)</f>
        <v>0</v>
      </c>
      <c r="X127" s="30">
        <f t="shared" si="337"/>
        <v>0</v>
      </c>
      <c r="Y127" s="30">
        <f t="shared" si="30"/>
        <v>0</v>
      </c>
      <c r="Z127" s="30">
        <f>(L127-OFFSET(L127,-IF(C127-C126&gt;i_Cos_Days,1,MIN(B127,i_Cos_Days)),0))*MIN(i_Cos_Days,($C127-$C126))</f>
        <v>0</v>
      </c>
      <c r="AA127" s="30">
        <f t="shared" si="31"/>
        <v>23.94100156</v>
      </c>
      <c r="AB127" s="30">
        <f t="shared" si="320"/>
        <v>26.79684026</v>
      </c>
      <c r="AC127" s="30">
        <f t="shared" si="321"/>
        <v>3.261940584</v>
      </c>
      <c r="AD127" s="30">
        <f t="shared" si="34"/>
        <v>0</v>
      </c>
      <c r="AE127" s="6"/>
      <c r="AF127" s="30">
        <f t="shared" si="11"/>
        <v>0.9993785065</v>
      </c>
      <c r="AG127" s="30">
        <v>0.0</v>
      </c>
      <c r="AH127" s="30">
        <f t="shared" si="12"/>
        <v>0</v>
      </c>
      <c r="AI127" s="30">
        <f t="shared" si="13"/>
        <v>0</v>
      </c>
      <c r="AJ127" s="30">
        <f>(AH127*(i_Adv_Fals/i_Adv_Alar)*i_Int_Kend_false)*AJ$25</f>
        <v>0</v>
      </c>
      <c r="AK127" s="30">
        <f>(AH127*(i_Adv_Lead/i_Adv_Alar)*i_Int_Kend_leadsoff)*AK$25</f>
        <v>0</v>
      </c>
      <c r="AL127" s="30">
        <f>((SUM(F126:J126)-((I126+J126)*(1-i_Bac_ICU)))+(SUM(F127:J127)-((I127+J127)*(1-i_Bac_ICU))))/2*(C127-C126)</f>
        <v>0</v>
      </c>
      <c r="AM127" s="30">
        <f>(((I126+J126)*(1-i_Bac_ICU))+((I127+J127)*(1-i_Bac_ICU))+K126+E126+E127+K127)/2*(C127-C126)</f>
        <v>0</v>
      </c>
      <c r="AN127" s="6"/>
      <c r="AO127" s="6"/>
      <c r="AP127" s="6"/>
      <c r="AQ127" s="6"/>
      <c r="AR127" s="6"/>
      <c r="AS127" s="6"/>
      <c r="AT127" s="6"/>
      <c r="AU127" s="6"/>
    </row>
    <row r="128" ht="14.25" customHeight="1">
      <c r="A128" s="6"/>
      <c r="B128" s="26">
        <f t="shared" si="304"/>
        <v>102</v>
      </c>
      <c r="C128" s="26">
        <f t="shared" si="305"/>
        <v>1095.3</v>
      </c>
      <c r="D128" s="26">
        <f t="shared" si="6"/>
        <v>3</v>
      </c>
      <c r="E128" s="28">
        <f t="shared" si="306"/>
        <v>0</v>
      </c>
      <c r="F128" s="28">
        <f t="shared" si="307"/>
        <v>0</v>
      </c>
      <c r="G128" s="28">
        <f t="shared" si="308"/>
        <v>0</v>
      </c>
      <c r="H128" s="28">
        <f t="shared" si="309"/>
        <v>0</v>
      </c>
      <c r="I128" s="28">
        <f t="shared" si="310"/>
        <v>0</v>
      </c>
      <c r="J128" s="28">
        <f t="shared" si="311"/>
        <v>0</v>
      </c>
      <c r="K128" s="28">
        <f t="shared" si="312"/>
        <v>0</v>
      </c>
      <c r="L128" s="28">
        <f t="shared" si="313"/>
        <v>0.893084712</v>
      </c>
      <c r="M128" s="28">
        <f t="shared" si="314"/>
        <v>0.0006171057948</v>
      </c>
      <c r="N128" s="28">
        <f t="shared" si="315"/>
        <v>0.00112812082</v>
      </c>
      <c r="O128" s="28">
        <f t="shared" si="316"/>
        <v>0.001254128121</v>
      </c>
      <c r="P128" s="28">
        <f t="shared" si="317"/>
        <v>0.1039159333</v>
      </c>
      <c r="Q128" s="6"/>
      <c r="R128" s="26">
        <f t="shared" si="7"/>
        <v>1</v>
      </c>
      <c r="S128" s="30">
        <f t="shared" si="8"/>
        <v>0</v>
      </c>
      <c r="T128" s="30">
        <f t="shared" ref="T128:U128" si="338">((F127+F128)/2)*T$25*($C128-$C127)</f>
        <v>0</v>
      </c>
      <c r="U128" s="30">
        <f t="shared" si="338"/>
        <v>0</v>
      </c>
      <c r="V128" s="30">
        <f t="shared" si="28"/>
        <v>0</v>
      </c>
      <c r="W128" s="30">
        <f t="shared" ref="W128:X128" si="339">((I127+I128)/2)*W$25*($C128-$C127)</f>
        <v>0</v>
      </c>
      <c r="X128" s="30">
        <f t="shared" si="339"/>
        <v>0</v>
      </c>
      <c r="Y128" s="30">
        <f t="shared" si="30"/>
        <v>0</v>
      </c>
      <c r="Z128" s="30">
        <f>(L128-OFFSET(L128,-IF(C128-C127&gt;i_Cos_Days,1,MIN(B128,i_Cos_Days)),0))*MIN(i_Cos_Days,($C128-$C127))</f>
        <v>0</v>
      </c>
      <c r="AA128" s="30">
        <f t="shared" si="31"/>
        <v>23.77197811</v>
      </c>
      <c r="AB128" s="30">
        <f t="shared" si="320"/>
        <v>26.60765459</v>
      </c>
      <c r="AC128" s="30">
        <f t="shared" si="321"/>
        <v>3.238911286</v>
      </c>
      <c r="AD128" s="30">
        <f t="shared" si="34"/>
        <v>0</v>
      </c>
      <c r="AE128" s="6"/>
      <c r="AF128" s="30">
        <f t="shared" si="11"/>
        <v>0.9993828942</v>
      </c>
      <c r="AG128" s="30">
        <v>0.0</v>
      </c>
      <c r="AH128" s="30">
        <f t="shared" si="12"/>
        <v>0</v>
      </c>
      <c r="AI128" s="30">
        <f t="shared" si="13"/>
        <v>0</v>
      </c>
      <c r="AJ128" s="30">
        <f>(AH128*(i_Adv_Fals/i_Adv_Alar)*i_Int_Kend_false)*AJ$25</f>
        <v>0</v>
      </c>
      <c r="AK128" s="30">
        <f>(AH128*(i_Adv_Lead/i_Adv_Alar)*i_Int_Kend_leadsoff)*AK$25</f>
        <v>0</v>
      </c>
      <c r="AL128" s="30">
        <f>((SUM(F127:J127)-((I127+J127)*(1-i_Bac_ICU)))+(SUM(F128:J128)-((I128+J128)*(1-i_Bac_ICU))))/2*(C128-C127)</f>
        <v>0</v>
      </c>
      <c r="AM128" s="30">
        <f>(((I127+J127)*(1-i_Bac_ICU))+((I128+J128)*(1-i_Bac_ICU))+K127+E127+E128+K128)/2*(C128-C127)</f>
        <v>0</v>
      </c>
      <c r="AN128" s="6"/>
      <c r="AO128" s="6"/>
      <c r="AP128" s="6"/>
      <c r="AQ128" s="6"/>
      <c r="AR128" s="6"/>
      <c r="AS128" s="6"/>
      <c r="AT128" s="6"/>
      <c r="AU128" s="6"/>
    </row>
    <row r="129" ht="14.25" customHeight="1">
      <c r="A129" s="6"/>
      <c r="B129" s="26">
        <f t="shared" si="304"/>
        <v>103</v>
      </c>
      <c r="C129" s="26">
        <f t="shared" si="305"/>
        <v>1186.6</v>
      </c>
      <c r="D129" s="26">
        <f t="shared" si="6"/>
        <v>3.2</v>
      </c>
      <c r="E129" s="28">
        <f t="shared" si="306"/>
        <v>0</v>
      </c>
      <c r="F129" s="28">
        <f t="shared" si="307"/>
        <v>0</v>
      </c>
      <c r="G129" s="28">
        <f t="shared" si="308"/>
        <v>0</v>
      </c>
      <c r="H129" s="28">
        <f t="shared" si="309"/>
        <v>0</v>
      </c>
      <c r="I129" s="28">
        <f t="shared" si="310"/>
        <v>0</v>
      </c>
      <c r="J129" s="28">
        <f t="shared" si="311"/>
        <v>0</v>
      </c>
      <c r="K129" s="28">
        <f t="shared" si="312"/>
        <v>0</v>
      </c>
      <c r="L129" s="28">
        <f t="shared" si="313"/>
        <v>0.8867795345</v>
      </c>
      <c r="M129" s="28">
        <f t="shared" si="314"/>
        <v>0.0006127490283</v>
      </c>
      <c r="N129" s="28">
        <f t="shared" si="315"/>
        <v>0.001120156287</v>
      </c>
      <c r="O129" s="28">
        <f t="shared" si="316"/>
        <v>0.001245273978</v>
      </c>
      <c r="P129" s="28">
        <f t="shared" si="317"/>
        <v>0.1102422862</v>
      </c>
      <c r="Q129" s="6"/>
      <c r="R129" s="26">
        <f t="shared" si="7"/>
        <v>1</v>
      </c>
      <c r="S129" s="30">
        <f t="shared" si="8"/>
        <v>0</v>
      </c>
      <c r="T129" s="30">
        <f t="shared" ref="T129:U129" si="340">((F128+F129)/2)*T$25*($C129-$C128)</f>
        <v>0</v>
      </c>
      <c r="U129" s="30">
        <f t="shared" si="340"/>
        <v>0</v>
      </c>
      <c r="V129" s="30">
        <f t="shared" si="28"/>
        <v>0</v>
      </c>
      <c r="W129" s="30">
        <f t="shared" ref="W129:X129" si="341">((I128+I129)/2)*W$25*($C129-$C128)</f>
        <v>0</v>
      </c>
      <c r="X129" s="30">
        <f t="shared" si="341"/>
        <v>0</v>
      </c>
      <c r="Y129" s="30">
        <f t="shared" si="30"/>
        <v>0</v>
      </c>
      <c r="Z129" s="30">
        <f>(L129-OFFSET(L129,-IF(C129-C128&gt;i_Cos_Days,1,MIN(B129,i_Cos_Days)),0))*MIN(i_Cos_Days,($C129-$C128))</f>
        <v>0</v>
      </c>
      <c r="AA129" s="30">
        <f t="shared" si="31"/>
        <v>23.60414796</v>
      </c>
      <c r="AB129" s="30">
        <f t="shared" si="320"/>
        <v>26.41980457</v>
      </c>
      <c r="AC129" s="30">
        <f t="shared" si="321"/>
        <v>3.216044574</v>
      </c>
      <c r="AD129" s="30">
        <f t="shared" si="34"/>
        <v>0</v>
      </c>
      <c r="AE129" s="6"/>
      <c r="AF129" s="30">
        <f t="shared" si="11"/>
        <v>0.999387251</v>
      </c>
      <c r="AG129" s="30" t="str">
        <f>MIN(1,SUM(OFFSET(E129,0,0,-i_Eve_ECG,1)))</f>
        <v>#VALUE!</v>
      </c>
      <c r="AH129" s="30" t="str">
        <f t="shared" si="12"/>
        <v>#VALUE!</v>
      </c>
      <c r="AI129" s="30" t="str">
        <f t="shared" si="13"/>
        <v>#VALUE!</v>
      </c>
      <c r="AJ129" s="30" t="str">
        <f>(AH129*(i_Adv_Fals/i_Adv_Alar)*i_Int_Kend_false)*AJ$25</f>
        <v>#VALUE!</v>
      </c>
      <c r="AK129" s="30" t="str">
        <f>(AH129*(i_Adv_Lead/i_Adv_Alar)*i_Int_Kend_leadsoff)*AK$25</f>
        <v>#VALUE!</v>
      </c>
      <c r="AL129" s="30">
        <f>((SUM(F128:J128)-((I128+J128)*(1-i_Bac_ICU)))+(SUM(F129:J129)-((I129+J129)*(1-i_Bac_ICU))))/2*(C129-C128)</f>
        <v>0</v>
      </c>
      <c r="AM129" s="30">
        <f>(((I128+J128)*(1-i_Bac_ICU))+((I129+J129)*(1-i_Bac_ICU))+K128+E128+E129+K129)/2*(C129-C128)</f>
        <v>0</v>
      </c>
      <c r="AN129" s="6"/>
      <c r="AO129" s="6"/>
      <c r="AP129" s="6"/>
      <c r="AQ129" s="6"/>
      <c r="AR129" s="6"/>
      <c r="AS129" s="6"/>
      <c r="AT129" s="6"/>
      <c r="AU129" s="6"/>
    </row>
    <row r="130" ht="14.25" customHeight="1">
      <c r="A130" s="6"/>
      <c r="B130" s="26">
        <f t="shared" si="304"/>
        <v>104</v>
      </c>
      <c r="C130" s="26">
        <f t="shared" si="305"/>
        <v>1277.9</v>
      </c>
      <c r="D130" s="26">
        <f t="shared" si="6"/>
        <v>3.5</v>
      </c>
      <c r="E130" s="28">
        <f t="shared" si="306"/>
        <v>0</v>
      </c>
      <c r="F130" s="28">
        <f t="shared" si="307"/>
        <v>0</v>
      </c>
      <c r="G130" s="28">
        <f t="shared" si="308"/>
        <v>0</v>
      </c>
      <c r="H130" s="28">
        <f t="shared" si="309"/>
        <v>0</v>
      </c>
      <c r="I130" s="28">
        <f t="shared" si="310"/>
        <v>0</v>
      </c>
      <c r="J130" s="28">
        <f t="shared" si="311"/>
        <v>0</v>
      </c>
      <c r="K130" s="28">
        <f t="shared" si="312"/>
        <v>0</v>
      </c>
      <c r="L130" s="28">
        <f t="shared" si="313"/>
        <v>0.8805188716</v>
      </c>
      <c r="M130" s="28">
        <f t="shared" si="314"/>
        <v>0.0006084230205</v>
      </c>
      <c r="N130" s="28">
        <f t="shared" si="315"/>
        <v>0.001112247985</v>
      </c>
      <c r="O130" s="28">
        <f t="shared" si="316"/>
        <v>0.001236482344</v>
      </c>
      <c r="P130" s="28">
        <f t="shared" si="317"/>
        <v>0.116523975</v>
      </c>
      <c r="Q130" s="6"/>
      <c r="R130" s="26">
        <f t="shared" si="7"/>
        <v>1</v>
      </c>
      <c r="S130" s="30">
        <f t="shared" si="8"/>
        <v>0</v>
      </c>
      <c r="T130" s="30">
        <f t="shared" ref="T130:U130" si="342">((F129+F130)/2)*T$25*($C130-$C129)</f>
        <v>0</v>
      </c>
      <c r="U130" s="30">
        <f t="shared" si="342"/>
        <v>0</v>
      </c>
      <c r="V130" s="30">
        <f t="shared" si="28"/>
        <v>0</v>
      </c>
      <c r="W130" s="30">
        <f t="shared" ref="W130:X130" si="343">((I129+I130)/2)*W$25*($C130-$C129)</f>
        <v>0</v>
      </c>
      <c r="X130" s="30">
        <f t="shared" si="343"/>
        <v>0</v>
      </c>
      <c r="Y130" s="30">
        <f t="shared" si="30"/>
        <v>0</v>
      </c>
      <c r="Z130" s="30">
        <f>(L130-OFFSET(L130,-IF(C130-C129&gt;i_Cos_Days,1,MIN(B130,i_Cos_Days)),0))*MIN(i_Cos_Days,($C130-$C129))</f>
        <v>0</v>
      </c>
      <c r="AA130" s="30">
        <f t="shared" si="31"/>
        <v>23.43750269</v>
      </c>
      <c r="AB130" s="30">
        <f t="shared" si="320"/>
        <v>26.23328076</v>
      </c>
      <c r="AC130" s="30">
        <f t="shared" si="321"/>
        <v>3.193339302</v>
      </c>
      <c r="AD130" s="30">
        <f t="shared" si="34"/>
        <v>0</v>
      </c>
      <c r="AE130" s="6"/>
      <c r="AF130" s="30">
        <f t="shared" si="11"/>
        <v>0.999391577</v>
      </c>
      <c r="AG130" s="30" t="str">
        <f>MIN(1,SUM(OFFSET(E130,0,0,-i_Eve_ECG,1)))</f>
        <v>#VALUE!</v>
      </c>
      <c r="AH130" s="30" t="str">
        <f t="shared" si="12"/>
        <v>#VALUE!</v>
      </c>
      <c r="AI130" s="30" t="str">
        <f t="shared" si="13"/>
        <v>#VALUE!</v>
      </c>
      <c r="AJ130" s="30" t="str">
        <f>(AH130*(i_Adv_Fals/i_Adv_Alar)*i_Int_Kend_false)*AJ$25</f>
        <v>#VALUE!</v>
      </c>
      <c r="AK130" s="30" t="str">
        <f>(AH130*(i_Adv_Lead/i_Adv_Alar)*i_Int_Kend_leadsoff)*AK$25</f>
        <v>#VALUE!</v>
      </c>
      <c r="AL130" s="30">
        <f>((SUM(F129:J129)-((I129+J129)*(1-i_Bac_ICU)))+(SUM(F130:J130)-((I130+J130)*(1-i_Bac_ICU))))/2*(C130-C129)</f>
        <v>0</v>
      </c>
      <c r="AM130" s="30">
        <f>(((I129+J129)*(1-i_Bac_ICU))+((I130+J130)*(1-i_Bac_ICU))+K129+E129+E130+K130)/2*(C130-C129)</f>
        <v>0</v>
      </c>
      <c r="AN130" s="6"/>
      <c r="AO130" s="6"/>
      <c r="AP130" s="6"/>
      <c r="AQ130" s="6"/>
      <c r="AR130" s="6"/>
      <c r="AS130" s="6"/>
      <c r="AT130" s="6"/>
      <c r="AU130" s="6"/>
    </row>
    <row r="131" ht="14.25" customHeight="1">
      <c r="A131" s="6"/>
      <c r="B131" s="26">
        <f t="shared" si="304"/>
        <v>105</v>
      </c>
      <c r="C131" s="26">
        <f t="shared" si="305"/>
        <v>1369.2</v>
      </c>
      <c r="D131" s="26">
        <f t="shared" si="6"/>
        <v>3.7</v>
      </c>
      <c r="E131" s="28">
        <f t="shared" si="306"/>
        <v>0</v>
      </c>
      <c r="F131" s="28">
        <f t="shared" si="307"/>
        <v>0</v>
      </c>
      <c r="G131" s="28">
        <f t="shared" si="308"/>
        <v>0</v>
      </c>
      <c r="H131" s="28">
        <f t="shared" si="309"/>
        <v>0</v>
      </c>
      <c r="I131" s="28">
        <f t="shared" si="310"/>
        <v>0</v>
      </c>
      <c r="J131" s="28">
        <f t="shared" si="311"/>
        <v>0</v>
      </c>
      <c r="K131" s="28">
        <f t="shared" si="312"/>
        <v>0</v>
      </c>
      <c r="L131" s="28">
        <f t="shared" si="313"/>
        <v>0.874302409</v>
      </c>
      <c r="M131" s="28">
        <f t="shared" si="314"/>
        <v>0.0006041275544</v>
      </c>
      <c r="N131" s="28">
        <f t="shared" si="315"/>
        <v>0.001104395515</v>
      </c>
      <c r="O131" s="28">
        <f t="shared" si="316"/>
        <v>0.00122775278</v>
      </c>
      <c r="P131" s="28">
        <f t="shared" si="317"/>
        <v>0.1227613152</v>
      </c>
      <c r="Q131" s="6"/>
      <c r="R131" s="26">
        <f t="shared" si="7"/>
        <v>1</v>
      </c>
      <c r="S131" s="30">
        <f t="shared" si="8"/>
        <v>0</v>
      </c>
      <c r="T131" s="30">
        <f t="shared" ref="T131:U131" si="344">((F130+F131)/2)*T$25*($C131-$C130)</f>
        <v>0</v>
      </c>
      <c r="U131" s="30">
        <f t="shared" si="344"/>
        <v>0</v>
      </c>
      <c r="V131" s="30">
        <f t="shared" si="28"/>
        <v>0</v>
      </c>
      <c r="W131" s="30">
        <f t="shared" ref="W131:X131" si="345">((I130+I131)/2)*W$25*($C131-$C130)</f>
        <v>0</v>
      </c>
      <c r="X131" s="30">
        <f t="shared" si="345"/>
        <v>0</v>
      </c>
      <c r="Y131" s="30">
        <f t="shared" si="30"/>
        <v>0</v>
      </c>
      <c r="Z131" s="30">
        <f>(L131-OFFSET(L131,-IF(C131-C130&gt;i_Cos_Days,1,MIN(B131,i_Cos_Days)),0))*MIN(i_Cos_Days,($C131-$C130))</f>
        <v>0</v>
      </c>
      <c r="AA131" s="30">
        <f t="shared" si="31"/>
        <v>23.27203394</v>
      </c>
      <c r="AB131" s="30">
        <f t="shared" si="320"/>
        <v>26.04807382</v>
      </c>
      <c r="AC131" s="30">
        <f t="shared" si="321"/>
        <v>3.170794329</v>
      </c>
      <c r="AD131" s="30">
        <f t="shared" si="34"/>
        <v>0</v>
      </c>
      <c r="AE131" s="6"/>
      <c r="AF131" s="30">
        <f t="shared" si="11"/>
        <v>0.9993958724</v>
      </c>
      <c r="AG131" s="30" t="str">
        <f>MIN(1,SUM(OFFSET(E131,0,0,-i_Eve_ECG,1)))</f>
        <v>#VALUE!</v>
      </c>
      <c r="AH131" s="30" t="str">
        <f t="shared" si="12"/>
        <v>#VALUE!</v>
      </c>
      <c r="AI131" s="30" t="str">
        <f t="shared" si="13"/>
        <v>#VALUE!</v>
      </c>
      <c r="AJ131" s="30" t="str">
        <f>(AH131*(i_Adv_Fals/i_Adv_Alar)*i_Int_Kend_false)*AJ$25</f>
        <v>#VALUE!</v>
      </c>
      <c r="AK131" s="30" t="str">
        <f>(AH131*(i_Adv_Lead/i_Adv_Alar)*i_Int_Kend_leadsoff)*AK$25</f>
        <v>#VALUE!</v>
      </c>
      <c r="AL131" s="30">
        <f>((SUM(F130:J130)-((I130+J130)*(1-i_Bac_ICU)))+(SUM(F131:J131)-((I131+J131)*(1-i_Bac_ICU))))/2*(C131-C130)</f>
        <v>0</v>
      </c>
      <c r="AM131" s="30">
        <f>(((I130+J130)*(1-i_Bac_ICU))+((I131+J131)*(1-i_Bac_ICU))+K130+E130+E131+K131)/2*(C131-C130)</f>
        <v>0</v>
      </c>
      <c r="AN131" s="6"/>
      <c r="AO131" s="6"/>
      <c r="AP131" s="6"/>
      <c r="AQ131" s="6"/>
      <c r="AR131" s="6"/>
      <c r="AS131" s="6"/>
      <c r="AT131" s="6"/>
      <c r="AU131" s="6"/>
    </row>
    <row r="132" ht="14.25" customHeight="1">
      <c r="A132" s="6"/>
      <c r="B132" s="26">
        <f t="shared" si="304"/>
        <v>106</v>
      </c>
      <c r="C132" s="26">
        <f t="shared" si="305"/>
        <v>1460.5</v>
      </c>
      <c r="D132" s="26">
        <f t="shared" si="6"/>
        <v>4</v>
      </c>
      <c r="E132" s="28">
        <f t="shared" si="306"/>
        <v>0</v>
      </c>
      <c r="F132" s="28">
        <f t="shared" si="307"/>
        <v>0</v>
      </c>
      <c r="G132" s="28">
        <f t="shared" si="308"/>
        <v>0</v>
      </c>
      <c r="H132" s="28">
        <f t="shared" si="309"/>
        <v>0</v>
      </c>
      <c r="I132" s="28">
        <f t="shared" si="310"/>
        <v>0</v>
      </c>
      <c r="J132" s="28">
        <f t="shared" si="311"/>
        <v>0</v>
      </c>
      <c r="K132" s="28">
        <f t="shared" si="312"/>
        <v>0</v>
      </c>
      <c r="L132" s="28">
        <f t="shared" si="313"/>
        <v>0.8681298346</v>
      </c>
      <c r="M132" s="28">
        <f t="shared" si="314"/>
        <v>0.0005998624143</v>
      </c>
      <c r="N132" s="28">
        <f t="shared" si="315"/>
        <v>0.001096598483</v>
      </c>
      <c r="O132" s="28">
        <f t="shared" si="316"/>
        <v>0.001219084846</v>
      </c>
      <c r="P132" s="28">
        <f t="shared" si="317"/>
        <v>0.1289546197</v>
      </c>
      <c r="Q132" s="6"/>
      <c r="R132" s="26">
        <f t="shared" si="7"/>
        <v>1</v>
      </c>
      <c r="S132" s="30">
        <f t="shared" si="8"/>
        <v>0</v>
      </c>
      <c r="T132" s="30">
        <f t="shared" ref="T132:U132" si="346">((F131+F132)/2)*T$25*($C132-$C131)</f>
        <v>0</v>
      </c>
      <c r="U132" s="30">
        <f t="shared" si="346"/>
        <v>0</v>
      </c>
      <c r="V132" s="30">
        <f t="shared" si="28"/>
        <v>0</v>
      </c>
      <c r="W132" s="30">
        <f t="shared" ref="W132:X132" si="347">((I131+I132)/2)*W$25*($C132-$C131)</f>
        <v>0</v>
      </c>
      <c r="X132" s="30">
        <f t="shared" si="347"/>
        <v>0</v>
      </c>
      <c r="Y132" s="30">
        <f t="shared" si="30"/>
        <v>0</v>
      </c>
      <c r="Z132" s="30">
        <f>(L132-OFFSET(L132,-IF(C132-C131&gt;i_Cos_Days,1,MIN(B132,i_Cos_Days)),0))*MIN(i_Cos_Days,($C132-$C131))</f>
        <v>0</v>
      </c>
      <c r="AA132" s="30">
        <f t="shared" si="31"/>
        <v>23.10773339</v>
      </c>
      <c r="AB132" s="30">
        <f t="shared" si="320"/>
        <v>25.86417444</v>
      </c>
      <c r="AC132" s="30">
        <f t="shared" si="321"/>
        <v>3.148408523</v>
      </c>
      <c r="AD132" s="30">
        <f t="shared" si="34"/>
        <v>0</v>
      </c>
      <c r="AE132" s="6"/>
      <c r="AF132" s="30">
        <f t="shared" si="11"/>
        <v>0.9994001376</v>
      </c>
      <c r="AG132" s="30" t="str">
        <f>MIN(1,SUM(OFFSET(E132,0,0,-i_Eve_ECG,1)))</f>
        <v>#VALUE!</v>
      </c>
      <c r="AH132" s="30" t="str">
        <f t="shared" si="12"/>
        <v>#VALUE!</v>
      </c>
      <c r="AI132" s="30" t="str">
        <f t="shared" si="13"/>
        <v>#VALUE!</v>
      </c>
      <c r="AJ132" s="30" t="str">
        <f>(AH132*(i_Adv_Fals/i_Adv_Alar)*i_Int_Kend_false)*AJ$25</f>
        <v>#VALUE!</v>
      </c>
      <c r="AK132" s="30" t="str">
        <f>(AH132*(i_Adv_Lead/i_Adv_Alar)*i_Int_Kend_leadsoff)*AK$25</f>
        <v>#VALUE!</v>
      </c>
      <c r="AL132" s="30">
        <f>((SUM(F131:J131)-((I131+J131)*(1-i_Bac_ICU)))+(SUM(F132:J132)-((I132+J132)*(1-i_Bac_ICU))))/2*(C132-C131)</f>
        <v>0</v>
      </c>
      <c r="AM132" s="30">
        <f>(((I131+J131)*(1-i_Bac_ICU))+((I132+J132)*(1-i_Bac_ICU))+K131+E131+E132+K132)/2*(C132-C131)</f>
        <v>0</v>
      </c>
      <c r="AN132" s="6"/>
      <c r="AO132" s="6"/>
      <c r="AP132" s="6"/>
      <c r="AQ132" s="6"/>
      <c r="AR132" s="6"/>
      <c r="AS132" s="6"/>
      <c r="AT132" s="6"/>
      <c r="AU132" s="6"/>
    </row>
    <row r="133" ht="14.25" customHeight="1">
      <c r="A133" s="6"/>
      <c r="B133" s="26">
        <f t="shared" si="304"/>
        <v>107</v>
      </c>
      <c r="C133" s="26">
        <f t="shared" si="305"/>
        <v>1551.8</v>
      </c>
      <c r="D133" s="26">
        <f t="shared" si="6"/>
        <v>4.2</v>
      </c>
      <c r="E133" s="28">
        <f t="shared" si="306"/>
        <v>0</v>
      </c>
      <c r="F133" s="28">
        <f t="shared" si="307"/>
        <v>0</v>
      </c>
      <c r="G133" s="28">
        <f t="shared" si="308"/>
        <v>0</v>
      </c>
      <c r="H133" s="28">
        <f t="shared" si="309"/>
        <v>0</v>
      </c>
      <c r="I133" s="28">
        <f t="shared" si="310"/>
        <v>0</v>
      </c>
      <c r="J133" s="28">
        <f t="shared" si="311"/>
        <v>0</v>
      </c>
      <c r="K133" s="28">
        <f t="shared" si="312"/>
        <v>0</v>
      </c>
      <c r="L133" s="28">
        <f t="shared" si="313"/>
        <v>0.8620008385</v>
      </c>
      <c r="M133" s="28">
        <f t="shared" si="314"/>
        <v>0.0005956273861</v>
      </c>
      <c r="N133" s="28">
        <f t="shared" si="315"/>
        <v>0.001088856499</v>
      </c>
      <c r="O133" s="28">
        <f t="shared" si="316"/>
        <v>0.001210478108</v>
      </c>
      <c r="P133" s="28">
        <f t="shared" si="317"/>
        <v>0.1351041995</v>
      </c>
      <c r="Q133" s="6"/>
      <c r="R133" s="26">
        <f t="shared" si="7"/>
        <v>1</v>
      </c>
      <c r="S133" s="30">
        <f t="shared" si="8"/>
        <v>0</v>
      </c>
      <c r="T133" s="30">
        <f t="shared" ref="T133:U133" si="348">((F132+F133)/2)*T$25*($C133-$C132)</f>
        <v>0</v>
      </c>
      <c r="U133" s="30">
        <f t="shared" si="348"/>
        <v>0</v>
      </c>
      <c r="V133" s="30">
        <f t="shared" si="28"/>
        <v>0</v>
      </c>
      <c r="W133" s="30">
        <f t="shared" ref="W133:X133" si="349">((I132+I133)/2)*W$25*($C133-$C132)</f>
        <v>0</v>
      </c>
      <c r="X133" s="30">
        <f t="shared" si="349"/>
        <v>0</v>
      </c>
      <c r="Y133" s="30">
        <f t="shared" si="30"/>
        <v>0</v>
      </c>
      <c r="Z133" s="30">
        <f>(L133-OFFSET(L133,-IF(C133-C132&gt;i_Cos_Days,1,MIN(B133,i_Cos_Days)),0))*MIN(i_Cos_Days,($C133-$C132))</f>
        <v>0</v>
      </c>
      <c r="AA133" s="30">
        <f t="shared" si="31"/>
        <v>22.94459281</v>
      </c>
      <c r="AB133" s="30">
        <f t="shared" si="320"/>
        <v>25.68157338</v>
      </c>
      <c r="AC133" s="30">
        <f t="shared" si="321"/>
        <v>3.126180761</v>
      </c>
      <c r="AD133" s="30">
        <f t="shared" si="34"/>
        <v>0</v>
      </c>
      <c r="AE133" s="6"/>
      <c r="AF133" s="30">
        <f t="shared" si="11"/>
        <v>0.9994043726</v>
      </c>
      <c r="AG133" s="30" t="str">
        <f>MIN(1,SUM(OFFSET(E133,0,0,-i_Eve_ECG,1)))</f>
        <v>#VALUE!</v>
      </c>
      <c r="AH133" s="30" t="str">
        <f t="shared" si="12"/>
        <v>#VALUE!</v>
      </c>
      <c r="AI133" s="30" t="str">
        <f t="shared" si="13"/>
        <v>#VALUE!</v>
      </c>
      <c r="AJ133" s="30" t="str">
        <f>(AH133*(i_Adv_Fals/i_Adv_Alar)*i_Int_Kend_false)*AJ$25</f>
        <v>#VALUE!</v>
      </c>
      <c r="AK133" s="30" t="str">
        <f>(AH133*(i_Adv_Lead/i_Adv_Alar)*i_Int_Kend_leadsoff)*AK$25</f>
        <v>#VALUE!</v>
      </c>
      <c r="AL133" s="30">
        <f>((SUM(F132:J132)-((I132+J132)*(1-i_Bac_ICU)))+(SUM(F133:J133)-((I133+J133)*(1-i_Bac_ICU))))/2*(C133-C132)</f>
        <v>0</v>
      </c>
      <c r="AM133" s="30">
        <f>(((I132+J132)*(1-i_Bac_ICU))+((I133+J133)*(1-i_Bac_ICU))+K132+E132+E133+K133)/2*(C133-C132)</f>
        <v>0</v>
      </c>
      <c r="AN133" s="6"/>
      <c r="AO133" s="6"/>
      <c r="AP133" s="6"/>
      <c r="AQ133" s="6"/>
      <c r="AR133" s="6"/>
      <c r="AS133" s="6"/>
      <c r="AT133" s="6"/>
      <c r="AU133" s="6"/>
    </row>
    <row r="134" ht="14.25" customHeight="1">
      <c r="A134" s="6"/>
      <c r="B134" s="26">
        <f t="shared" si="304"/>
        <v>108</v>
      </c>
      <c r="C134" s="26">
        <f t="shared" si="305"/>
        <v>1643.1</v>
      </c>
      <c r="D134" s="26">
        <f t="shared" si="6"/>
        <v>4.5</v>
      </c>
      <c r="E134" s="28">
        <f t="shared" si="306"/>
        <v>0</v>
      </c>
      <c r="F134" s="28">
        <f t="shared" si="307"/>
        <v>0</v>
      </c>
      <c r="G134" s="28">
        <f t="shared" si="308"/>
        <v>0</v>
      </c>
      <c r="H134" s="28">
        <f t="shared" si="309"/>
        <v>0</v>
      </c>
      <c r="I134" s="28">
        <f t="shared" si="310"/>
        <v>0</v>
      </c>
      <c r="J134" s="28">
        <f t="shared" si="311"/>
        <v>0</v>
      </c>
      <c r="K134" s="28">
        <f t="shared" si="312"/>
        <v>0</v>
      </c>
      <c r="L134" s="28">
        <f t="shared" si="313"/>
        <v>0.8559151132</v>
      </c>
      <c r="M134" s="28">
        <f t="shared" si="314"/>
        <v>0.0005914222571</v>
      </c>
      <c r="N134" s="28">
        <f t="shared" si="315"/>
        <v>0.001081169172</v>
      </c>
      <c r="O134" s="28">
        <f t="shared" si="316"/>
        <v>0.001201932133</v>
      </c>
      <c r="P134" s="28">
        <f t="shared" si="317"/>
        <v>0.1412103633</v>
      </c>
      <c r="Q134" s="6"/>
      <c r="R134" s="26">
        <f t="shared" si="7"/>
        <v>1</v>
      </c>
      <c r="S134" s="30">
        <f t="shared" si="8"/>
        <v>0</v>
      </c>
      <c r="T134" s="30">
        <f t="shared" ref="T134:U134" si="350">((F133+F134)/2)*T$25*($C134-$C133)</f>
        <v>0</v>
      </c>
      <c r="U134" s="30">
        <f t="shared" si="350"/>
        <v>0</v>
      </c>
      <c r="V134" s="30">
        <f t="shared" si="28"/>
        <v>0</v>
      </c>
      <c r="W134" s="30">
        <f t="shared" ref="W134:X134" si="351">((I133+I134)/2)*W$25*($C134-$C133)</f>
        <v>0</v>
      </c>
      <c r="X134" s="30">
        <f t="shared" si="351"/>
        <v>0</v>
      </c>
      <c r="Y134" s="30">
        <f t="shared" si="30"/>
        <v>0</v>
      </c>
      <c r="Z134" s="30">
        <f>(L134-OFFSET(L134,-IF(C134-C133&gt;i_Cos_Days,1,MIN(B134,i_Cos_Days)),0))*MIN(i_Cos_Days,($C134-$C133))</f>
        <v>0</v>
      </c>
      <c r="AA134" s="30">
        <f t="shared" si="31"/>
        <v>22.782604</v>
      </c>
      <c r="AB134" s="30">
        <f t="shared" si="320"/>
        <v>25.50026149</v>
      </c>
      <c r="AC134" s="30">
        <f t="shared" si="321"/>
        <v>3.104109927</v>
      </c>
      <c r="AD134" s="30">
        <f t="shared" si="34"/>
        <v>0</v>
      </c>
      <c r="AE134" s="6"/>
      <c r="AF134" s="30">
        <f t="shared" si="11"/>
        <v>0.9994085777</v>
      </c>
      <c r="AG134" s="30" t="str">
        <f>MIN(1,SUM(OFFSET(E134,0,0,-i_Eve_ECG,1)))</f>
        <v>#VALUE!</v>
      </c>
      <c r="AH134" s="30" t="str">
        <f t="shared" si="12"/>
        <v>#VALUE!</v>
      </c>
      <c r="AI134" s="30" t="str">
        <f t="shared" si="13"/>
        <v>#VALUE!</v>
      </c>
      <c r="AJ134" s="30" t="str">
        <f>(AH134*(i_Adv_Fals/i_Adv_Alar)*i_Int_Kend_false)*AJ$25</f>
        <v>#VALUE!</v>
      </c>
      <c r="AK134" s="30" t="str">
        <f>(AH134*(i_Adv_Lead/i_Adv_Alar)*i_Int_Kend_leadsoff)*AK$25</f>
        <v>#VALUE!</v>
      </c>
      <c r="AL134" s="30">
        <f>((SUM(F133:J133)-((I133+J133)*(1-i_Bac_ICU)))+(SUM(F134:J134)-((I134+J134)*(1-i_Bac_ICU))))/2*(C134-C133)</f>
        <v>0</v>
      </c>
      <c r="AM134" s="30">
        <f>(((I133+J133)*(1-i_Bac_ICU))+((I134+J134)*(1-i_Bac_ICU))+K133+E133+E134+K134)/2*(C134-C133)</f>
        <v>0</v>
      </c>
      <c r="AN134" s="6"/>
      <c r="AO134" s="6"/>
      <c r="AP134" s="6"/>
      <c r="AQ134" s="6"/>
      <c r="AR134" s="6"/>
      <c r="AS134" s="6"/>
      <c r="AT134" s="6"/>
      <c r="AU134" s="6"/>
    </row>
    <row r="135" ht="14.25" customHeight="1">
      <c r="A135" s="6"/>
      <c r="B135" s="26">
        <f t="shared" si="304"/>
        <v>109</v>
      </c>
      <c r="C135" s="26">
        <f t="shared" si="305"/>
        <v>1734.4</v>
      </c>
      <c r="D135" s="26">
        <f t="shared" si="6"/>
        <v>4.7</v>
      </c>
      <c r="E135" s="28">
        <f t="shared" si="306"/>
        <v>0</v>
      </c>
      <c r="F135" s="28">
        <f t="shared" si="307"/>
        <v>0</v>
      </c>
      <c r="G135" s="28">
        <f t="shared" si="308"/>
        <v>0</v>
      </c>
      <c r="H135" s="28">
        <f t="shared" si="309"/>
        <v>0</v>
      </c>
      <c r="I135" s="28">
        <f t="shared" si="310"/>
        <v>0</v>
      </c>
      <c r="J135" s="28">
        <f t="shared" si="311"/>
        <v>0</v>
      </c>
      <c r="K135" s="28">
        <f t="shared" si="312"/>
        <v>0</v>
      </c>
      <c r="L135" s="28">
        <f t="shared" si="313"/>
        <v>0.8498723531</v>
      </c>
      <c r="M135" s="28">
        <f t="shared" si="314"/>
        <v>0.0005872468164</v>
      </c>
      <c r="N135" s="28">
        <f t="shared" si="315"/>
        <v>0.001073536119</v>
      </c>
      <c r="O135" s="28">
        <f t="shared" si="316"/>
        <v>0.001193446493</v>
      </c>
      <c r="P135" s="28">
        <f t="shared" si="317"/>
        <v>0.1472734175</v>
      </c>
      <c r="Q135" s="6"/>
      <c r="R135" s="26">
        <f t="shared" si="7"/>
        <v>1</v>
      </c>
      <c r="S135" s="30">
        <f t="shared" si="8"/>
        <v>0</v>
      </c>
      <c r="T135" s="30">
        <f t="shared" ref="T135:U135" si="352">((F134+F135)/2)*T$25*($C135-$C134)</f>
        <v>0</v>
      </c>
      <c r="U135" s="30">
        <f t="shared" si="352"/>
        <v>0</v>
      </c>
      <c r="V135" s="30">
        <f t="shared" si="28"/>
        <v>0</v>
      </c>
      <c r="W135" s="30">
        <f t="shared" ref="W135:X135" si="353">((I134+I135)/2)*W$25*($C135-$C134)</f>
        <v>0</v>
      </c>
      <c r="X135" s="30">
        <f t="shared" si="353"/>
        <v>0</v>
      </c>
      <c r="Y135" s="30">
        <f t="shared" si="30"/>
        <v>0</v>
      </c>
      <c r="Z135" s="30">
        <f>(L135-OFFSET(L135,-IF(C135-C134&gt;i_Cos_Days,1,MIN(B135,i_Cos_Days)),0))*MIN(i_Cos_Days,($C135-$C134))</f>
        <v>0</v>
      </c>
      <c r="AA135" s="30">
        <f t="shared" si="31"/>
        <v>22.62175883</v>
      </c>
      <c r="AB135" s="30">
        <f t="shared" si="320"/>
        <v>25.32022966</v>
      </c>
      <c r="AC135" s="30">
        <f t="shared" si="321"/>
        <v>3.082194913</v>
      </c>
      <c r="AD135" s="30">
        <f t="shared" si="34"/>
        <v>0</v>
      </c>
      <c r="AE135" s="6"/>
      <c r="AF135" s="30">
        <f t="shared" si="11"/>
        <v>0.9994127532</v>
      </c>
      <c r="AG135" s="30" t="str">
        <f>MIN(1,SUM(OFFSET(E135,0,0,-i_Eve_ECG,1)))</f>
        <v>#VALUE!</v>
      </c>
      <c r="AH135" s="30" t="str">
        <f t="shared" si="12"/>
        <v>#VALUE!</v>
      </c>
      <c r="AI135" s="30" t="str">
        <f t="shared" si="13"/>
        <v>#VALUE!</v>
      </c>
      <c r="AJ135" s="30" t="str">
        <f>(AH135*(i_Adv_Fals/i_Adv_Alar)*i_Int_Kend_false)*AJ$25</f>
        <v>#VALUE!</v>
      </c>
      <c r="AK135" s="30" t="str">
        <f>(AH135*(i_Adv_Lead/i_Adv_Alar)*i_Int_Kend_leadsoff)*AK$25</f>
        <v>#VALUE!</v>
      </c>
      <c r="AL135" s="30">
        <f>((SUM(F134:J134)-((I134+J134)*(1-i_Bac_ICU)))+(SUM(F135:J135)-((I135+J135)*(1-i_Bac_ICU))))/2*(C135-C134)</f>
        <v>0</v>
      </c>
      <c r="AM135" s="30">
        <f>(((I134+J134)*(1-i_Bac_ICU))+((I135+J135)*(1-i_Bac_ICU))+K134+E134+E135+K135)/2*(C135-C134)</f>
        <v>0</v>
      </c>
      <c r="AN135" s="6"/>
      <c r="AO135" s="6"/>
      <c r="AP135" s="6"/>
      <c r="AQ135" s="6"/>
      <c r="AR135" s="6"/>
      <c r="AS135" s="6"/>
      <c r="AT135" s="6"/>
      <c r="AU135" s="6"/>
    </row>
    <row r="136" ht="14.25" customHeight="1">
      <c r="A136" s="6"/>
      <c r="B136" s="26">
        <f t="shared" si="304"/>
        <v>110</v>
      </c>
      <c r="C136" s="26">
        <f t="shared" si="305"/>
        <v>1825.7</v>
      </c>
      <c r="D136" s="26">
        <f t="shared" si="6"/>
        <v>5</v>
      </c>
      <c r="E136" s="28">
        <f t="shared" si="306"/>
        <v>0</v>
      </c>
      <c r="F136" s="28">
        <f t="shared" si="307"/>
        <v>0</v>
      </c>
      <c r="G136" s="28">
        <f t="shared" si="308"/>
        <v>0</v>
      </c>
      <c r="H136" s="28">
        <f t="shared" si="309"/>
        <v>0</v>
      </c>
      <c r="I136" s="28">
        <f t="shared" si="310"/>
        <v>0</v>
      </c>
      <c r="J136" s="28">
        <f t="shared" si="311"/>
        <v>0</v>
      </c>
      <c r="K136" s="28">
        <f t="shared" si="312"/>
        <v>0</v>
      </c>
      <c r="L136" s="28">
        <f t="shared" si="313"/>
        <v>0.8438722548</v>
      </c>
      <c r="M136" s="28">
        <f t="shared" si="314"/>
        <v>0.0005831008543</v>
      </c>
      <c r="N136" s="28">
        <f t="shared" si="315"/>
        <v>0.001065956955</v>
      </c>
      <c r="O136" s="28">
        <f t="shared" si="316"/>
        <v>0.001185020762</v>
      </c>
      <c r="P136" s="28">
        <f t="shared" si="317"/>
        <v>0.1532936666</v>
      </c>
      <c r="Q136" s="6"/>
      <c r="R136" s="26">
        <f t="shared" si="7"/>
        <v>1</v>
      </c>
      <c r="S136" s="30">
        <f t="shared" si="8"/>
        <v>0</v>
      </c>
      <c r="T136" s="30">
        <f t="shared" ref="T136:U136" si="354">((F135+F136)/2)*T$25*($C136-$C135)</f>
        <v>0</v>
      </c>
      <c r="U136" s="30">
        <f t="shared" si="354"/>
        <v>0</v>
      </c>
      <c r="V136" s="30">
        <f t="shared" si="28"/>
        <v>0</v>
      </c>
      <c r="W136" s="30">
        <f t="shared" ref="W136:X136" si="355">((I135+I136)/2)*W$25*($C136-$C135)</f>
        <v>0</v>
      </c>
      <c r="X136" s="30">
        <f t="shared" si="355"/>
        <v>0</v>
      </c>
      <c r="Y136" s="30">
        <f t="shared" si="30"/>
        <v>0</v>
      </c>
      <c r="Z136" s="30">
        <f>(L136-OFFSET(L136,-IF(C136-C135&gt;i_Cos_Days,1,MIN(B136,i_Cos_Days)),0))*MIN(i_Cos_Days,($C136-$C135))</f>
        <v>0</v>
      </c>
      <c r="AA136" s="30">
        <f t="shared" si="31"/>
        <v>22.46204923</v>
      </c>
      <c r="AB136" s="30">
        <f t="shared" si="320"/>
        <v>25.14146886</v>
      </c>
      <c r="AC136" s="30">
        <f t="shared" si="321"/>
        <v>3.060434619</v>
      </c>
      <c r="AD136" s="30">
        <f t="shared" si="34"/>
        <v>0</v>
      </c>
      <c r="AE136" s="6"/>
      <c r="AF136" s="30">
        <f t="shared" si="11"/>
        <v>0.9994168991</v>
      </c>
      <c r="AG136" s="30" t="str">
        <f>MIN(1,SUM(OFFSET(E136,0,0,-i_Eve_ECG,1)))</f>
        <v>#VALUE!</v>
      </c>
      <c r="AH136" s="30" t="str">
        <f t="shared" si="12"/>
        <v>#VALUE!</v>
      </c>
      <c r="AI136" s="30" t="str">
        <f t="shared" si="13"/>
        <v>#VALUE!</v>
      </c>
      <c r="AJ136" s="30" t="str">
        <f>(AH136*(i_Adv_Fals/i_Adv_Alar)*i_Int_Kend_false)*AJ$25</f>
        <v>#VALUE!</v>
      </c>
      <c r="AK136" s="30" t="str">
        <f>(AH136*(i_Adv_Lead/i_Adv_Alar)*i_Int_Kend_leadsoff)*AK$25</f>
        <v>#VALUE!</v>
      </c>
      <c r="AL136" s="30">
        <f>((SUM(F135:J135)-((I135+J135)*(1-i_Bac_ICU)))+(SUM(F136:J136)-((I136+J136)*(1-i_Bac_ICU))))/2*(C136-C135)</f>
        <v>0</v>
      </c>
      <c r="AM136" s="30">
        <f>(((I135+J135)*(1-i_Bac_ICU))+((I136+J136)*(1-i_Bac_ICU))+K135+E135+E136+K136)/2*(C136-C135)</f>
        <v>0</v>
      </c>
      <c r="AN136" s="6"/>
      <c r="AO136" s="6"/>
      <c r="AP136" s="6"/>
      <c r="AQ136" s="6"/>
      <c r="AR136" s="6"/>
      <c r="AS136" s="6"/>
      <c r="AT136" s="6"/>
      <c r="AU136" s="6"/>
    </row>
    <row r="137" ht="14.25" customHeight="1">
      <c r="A137" s="26"/>
      <c r="B137" s="26"/>
      <c r="C137" s="26"/>
      <c r="D137" s="26"/>
      <c r="E137" s="26"/>
      <c r="F137" s="26"/>
      <c r="G137" s="26"/>
      <c r="H137" s="26"/>
      <c r="I137" s="26"/>
      <c r="J137" s="26"/>
      <c r="K137" s="26"/>
      <c r="L137" s="26"/>
      <c r="M137" s="26"/>
      <c r="N137" s="26"/>
      <c r="O137" s="26"/>
      <c r="P137" s="26"/>
      <c r="Q137" s="6"/>
      <c r="R137" s="6"/>
      <c r="S137" s="6"/>
      <c r="T137" s="6"/>
      <c r="U137" s="6"/>
      <c r="V137" s="6"/>
      <c r="W137" s="6"/>
      <c r="X137" s="6"/>
      <c r="Y137" s="6"/>
      <c r="Z137" s="6"/>
      <c r="AA137" s="6"/>
      <c r="AB137" s="6"/>
      <c r="AC137" s="6"/>
      <c r="AD137" s="6"/>
      <c r="AE137" s="6"/>
      <c r="AF137" s="6"/>
      <c r="AG137" s="6"/>
      <c r="AH137" s="6"/>
      <c r="AI137" s="6"/>
      <c r="AJ137" s="6"/>
      <c r="AK137" s="6"/>
      <c r="AM137" s="6"/>
      <c r="AN137" s="6"/>
      <c r="AO137" s="6"/>
      <c r="AP137" s="6"/>
      <c r="AQ137" s="6"/>
      <c r="AR137" s="6"/>
      <c r="AS137" s="6"/>
      <c r="AT137" s="6"/>
      <c r="AU137" s="6"/>
    </row>
    <row r="138" ht="14.25" customHeight="1">
      <c r="A138" s="26"/>
      <c r="B138" s="26"/>
      <c r="C138" s="26"/>
      <c r="D138" s="26"/>
      <c r="E138" s="26"/>
      <c r="F138" s="26"/>
      <c r="G138" s="26"/>
      <c r="H138" s="26"/>
      <c r="I138" s="26"/>
      <c r="J138" s="26"/>
      <c r="K138" s="26"/>
      <c r="L138" s="26"/>
      <c r="M138" s="26"/>
      <c r="N138" s="26"/>
      <c r="O138" s="26"/>
      <c r="P138" s="2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row>
    <row r="139" ht="14.25" customHeight="1">
      <c r="A139" s="26"/>
      <c r="B139" s="26"/>
      <c r="C139" s="26"/>
      <c r="D139" s="26"/>
      <c r="E139" s="26"/>
      <c r="F139" s="26"/>
      <c r="G139" s="26"/>
      <c r="H139" s="26"/>
      <c r="I139" s="26"/>
      <c r="J139" s="26"/>
      <c r="K139" s="26"/>
      <c r="L139" s="26"/>
      <c r="M139" s="26"/>
      <c r="N139" s="26"/>
      <c r="O139" s="26"/>
      <c r="P139" s="2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row>
    <row r="140" ht="14.25" customHeight="1">
      <c r="A140" s="26"/>
      <c r="B140" s="26"/>
      <c r="C140" s="26"/>
      <c r="D140" s="26"/>
      <c r="E140" s="26"/>
      <c r="F140" s="26"/>
      <c r="G140" s="26"/>
      <c r="H140" s="26"/>
      <c r="I140" s="26"/>
      <c r="J140" s="26"/>
      <c r="K140" s="26"/>
      <c r="L140" s="26"/>
      <c r="M140" s="26"/>
      <c r="N140" s="26"/>
      <c r="O140" s="26"/>
      <c r="P140" s="2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row>
    <row r="141" ht="14.25" customHeight="1">
      <c r="A141" s="26"/>
      <c r="B141" s="26"/>
      <c r="C141" s="26"/>
      <c r="D141" s="26"/>
      <c r="E141" s="26"/>
      <c r="F141" s="26"/>
      <c r="G141" s="26"/>
      <c r="H141" s="26"/>
      <c r="I141" s="26"/>
      <c r="J141" s="26"/>
      <c r="K141" s="26"/>
      <c r="L141" s="26"/>
      <c r="M141" s="26"/>
      <c r="N141" s="26"/>
      <c r="O141" s="26"/>
      <c r="P141" s="2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row>
    <row r="142" ht="14.25" customHeight="1">
      <c r="A142" s="26"/>
      <c r="B142" s="26"/>
      <c r="C142" s="26"/>
      <c r="D142" s="26" t="s">
        <v>456</v>
      </c>
      <c r="E142" s="26">
        <f t="shared" ref="E142:P142" si="356">SUM(E26:E117)</f>
        <v>1.01224515</v>
      </c>
      <c r="F142" s="26">
        <f t="shared" si="356"/>
        <v>0.8999165495</v>
      </c>
      <c r="G142" s="26">
        <f t="shared" si="356"/>
        <v>0.286803886</v>
      </c>
      <c r="H142" s="26">
        <f t="shared" si="356"/>
        <v>1.052954975</v>
      </c>
      <c r="I142" s="26">
        <f t="shared" si="356"/>
        <v>0.1205905166</v>
      </c>
      <c r="J142" s="26">
        <f t="shared" si="356"/>
        <v>0.1859898201</v>
      </c>
      <c r="K142" s="26">
        <f t="shared" si="356"/>
        <v>5.944043731</v>
      </c>
      <c r="L142" s="26">
        <f t="shared" si="356"/>
        <v>73.23521922</v>
      </c>
      <c r="M142" s="26">
        <f t="shared" si="356"/>
        <v>6.437949646</v>
      </c>
      <c r="N142" s="26">
        <f t="shared" si="356"/>
        <v>0.2560184464</v>
      </c>
      <c r="O142" s="26">
        <f t="shared" si="356"/>
        <v>0.2032785119</v>
      </c>
      <c r="P142" s="26">
        <f t="shared" si="356"/>
        <v>2.364989547</v>
      </c>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row>
    <row r="143" ht="14.25" customHeight="1">
      <c r="A143" s="26"/>
      <c r="B143" s="26"/>
      <c r="C143" s="26"/>
      <c r="D143" s="26" t="s">
        <v>457</v>
      </c>
      <c r="E143" s="26">
        <f t="shared" ref="E143:P143" si="357">E142/SUM($E$142:$P$142)*100</f>
        <v>1.100266467</v>
      </c>
      <c r="F143" s="26">
        <f t="shared" si="357"/>
        <v>0.9781701625</v>
      </c>
      <c r="G143" s="26">
        <f t="shared" si="357"/>
        <v>0.3117433543</v>
      </c>
      <c r="H143" s="26">
        <f t="shared" si="357"/>
        <v>1.144516277</v>
      </c>
      <c r="I143" s="26">
        <f t="shared" si="357"/>
        <v>0.1310766485</v>
      </c>
      <c r="J143" s="26">
        <f t="shared" si="357"/>
        <v>0.2021628479</v>
      </c>
      <c r="K143" s="26">
        <f t="shared" si="357"/>
        <v>6.460917099</v>
      </c>
      <c r="L143" s="26">
        <f t="shared" si="357"/>
        <v>79.60349915</v>
      </c>
      <c r="M143" s="26">
        <f t="shared" si="357"/>
        <v>6.997771355</v>
      </c>
      <c r="N143" s="26">
        <f t="shared" si="357"/>
        <v>0.27828092</v>
      </c>
      <c r="O143" s="26">
        <f t="shared" si="357"/>
        <v>0.2209549043</v>
      </c>
      <c r="P143" s="26">
        <f t="shared" si="357"/>
        <v>2.570640812</v>
      </c>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row>
    <row r="144" ht="14.25" customHeight="1">
      <c r="A144" s="26"/>
      <c r="B144" s="26"/>
      <c r="C144" s="26"/>
      <c r="D144" s="26"/>
      <c r="E144" s="26"/>
      <c r="F144" s="26"/>
      <c r="G144" s="26"/>
      <c r="H144" s="26"/>
      <c r="I144" s="26"/>
      <c r="J144" s="26"/>
      <c r="K144" s="26"/>
      <c r="L144" s="26"/>
      <c r="M144" s="26"/>
      <c r="N144" s="26"/>
      <c r="O144" s="26"/>
      <c r="P144" s="2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row>
  </sheetData>
  <mergeCells count="3">
    <mergeCell ref="C1:V1"/>
    <mergeCell ref="C2:V2"/>
    <mergeCell ref="G4:W4"/>
  </mergeCells>
  <conditionalFormatting sqref="S22:AD22">
    <cfRule type="colorScale" priority="1">
      <colorScale>
        <cfvo type="min"/>
        <cfvo type="percentile" val="50"/>
        <cfvo type="max"/>
        <color rgb="FFF8696B"/>
        <color rgb="FFFFEB84"/>
        <color rgb="FF63BE7B"/>
      </colorScale>
    </cfRule>
  </conditionalFormatting>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21.0"/>
    <col customWidth="1" min="2" max="2" width="8.63"/>
    <col customWidth="1" min="3" max="4" width="15.88"/>
    <col customWidth="1" min="5" max="9" width="19.88"/>
    <col customWidth="1" min="10" max="10" width="8.63"/>
    <col customWidth="1" min="11" max="11" width="15.0"/>
    <col customWidth="1" min="12" max="13" width="8.63"/>
    <col customWidth="1" min="14" max="14" width="10.38"/>
    <col customWidth="1" min="15" max="15" width="13.5"/>
    <col customWidth="1" min="16" max="16" width="8.63"/>
    <col customWidth="1" min="17" max="17" width="14.5"/>
    <col customWidth="1" min="18" max="18" width="11.63"/>
    <col customWidth="1" min="19"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2"/>
      <c r="Y1" s="2"/>
      <c r="Z1" s="6"/>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8"/>
      <c r="Y2" s="8"/>
      <c r="Z2" s="6"/>
      <c r="AA2" s="6"/>
    </row>
    <row r="3" ht="14.25" customHeight="1">
      <c r="A3" s="12"/>
      <c r="B3" s="26"/>
      <c r="C3" s="26"/>
      <c r="D3" s="26"/>
      <c r="E3" s="26"/>
      <c r="F3" s="26"/>
      <c r="G3" s="26"/>
      <c r="H3" s="26"/>
      <c r="I3" s="26"/>
      <c r="J3" s="26"/>
      <c r="K3" s="26"/>
      <c r="L3" s="26"/>
      <c r="M3" s="26"/>
      <c r="N3" s="26"/>
      <c r="O3" s="26"/>
      <c r="P3" s="26"/>
      <c r="Q3" s="26"/>
      <c r="R3" s="26"/>
      <c r="S3" s="26"/>
      <c r="T3" s="26"/>
      <c r="U3" s="26"/>
      <c r="V3" s="26"/>
      <c r="W3" s="26"/>
      <c r="X3" s="26"/>
      <c r="Y3" s="26"/>
      <c r="Z3" s="6"/>
      <c r="AA3" s="6"/>
    </row>
    <row r="4" ht="21.0" customHeight="1">
      <c r="A4" s="13" t="s">
        <v>2</v>
      </c>
      <c r="B4" s="14"/>
      <c r="C4" s="15" t="s">
        <v>287</v>
      </c>
      <c r="D4" s="15"/>
      <c r="E4" s="15"/>
      <c r="F4" s="16" t="s">
        <v>288</v>
      </c>
      <c r="G4" s="17"/>
      <c r="H4" s="17"/>
      <c r="I4" s="17"/>
      <c r="J4" s="17"/>
      <c r="K4" s="17"/>
      <c r="L4" s="17"/>
      <c r="M4" s="17"/>
      <c r="N4" s="17"/>
      <c r="O4" s="17"/>
      <c r="P4" s="17"/>
      <c r="Q4" s="17"/>
      <c r="R4" s="17"/>
      <c r="S4" s="17"/>
      <c r="T4" s="17"/>
      <c r="U4" s="17"/>
      <c r="V4" s="18"/>
      <c r="W4" s="14"/>
      <c r="X4" s="14"/>
      <c r="Y4" s="14"/>
      <c r="Z4" s="6"/>
      <c r="AA4" s="6"/>
    </row>
    <row r="5" ht="14.25" customHeight="1">
      <c r="A5" s="12"/>
      <c r="B5" s="26"/>
      <c r="C5" s="26"/>
      <c r="D5" s="26" t="s">
        <v>35</v>
      </c>
      <c r="E5" s="21" t="s">
        <v>138</v>
      </c>
      <c r="F5" s="26"/>
      <c r="G5" s="26"/>
      <c r="H5" s="26"/>
      <c r="I5" s="26"/>
      <c r="J5" s="26"/>
      <c r="K5" s="26"/>
      <c r="L5" s="26"/>
      <c r="M5" s="26"/>
      <c r="N5" s="26"/>
      <c r="O5" s="26"/>
      <c r="P5" s="26"/>
      <c r="Q5" s="26"/>
      <c r="R5" s="26"/>
      <c r="S5" s="26"/>
      <c r="T5" s="26"/>
      <c r="U5" s="26"/>
      <c r="V5" s="26"/>
      <c r="W5" s="26"/>
      <c r="X5" s="26"/>
      <c r="Y5" s="26"/>
      <c r="Z5" s="6"/>
      <c r="AA5" s="6"/>
    </row>
    <row r="6" ht="14.25" customHeight="1">
      <c r="A6" s="19" t="s">
        <v>7</v>
      </c>
      <c r="B6" s="6"/>
      <c r="C6" s="21" t="s">
        <v>179</v>
      </c>
      <c r="D6" s="26" t="s">
        <v>57</v>
      </c>
      <c r="E6" s="6">
        <v>1.0</v>
      </c>
      <c r="F6" s="53">
        <v>2.0</v>
      </c>
      <c r="G6" s="26">
        <v>3.0</v>
      </c>
      <c r="H6" s="53">
        <v>4.0</v>
      </c>
      <c r="I6" s="26">
        <v>5.0</v>
      </c>
      <c r="J6" s="26"/>
      <c r="K6" s="6"/>
      <c r="L6" s="6"/>
      <c r="M6" s="6" t="s">
        <v>179</v>
      </c>
      <c r="N6" s="6" t="s">
        <v>431</v>
      </c>
      <c r="O6" s="6" t="s">
        <v>432</v>
      </c>
      <c r="P6" s="6"/>
      <c r="Q6" s="6"/>
      <c r="R6" s="6"/>
      <c r="S6" s="6"/>
      <c r="T6" s="6"/>
      <c r="U6" s="6"/>
      <c r="V6" s="6"/>
      <c r="W6" s="6"/>
      <c r="X6" s="6"/>
      <c r="Y6" s="6"/>
      <c r="Z6" s="6"/>
      <c r="AA6" s="6"/>
    </row>
    <row r="7" ht="14.25" customHeight="1">
      <c r="A7" s="12"/>
      <c r="B7" s="6"/>
      <c r="C7" s="6">
        <v>0.5</v>
      </c>
      <c r="D7" s="26">
        <f>i_Int_Kend_MS</f>
        <v>0</v>
      </c>
      <c r="E7" s="49" t="str">
        <f>Markov!$AQ25*(1-('Results summary'!D7/100))+MarkovKendall!$AQ25*('Results summary'!D7/100)</f>
        <v>#VALUE!</v>
      </c>
      <c r="F7" s="84"/>
      <c r="G7" s="84"/>
      <c r="H7" s="84"/>
      <c r="I7" s="84"/>
      <c r="J7" s="26"/>
      <c r="K7" s="26"/>
      <c r="L7" s="26" t="s">
        <v>35</v>
      </c>
      <c r="M7" s="6">
        <f>i_Set_Time</f>
        <v>1</v>
      </c>
      <c r="N7" s="84" t="str">
        <f>SUM(OFFSET(E7,0,0,ROUNDDOWN(1+M7,0),ROUNDDOWN(1+M7-0.5,0)))</f>
        <v>#VALUE!</v>
      </c>
      <c r="O7" s="84" t="str">
        <f>SUM(OFFSET(E17,0,0,ROUNDDOWN(1+M7,0),ROUNDDOWN(1+M7-0.5,0)))</f>
        <v>#VALUE!</v>
      </c>
      <c r="P7" s="26"/>
      <c r="Q7" s="55"/>
      <c r="R7" s="89"/>
      <c r="S7" s="6"/>
      <c r="T7" s="6"/>
      <c r="U7" s="6"/>
      <c r="V7" s="6"/>
      <c r="W7" s="6"/>
      <c r="X7" s="6"/>
      <c r="Y7" s="6"/>
      <c r="Z7" s="6"/>
      <c r="AA7" s="6"/>
    </row>
    <row r="8" ht="14.25" customHeight="1">
      <c r="A8" s="19" t="s">
        <v>4</v>
      </c>
      <c r="B8" s="6"/>
      <c r="C8" s="26">
        <v>1.0</v>
      </c>
      <c r="D8" s="26">
        <f>i_Int_Kend_MS</f>
        <v>0</v>
      </c>
      <c r="E8" s="49">
        <f>Markov!$AQ26*(1-('Results summary'!D8/100))+MarkovKendall!$AQ26*('Results summary'!D8/100)</f>
        <v>70034.36233</v>
      </c>
      <c r="F8" s="6"/>
      <c r="G8" s="6"/>
      <c r="H8" s="6"/>
      <c r="I8" s="6"/>
      <c r="J8" s="26"/>
      <c r="K8" s="53"/>
      <c r="L8" s="90" t="s">
        <v>143</v>
      </c>
      <c r="M8" s="90"/>
      <c r="N8" s="56">
        <f>OFFSET(E30,ROUNDDOWN(i_Set_Time,0),0)</f>
        <v>471.756562</v>
      </c>
      <c r="O8" s="91">
        <f>OFFSET(E40,ROUNDDOWN(i_Set_Time,0),0)</f>
        <v>467.5611237</v>
      </c>
      <c r="P8" s="6"/>
      <c r="Q8" s="6"/>
      <c r="R8" s="6"/>
      <c r="S8" s="6"/>
      <c r="T8" s="6"/>
      <c r="U8" s="6"/>
      <c r="V8" s="6"/>
      <c r="W8" s="6"/>
      <c r="X8" s="6"/>
      <c r="Y8" s="6"/>
      <c r="Z8" s="6"/>
      <c r="AA8" s="6"/>
    </row>
    <row r="9" ht="14.25" customHeight="1">
      <c r="A9" s="12"/>
      <c r="B9" s="6"/>
      <c r="C9" s="26">
        <v>2.0</v>
      </c>
      <c r="D9" s="26">
        <f>i_Int_Kend_MS</f>
        <v>0</v>
      </c>
      <c r="E9" s="49">
        <f>Markov!$AQ27*(1-('Results summary'!D9/100))+MarkovKendall!$AQ27*('Results summary'!D9/100)</f>
        <v>58182.64443</v>
      </c>
      <c r="F9" s="84" t="str">
        <f>Markov!AR25*(1-('Results summary'!$D7/100))+MarkovKendall!AR25*('Results summary'!$D7/100)+Markov!AR26*(1-('Results summary'!$D8/100))+MarkovKendall!AR26*('Results summary'!$D8/100)</f>
        <v>#VALUE!</v>
      </c>
      <c r="G9" s="6"/>
      <c r="H9" s="6"/>
      <c r="I9" s="84"/>
      <c r="J9" s="26"/>
      <c r="K9" s="53"/>
      <c r="L9" s="90" t="s">
        <v>146</v>
      </c>
      <c r="M9" s="90"/>
      <c r="N9" s="93">
        <f>SUM(OFFSET(I30,0,0,ROUNDDOWN(1+M7,0),ROUNDDOWN(1+M7-0.5,0)))</f>
        <v>4.920613921</v>
      </c>
      <c r="O9" s="93">
        <f>SUM(OFFSET(I40,0,0,ROUNDDOWN(1+M7,0),ROUNDDOWN(1+M7-0.5,0)))</f>
        <v>3.6535426</v>
      </c>
      <c r="P9" s="6"/>
      <c r="Q9" s="6"/>
      <c r="R9" s="6"/>
      <c r="S9" s="6"/>
      <c r="T9" s="6"/>
      <c r="U9" s="6"/>
      <c r="V9" s="6"/>
      <c r="W9" s="6"/>
      <c r="X9" s="6"/>
      <c r="Y9" s="6"/>
      <c r="Z9" s="6"/>
      <c r="AA9" s="6"/>
    </row>
    <row r="10" ht="14.25" customHeight="1">
      <c r="A10" s="19" t="s">
        <v>3</v>
      </c>
      <c r="B10" s="6"/>
      <c r="C10" s="26">
        <v>3.0</v>
      </c>
      <c r="D10" s="26">
        <f>i_Int_Kend_MS</f>
        <v>0</v>
      </c>
      <c r="E10" s="49">
        <f>Markov!$AQ28*(1-('Results summary'!D10/100))+MarkovKendall!$AQ28*('Results summary'!D10/100)</f>
        <v>54434.51562</v>
      </c>
      <c r="F10" s="84">
        <f>Markov!AR27*(1-('Results summary'!$D9/100))+MarkovKendall!AR27*('Results summary'!$D9/100)</f>
        <v>56146.25188</v>
      </c>
      <c r="G10" s="84" t="str">
        <f>Markov!AS25*(1-('Results summary'!$D7/100))+MarkovKendall!AS25*('Results summary'!$D7/100)+Markov!AS26*(1-('Results summary'!$D8/100))+MarkovKendall!AS26*('Results summary'!$D8/100)</f>
        <v>#VALUE!</v>
      </c>
      <c r="H10" s="84"/>
      <c r="I10" s="84"/>
      <c r="J10" s="26"/>
      <c r="K10" s="53"/>
      <c r="L10" s="90" t="s">
        <v>144</v>
      </c>
      <c r="M10" s="90"/>
      <c r="N10" s="94">
        <f>OFFSET(E50,ROUNDDOWN(i_Set_Time,0),0)</f>
        <v>2061.632993</v>
      </c>
      <c r="O10" s="95">
        <f>OFFSET(E60,ROUNDDOWN(i_Set_Time,0),0)</f>
        <v>2036.012615</v>
      </c>
      <c r="P10" s="6"/>
      <c r="Q10" s="6"/>
      <c r="R10" s="6"/>
      <c r="S10" s="6"/>
      <c r="T10" s="6"/>
      <c r="U10" s="6"/>
      <c r="V10" s="6"/>
      <c r="W10" s="6"/>
      <c r="X10" s="6"/>
      <c r="Y10" s="6"/>
      <c r="Z10" s="6"/>
      <c r="AA10" s="6"/>
    </row>
    <row r="11" ht="14.25" customHeight="1">
      <c r="A11" s="12"/>
      <c r="B11" s="6"/>
      <c r="C11" s="26">
        <v>4.0</v>
      </c>
      <c r="D11" s="26">
        <f>i_Int_Kend_MS</f>
        <v>0</v>
      </c>
      <c r="E11" s="49" t="str">
        <f>Markov!$AQ29*(1-('Results summary'!D11/100))+MarkovKendall!$AQ29*('Results summary'!D11/100)</f>
        <v>#VALUE!</v>
      </c>
      <c r="F11" s="84">
        <f>Markov!AR28*(1-('Results summary'!$D10/100))+MarkovKendall!AR28*('Results summary'!$D10/100)</f>
        <v>52529.30757</v>
      </c>
      <c r="G11" s="84">
        <f>Markov!AS27*(1-('Results summary'!$D9/100))+MarkovKendall!AS27*('Results summary'!$D9/100)</f>
        <v>54181.13306</v>
      </c>
      <c r="H11" s="84" t="str">
        <f>Markov!AT25*(1-('Results summary'!$D7/100))+MarkovKendall!AT25*('Results summary'!$D7/100)+Markov!AT26*(1-('Results summary'!$D8/100))+MarkovKendall!AT26*('Results summary'!$D8/100)</f>
        <v>#VALUE!</v>
      </c>
      <c r="I11" s="84"/>
      <c r="J11" s="26"/>
      <c r="K11" s="53"/>
      <c r="L11" s="90"/>
      <c r="M11" s="90"/>
      <c r="N11" s="26"/>
      <c r="O11" s="6"/>
      <c r="P11" s="6"/>
      <c r="Q11" s="6"/>
      <c r="R11" s="6"/>
      <c r="S11" s="6"/>
      <c r="T11" s="6"/>
      <c r="U11" s="6"/>
      <c r="V11" s="6"/>
      <c r="W11" s="6"/>
      <c r="X11" s="6"/>
      <c r="Y11" s="6"/>
      <c r="Z11" s="6"/>
      <c r="AA11" s="6"/>
    </row>
    <row r="12" ht="14.25" customHeight="1">
      <c r="A12" s="60" t="s">
        <v>22</v>
      </c>
      <c r="B12" s="6"/>
      <c r="C12" s="26">
        <v>5.0</v>
      </c>
      <c r="D12" s="26">
        <f>i_Int_Kend_MS</f>
        <v>0</v>
      </c>
      <c r="E12" s="49" t="str">
        <f>Markov!$AQ30*(1-('Results summary'!D12/100))+MarkovKendall!$AQ30*('Results summary'!D12/100)</f>
        <v>#VALUE!</v>
      </c>
      <c r="F12" s="84" t="str">
        <f>Markov!AR29*(1-('Results summary'!$D11/100))+MarkovKendall!AR29*('Results summary'!$D11/100)</f>
        <v>#VALUE!</v>
      </c>
      <c r="G12" s="84">
        <f>Markov!AS28*(1-('Results summary'!$D10/100))+MarkovKendall!AS28*('Results summary'!$D10/100)</f>
        <v>50690.78181</v>
      </c>
      <c r="H12" s="84">
        <f>Markov!AT27*(1-('Results summary'!$D9/100))+MarkovKendall!AT27*('Results summary'!$D9/100)</f>
        <v>52284.7934</v>
      </c>
      <c r="I12" s="84" t="str">
        <f>Markov!AU25*(1-('Results summary'!$D7/100))+MarkovKendall!AU25*('Results summary'!$D7/100)+Markov!AU26*(1-('Results summary'!$D8/100))+MarkovKendall!AU26*('Results summary'!$D8/100)</f>
        <v>#VALUE!</v>
      </c>
      <c r="J12" s="26"/>
      <c r="K12" s="53"/>
      <c r="L12" s="90"/>
      <c r="M12" s="90"/>
      <c r="N12" s="26"/>
      <c r="O12" s="6"/>
      <c r="P12" s="6"/>
      <c r="Q12" s="6"/>
      <c r="R12" s="6"/>
      <c r="S12" s="6"/>
      <c r="T12" s="6"/>
      <c r="U12" s="6"/>
      <c r="V12" s="6"/>
      <c r="W12" s="6"/>
      <c r="X12" s="6"/>
      <c r="Y12" s="6"/>
      <c r="Z12" s="6"/>
      <c r="AA12" s="6"/>
    </row>
    <row r="13" ht="14.25" customHeight="1">
      <c r="A13" s="12"/>
      <c r="B13" s="6"/>
      <c r="C13" s="26"/>
      <c r="D13" s="26"/>
      <c r="E13" s="49"/>
      <c r="F13" s="49"/>
      <c r="G13" s="49"/>
      <c r="H13" s="49"/>
      <c r="I13" s="49"/>
      <c r="J13" s="26"/>
      <c r="K13" s="53"/>
      <c r="L13" s="90"/>
      <c r="M13" s="90"/>
      <c r="N13" s="26"/>
      <c r="O13" s="6"/>
      <c r="P13" s="6"/>
      <c r="Q13" s="6"/>
      <c r="R13" s="6"/>
      <c r="S13" s="6"/>
      <c r="T13" s="6"/>
      <c r="U13" s="6"/>
      <c r="V13" s="6"/>
      <c r="W13" s="6"/>
      <c r="X13" s="6"/>
      <c r="Y13" s="6"/>
      <c r="Z13" s="6"/>
      <c r="AA13" s="6"/>
    </row>
    <row r="14" ht="14.25" customHeight="1">
      <c r="A14" s="60" t="s">
        <v>27</v>
      </c>
      <c r="B14" s="6"/>
      <c r="C14" s="26"/>
      <c r="D14" s="26"/>
      <c r="E14" s="49"/>
      <c r="F14" s="49"/>
      <c r="G14" s="49"/>
      <c r="H14" s="49"/>
      <c r="I14" s="49"/>
      <c r="J14" s="26"/>
      <c r="K14" s="53"/>
      <c r="L14" s="90"/>
      <c r="M14" s="90"/>
      <c r="N14" s="26"/>
      <c r="O14" s="6"/>
      <c r="P14" s="6"/>
      <c r="Q14" s="6"/>
      <c r="R14" s="6"/>
      <c r="S14" s="6"/>
      <c r="T14" s="6"/>
      <c r="U14" s="6"/>
      <c r="V14" s="6"/>
      <c r="W14" s="6"/>
      <c r="X14" s="6"/>
      <c r="Y14" s="6"/>
      <c r="Z14" s="6"/>
      <c r="AA14" s="6"/>
    </row>
    <row r="15" ht="14.25" customHeight="1">
      <c r="A15" s="12"/>
      <c r="B15" s="6"/>
      <c r="C15" s="6" t="s">
        <v>35</v>
      </c>
      <c r="D15" s="49" t="s">
        <v>139</v>
      </c>
      <c r="E15" s="26">
        <f>MIN(100,i_Int_Kend_MS+(i_Int_Kend_MS_inc*ROUNDUP(E16,0)))</f>
        <v>100</v>
      </c>
      <c r="F15" s="26">
        <f>MIN(100,i_Int_Kend_MS+(i_Int_Kend_MS_inc*ROUNDUP(F16,0)))</f>
        <v>100</v>
      </c>
      <c r="G15" s="26">
        <f>MIN(100,i_Int_Kend_MS+(i_Int_Kend_MS_inc*ROUNDUP(G16,0)))</f>
        <v>100</v>
      </c>
      <c r="H15" s="26">
        <f>MIN(100,i_Int_Kend_MS+(i_Int_Kend_MS_inc*ROUNDUP(H16,0)))</f>
        <v>100</v>
      </c>
      <c r="I15" s="26">
        <f>MIN(100,i_Int_Kend_MS+(i_Int_Kend_MS_inc*ROUNDUP(I16,0)))</f>
        <v>100</v>
      </c>
      <c r="J15" s="26"/>
      <c r="K15" s="53"/>
      <c r="L15" s="90"/>
      <c r="M15" s="90"/>
      <c r="N15" s="26"/>
      <c r="O15" s="6"/>
      <c r="P15" s="6"/>
      <c r="Q15" s="6"/>
      <c r="R15" s="6"/>
      <c r="S15" s="6"/>
      <c r="T15" s="6"/>
      <c r="U15" s="6"/>
      <c r="V15" s="6"/>
      <c r="W15" s="6"/>
      <c r="X15" s="6"/>
      <c r="Y15" s="6"/>
      <c r="Z15" s="6"/>
      <c r="AA15" s="6"/>
    </row>
    <row r="16" ht="14.25" customHeight="1">
      <c r="A16" s="60" t="s">
        <v>35</v>
      </c>
      <c r="B16" s="6"/>
      <c r="C16" s="6"/>
      <c r="D16" s="26" t="s">
        <v>57</v>
      </c>
      <c r="E16" s="84">
        <v>1.0</v>
      </c>
      <c r="F16" s="49">
        <v>2.0</v>
      </c>
      <c r="G16" s="49">
        <v>3.0</v>
      </c>
      <c r="H16" s="49">
        <v>4.0</v>
      </c>
      <c r="I16" s="49">
        <v>5.0</v>
      </c>
      <c r="J16" s="26"/>
      <c r="K16" s="53"/>
      <c r="L16" s="90"/>
      <c r="M16" s="90"/>
      <c r="N16" s="26"/>
      <c r="O16" s="6"/>
      <c r="P16" s="6"/>
      <c r="Q16" s="6"/>
      <c r="R16" s="6"/>
      <c r="S16" s="6"/>
      <c r="T16" s="6"/>
      <c r="U16" s="6"/>
      <c r="V16" s="6"/>
      <c r="W16" s="6"/>
      <c r="X16" s="6"/>
      <c r="Y16" s="6"/>
      <c r="Z16" s="6"/>
      <c r="AA16" s="6"/>
    </row>
    <row r="17" ht="14.25" customHeight="1">
      <c r="A17" s="12"/>
      <c r="B17" s="6"/>
      <c r="C17" s="6">
        <v>0.5</v>
      </c>
      <c r="D17" s="6"/>
      <c r="E17" s="49" t="str">
        <f>Markov!AQ25*(1-('Results summary'!E$15/100))+MarkovKendall!AQ25*('Results summary'!E$15/100)</f>
        <v>#VALUE!</v>
      </c>
      <c r="F17" s="49"/>
      <c r="G17" s="49"/>
      <c r="H17" s="49"/>
      <c r="I17" s="49"/>
      <c r="J17" s="26"/>
      <c r="K17" s="53"/>
      <c r="L17" s="90"/>
      <c r="M17" s="90"/>
      <c r="N17" s="26"/>
      <c r="O17" s="6"/>
      <c r="P17" s="6"/>
      <c r="Q17" s="6"/>
      <c r="R17" s="6"/>
      <c r="S17" s="6"/>
      <c r="T17" s="6"/>
      <c r="U17" s="6"/>
      <c r="V17" s="6"/>
      <c r="W17" s="6"/>
      <c r="X17" s="6"/>
      <c r="Y17" s="6"/>
      <c r="Z17" s="6"/>
      <c r="AA17" s="6"/>
    </row>
    <row r="18" ht="14.25" customHeight="1">
      <c r="A18" s="60" t="s">
        <v>38</v>
      </c>
      <c r="B18" s="6"/>
      <c r="C18" s="26">
        <v>1.0</v>
      </c>
      <c r="D18" s="26"/>
      <c r="E18" s="49">
        <f>Markov!AQ26*(1-('Results summary'!E$15/100))+MarkovKendall!AQ26*('Results summary'!E$15/100)</f>
        <v>57125.97984</v>
      </c>
      <c r="F18" s="6"/>
      <c r="G18" s="6"/>
      <c r="H18" s="6"/>
      <c r="I18" s="6"/>
      <c r="J18" s="26"/>
      <c r="K18" s="53"/>
      <c r="L18" s="90"/>
      <c r="M18" s="90"/>
      <c r="N18" s="26"/>
      <c r="O18" s="6"/>
      <c r="P18" s="6"/>
      <c r="Q18" s="6"/>
      <c r="R18" s="6"/>
      <c r="S18" s="6"/>
      <c r="T18" s="6"/>
      <c r="U18" s="6"/>
      <c r="V18" s="6"/>
      <c r="W18" s="6"/>
      <c r="X18" s="6"/>
      <c r="Y18" s="6"/>
      <c r="Z18" s="6"/>
      <c r="AA18" s="6"/>
    </row>
    <row r="19" ht="14.25" customHeight="1">
      <c r="A19" s="12"/>
      <c r="B19" s="6"/>
      <c r="C19" s="26">
        <v>2.0</v>
      </c>
      <c r="D19" s="26"/>
      <c r="E19" s="49">
        <f>Markov!AQ27*(1-('Results summary'!E$15/100))+MarkovKendall!AQ27*('Results summary'!E$15/100)</f>
        <v>43191.38959</v>
      </c>
      <c r="F19" s="49" t="str">
        <f>Markov!AR25*(1-('Results summary'!F$15/100))+MarkovKendall!AR25*('Results summary'!F$15/100)+Markov!AR26*(1-('Results summary'!F$15/100))+MarkovKendall!AR26*('Results summary'!F$15/100)</f>
        <v>#VALUE!</v>
      </c>
      <c r="G19" s="6"/>
      <c r="H19" s="6"/>
      <c r="I19" s="49"/>
      <c r="J19" s="26"/>
      <c r="K19" s="53"/>
      <c r="L19" s="90"/>
      <c r="M19" s="90"/>
      <c r="N19" s="26"/>
      <c r="O19" s="6"/>
      <c r="P19" s="6"/>
      <c r="Q19" s="6"/>
      <c r="R19" s="6"/>
      <c r="S19" s="6"/>
      <c r="T19" s="6"/>
      <c r="U19" s="6"/>
      <c r="V19" s="6"/>
      <c r="W19" s="6"/>
      <c r="X19" s="6"/>
      <c r="Y19" s="6"/>
      <c r="Z19" s="6"/>
      <c r="AA19" s="6"/>
    </row>
    <row r="20" ht="14.25" customHeight="1">
      <c r="A20" s="60" t="s">
        <v>183</v>
      </c>
      <c r="B20" s="6"/>
      <c r="C20" s="26">
        <v>3.0</v>
      </c>
      <c r="D20" s="26"/>
      <c r="E20" s="49">
        <f>Markov!AQ28*(1-('Results summary'!E$15/100))+MarkovKendall!AQ28*('Results summary'!E$15/100)</f>
        <v>40372.78842</v>
      </c>
      <c r="F20" s="49">
        <f>Markov!AR27*(1-('Results summary'!F$15/100))+MarkovKendall!AR27*('Results summary'!F$15/100)</f>
        <v>41679.69096</v>
      </c>
      <c r="G20" s="49" t="str">
        <f>Markov!AS25*(1-('Results summary'!G$15/100))+MarkovKendall!AS25*('Results summary'!G$15/100)+Markov!AS26*(1-('Results summary'!G$15/100))+MarkovKendall!AS26*('Results summary'!G$15/100)</f>
        <v>#VALUE!</v>
      </c>
      <c r="H20" s="49"/>
      <c r="I20" s="49"/>
      <c r="J20" s="26"/>
      <c r="K20" s="53"/>
      <c r="L20" s="90"/>
      <c r="M20" s="90"/>
      <c r="N20" s="26"/>
      <c r="O20" s="6"/>
      <c r="P20" s="6"/>
      <c r="Q20" s="6"/>
      <c r="R20" s="6"/>
      <c r="S20" s="6"/>
      <c r="T20" s="6"/>
      <c r="U20" s="6"/>
      <c r="V20" s="6"/>
      <c r="W20" s="6"/>
      <c r="X20" s="6"/>
      <c r="Y20" s="6"/>
      <c r="Z20" s="6"/>
      <c r="AA20" s="6"/>
    </row>
    <row r="21" ht="14.25" customHeight="1">
      <c r="A21" s="12"/>
      <c r="B21" s="6"/>
      <c r="C21" s="26">
        <v>4.0</v>
      </c>
      <c r="D21" s="26"/>
      <c r="E21" s="49" t="str">
        <f>Markov!AQ29*(1-('Results summary'!E$15/100))+MarkovKendall!AQ29*('Results summary'!E$15/100)</f>
        <v>#VALUE!</v>
      </c>
      <c r="F21" s="49">
        <f>Markov!AR28*(1-('Results summary'!F$15/100))+MarkovKendall!AR28*('Results summary'!F$15/100)</f>
        <v>38959.74083</v>
      </c>
      <c r="G21" s="49">
        <f>Markov!AS27*(1-('Results summary'!G$15/100))+MarkovKendall!AS27*('Results summary'!G$15/100)</f>
        <v>40220.90178</v>
      </c>
      <c r="H21" s="49" t="str">
        <f>Markov!AT25*(1-('Results summary'!$H15/100))+MarkovKendall!AT25*('Results summary'!$H15/100)+Markov!AT26*(1-('Results summary'!$H15/100))+MarkovKendall!AT26*('Results summary'!$H15/100)</f>
        <v>#VALUE!</v>
      </c>
      <c r="I21" s="49"/>
      <c r="J21" s="26"/>
      <c r="K21" s="53"/>
      <c r="L21" s="90"/>
      <c r="M21" s="90"/>
      <c r="N21" s="26"/>
      <c r="O21" s="6"/>
      <c r="P21" s="6"/>
      <c r="Q21" s="6"/>
      <c r="R21" s="6"/>
      <c r="S21" s="6"/>
      <c r="T21" s="6"/>
      <c r="U21" s="6"/>
      <c r="V21" s="6"/>
      <c r="W21" s="6"/>
      <c r="X21" s="6"/>
      <c r="Y21" s="6"/>
      <c r="Z21" s="6"/>
      <c r="AA21" s="6"/>
    </row>
    <row r="22" ht="14.25" customHeight="1">
      <c r="A22" s="12"/>
      <c r="B22" s="6"/>
      <c r="C22" s="26">
        <v>5.0</v>
      </c>
      <c r="D22" s="26"/>
      <c r="E22" s="49" t="str">
        <f>Markov!AQ30*(1-('Results summary'!E$15/100))+MarkovKendall!AQ30*('Results summary'!E$15/100)</f>
        <v>#VALUE!</v>
      </c>
      <c r="F22" s="49" t="str">
        <f>Markov!AR29*(1-('Results summary'!F$15/100))+MarkovKendall!AR29*('Results summary'!F$15/100)</f>
        <v>#VALUE!</v>
      </c>
      <c r="G22" s="49">
        <f>Markov!AS28*(1-('Results summary'!G$15/100))+MarkovKendall!AS28*('Results summary'!G$15/100)</f>
        <v>37596.1499</v>
      </c>
      <c r="H22" s="49">
        <f>Markov!AT27*(1-('Results summary'!H$15/100))+MarkovKendall!AT27*('Results summary'!H$15/100)</f>
        <v>38813.17021</v>
      </c>
      <c r="I22" s="49" t="str">
        <f>Markov!AU25*(1-('Results summary'!$I15/100))+MarkovKendall!AU25*('Results summary'!$I15/100)+Markov!AU26*(1-('Results summary'!$I15/100))+MarkovKendall!AU26*('Results summary'!$I15/100)</f>
        <v>#VALUE!</v>
      </c>
      <c r="J22" s="26"/>
      <c r="K22" s="53"/>
      <c r="L22" s="90"/>
      <c r="M22" s="90"/>
      <c r="N22" s="26"/>
      <c r="O22" s="6"/>
      <c r="P22" s="6"/>
      <c r="Q22" s="6"/>
      <c r="R22" s="6"/>
      <c r="S22" s="6"/>
      <c r="T22" s="6"/>
      <c r="U22" s="6"/>
      <c r="V22" s="6"/>
      <c r="W22" s="6"/>
      <c r="X22" s="6"/>
      <c r="Y22" s="6"/>
      <c r="Z22" s="6"/>
      <c r="AA22" s="6"/>
    </row>
    <row r="23" ht="14.25" customHeight="1">
      <c r="A23" s="12"/>
      <c r="B23" s="6"/>
      <c r="C23" s="26"/>
      <c r="D23" s="26"/>
      <c r="E23" s="26"/>
      <c r="F23" s="53"/>
      <c r="G23" s="26"/>
      <c r="H23" s="53"/>
      <c r="I23" s="26"/>
      <c r="J23" s="26"/>
      <c r="K23" s="53"/>
      <c r="L23" s="90"/>
      <c r="M23" s="90"/>
      <c r="N23" s="26"/>
      <c r="O23" s="6"/>
      <c r="P23" s="6"/>
      <c r="Q23" s="6"/>
      <c r="R23" s="6"/>
      <c r="S23" s="6"/>
      <c r="T23" s="6"/>
      <c r="U23" s="6"/>
      <c r="V23" s="6"/>
      <c r="W23" s="6"/>
      <c r="X23" s="6"/>
      <c r="Y23" s="6"/>
      <c r="Z23" s="6"/>
      <c r="AA23" s="6"/>
    </row>
    <row r="24" ht="14.25" customHeight="1">
      <c r="A24" s="12"/>
      <c r="B24" s="6"/>
      <c r="C24" s="6"/>
      <c r="D24" s="6"/>
      <c r="E24" s="6"/>
      <c r="F24" s="53"/>
      <c r="G24" s="26"/>
      <c r="H24" s="53"/>
      <c r="I24" s="6"/>
      <c r="J24" s="6"/>
      <c r="K24" s="53"/>
      <c r="L24" s="90"/>
      <c r="M24" s="90"/>
      <c r="N24" s="6"/>
      <c r="O24" s="6"/>
      <c r="P24" s="6"/>
      <c r="Q24" s="6"/>
      <c r="R24" s="6"/>
      <c r="S24" s="6"/>
      <c r="T24" s="6"/>
      <c r="U24" s="6"/>
      <c r="V24" s="6"/>
      <c r="W24" s="6"/>
      <c r="X24" s="6"/>
      <c r="Y24" s="6"/>
      <c r="Z24" s="6"/>
      <c r="AA24" s="6"/>
    </row>
    <row r="25" ht="14.25" customHeight="1">
      <c r="A25" s="12"/>
      <c r="B25" s="6"/>
      <c r="C25" s="6"/>
      <c r="D25" s="6"/>
      <c r="E25" s="6"/>
      <c r="F25" s="53"/>
      <c r="G25" s="26"/>
      <c r="H25" s="53"/>
      <c r="I25" s="6"/>
      <c r="J25" s="6"/>
      <c r="K25" s="53"/>
      <c r="L25" s="90"/>
      <c r="M25" s="90"/>
      <c r="N25" s="6"/>
      <c r="O25" s="6"/>
      <c r="P25" s="6"/>
      <c r="Q25" s="6"/>
      <c r="R25" s="6"/>
      <c r="S25" s="6"/>
      <c r="T25" s="6"/>
      <c r="U25" s="6"/>
      <c r="V25" s="6"/>
      <c r="W25" s="6"/>
      <c r="X25" s="6"/>
      <c r="Y25" s="6"/>
      <c r="Z25" s="6"/>
      <c r="AA25" s="6"/>
    </row>
    <row r="26" ht="14.25" customHeight="1">
      <c r="A26" s="12"/>
      <c r="B26" s="6"/>
      <c r="C26" s="6"/>
      <c r="D26" s="6"/>
      <c r="E26" s="6"/>
      <c r="F26" s="53"/>
      <c r="G26" s="26"/>
      <c r="H26" s="53"/>
      <c r="I26" s="6"/>
      <c r="J26" s="6"/>
      <c r="K26" s="53"/>
      <c r="L26" s="90"/>
      <c r="M26" s="90"/>
      <c r="N26" s="6"/>
      <c r="O26" s="6"/>
      <c r="P26" s="6"/>
      <c r="Q26" s="6"/>
      <c r="R26" s="6"/>
      <c r="S26" s="6"/>
      <c r="T26" s="6"/>
      <c r="U26" s="6"/>
      <c r="V26" s="6"/>
      <c r="W26" s="6"/>
      <c r="X26" s="6"/>
      <c r="Y26" s="6"/>
      <c r="Z26" s="6"/>
      <c r="AA26" s="6"/>
    </row>
    <row r="27" ht="14.25" customHeight="1">
      <c r="A27" s="12"/>
      <c r="B27" s="6"/>
      <c r="C27" s="6"/>
      <c r="D27" s="6"/>
      <c r="E27" s="6"/>
      <c r="F27" s="53"/>
      <c r="G27" s="26"/>
      <c r="H27" s="53"/>
      <c r="I27" s="6"/>
      <c r="J27" s="6"/>
      <c r="K27" s="53"/>
      <c r="L27" s="90"/>
      <c r="M27" s="90"/>
      <c r="N27" s="6"/>
      <c r="O27" s="6"/>
      <c r="P27" s="6"/>
      <c r="Q27" s="6"/>
      <c r="R27" s="6"/>
      <c r="S27" s="6"/>
      <c r="T27" s="6"/>
      <c r="U27" s="6"/>
      <c r="V27" s="6"/>
      <c r="W27" s="6"/>
      <c r="X27" s="6"/>
      <c r="Y27" s="6"/>
      <c r="Z27" s="6"/>
      <c r="AA27" s="6"/>
    </row>
    <row r="28" ht="14.25" customHeight="1">
      <c r="A28" s="12"/>
      <c r="B28" s="6"/>
      <c r="C28" s="96"/>
      <c r="D28" s="97" t="s">
        <v>143</v>
      </c>
      <c r="E28" s="98" t="s">
        <v>138</v>
      </c>
      <c r="F28" s="26"/>
      <c r="G28" s="96"/>
      <c r="H28" s="97" t="s">
        <v>35</v>
      </c>
      <c r="I28" s="99" t="s">
        <v>138</v>
      </c>
      <c r="J28" s="97"/>
      <c r="K28" s="97"/>
      <c r="L28" s="97"/>
      <c r="M28" s="97"/>
      <c r="N28" s="100"/>
      <c r="O28" s="6"/>
      <c r="P28" s="6"/>
      <c r="Q28" s="6"/>
      <c r="R28" s="6"/>
      <c r="S28" s="6"/>
      <c r="T28" s="6"/>
      <c r="U28" s="6"/>
      <c r="V28" s="6"/>
      <c r="W28" s="6"/>
      <c r="X28" s="6"/>
      <c r="Y28" s="6"/>
      <c r="Z28" s="6"/>
      <c r="AA28" s="6"/>
    </row>
    <row r="29" ht="14.25" customHeight="1">
      <c r="A29" s="12"/>
      <c r="B29" s="6"/>
      <c r="C29" s="101" t="s">
        <v>179</v>
      </c>
      <c r="D29" s="26" t="s">
        <v>57</v>
      </c>
      <c r="E29" s="102">
        <v>1.0</v>
      </c>
      <c r="G29" s="101" t="s">
        <v>179</v>
      </c>
      <c r="H29" s="26" t="s">
        <v>57</v>
      </c>
      <c r="I29" s="6">
        <v>1.0</v>
      </c>
      <c r="J29" s="53">
        <v>2.0</v>
      </c>
      <c r="K29" s="26">
        <v>3.0</v>
      </c>
      <c r="L29" s="53">
        <v>4.0</v>
      </c>
      <c r="M29" s="26">
        <v>5.0</v>
      </c>
      <c r="N29" s="102"/>
      <c r="O29" s="6"/>
      <c r="P29" s="6"/>
      <c r="Q29" s="6"/>
      <c r="R29" s="6"/>
      <c r="S29" s="6"/>
      <c r="T29" s="6"/>
      <c r="U29" s="6"/>
      <c r="V29" s="6"/>
      <c r="W29" s="6"/>
      <c r="X29" s="6"/>
      <c r="Y29" s="6"/>
      <c r="Z29" s="6"/>
      <c r="AA29" s="6"/>
    </row>
    <row r="30" ht="14.25" customHeight="1">
      <c r="A30" s="12"/>
      <c r="B30" s="6"/>
      <c r="C30" s="103">
        <v>0.5</v>
      </c>
      <c r="D30" s="26">
        <f>i_Int_Kend_MS</f>
        <v>0</v>
      </c>
      <c r="E30" s="104">
        <f>(MarkovKendall!$AO$35*('Results summary'!D30/100))+(Markov!$AO$35*(1-('Results summary'!D30/100)))</f>
        <v>471.756562</v>
      </c>
      <c r="G30" s="103">
        <v>0.5</v>
      </c>
      <c r="H30" s="26">
        <f>i_Int_Kend_MS</f>
        <v>0</v>
      </c>
      <c r="I30" s="49">
        <f>(MarkovKendall!AP37*('Results summary'!H30/100))+(Markov!AP37*(1-('Results summary'!H30/100)))</f>
        <v>4.274494153</v>
      </c>
      <c r="J30" s="84"/>
      <c r="K30" s="84"/>
      <c r="L30" s="84"/>
      <c r="M30" s="84"/>
      <c r="N30" s="102"/>
      <c r="O30" s="6"/>
      <c r="P30" s="6"/>
      <c r="Q30" s="6"/>
      <c r="R30" s="6"/>
      <c r="S30" s="6"/>
      <c r="T30" s="6"/>
      <c r="U30" s="6"/>
      <c r="V30" s="6"/>
      <c r="W30" s="6"/>
      <c r="X30" s="6"/>
      <c r="Y30" s="6"/>
      <c r="Z30" s="6"/>
      <c r="AA30" s="6"/>
    </row>
    <row r="31" ht="14.25" customHeight="1">
      <c r="A31" s="12"/>
      <c r="B31" s="6"/>
      <c r="C31" s="105">
        <v>1.0</v>
      </c>
      <c r="D31" s="26">
        <f>i_Int_Kend_MS</f>
        <v>0</v>
      </c>
      <c r="E31" s="104">
        <f>(MarkovKendall!$AO$35*('Results summary'!D31/100))+(Markov!$AO$35*(1-('Results summary'!D31/100)))</f>
        <v>471.756562</v>
      </c>
      <c r="G31" s="105">
        <v>1.0</v>
      </c>
      <c r="H31" s="26">
        <f>i_Int_Kend_MS</f>
        <v>0</v>
      </c>
      <c r="I31" s="49">
        <f>(MarkovKendall!AP38*('Results summary'!H30/100))+(Markov!AP38*(1-('Results summary'!H30/100)))</f>
        <v>0.6461197679</v>
      </c>
      <c r="J31" s="6"/>
      <c r="K31" s="6"/>
      <c r="L31" s="6"/>
      <c r="M31" s="6"/>
      <c r="N31" s="102"/>
      <c r="O31" s="6"/>
      <c r="P31" s="6"/>
      <c r="Q31" s="6"/>
      <c r="R31" s="6"/>
      <c r="S31" s="6"/>
      <c r="T31" s="6"/>
      <c r="U31" s="6"/>
      <c r="V31" s="6"/>
      <c r="W31" s="6"/>
      <c r="X31" s="6"/>
      <c r="Y31" s="6"/>
      <c r="Z31" s="6"/>
      <c r="AA31" s="6"/>
    </row>
    <row r="32" ht="14.25" customHeight="1">
      <c r="A32" s="12"/>
      <c r="B32" s="6"/>
      <c r="C32" s="105">
        <v>2.0</v>
      </c>
      <c r="D32" s="26">
        <f>i_Int_Kend_MS</f>
        <v>0</v>
      </c>
      <c r="E32" s="104">
        <f>(MarkovKendall!$AO$35*('Results summary'!D32/100))+(Markov!$AO$35*(1-('Results summary'!D32/100)))+E31</f>
        <v>943.513124</v>
      </c>
      <c r="G32" s="105">
        <v>2.0</v>
      </c>
      <c r="H32" s="26">
        <f>i_Int_Kend_MS</f>
        <v>0</v>
      </c>
      <c r="I32" s="49">
        <f>(MarkovKendall!AP39*('Results summary'!H30/100))+(Markov!AP39*(1-('Results summary'!H30/100)))</f>
        <v>1.265696207</v>
      </c>
      <c r="J32" s="84">
        <f>((MarkovKendall!AP37+MarkovKendall!AP38)*('Results summary'!H32/100))+((Markov!AP37+Markov!AP38)*(1-('Results summary'!H32/100)))</f>
        <v>4.920613921</v>
      </c>
      <c r="K32" s="6"/>
      <c r="L32" s="6"/>
      <c r="M32" s="84"/>
      <c r="N32" s="102"/>
      <c r="O32" s="6"/>
      <c r="P32" s="6"/>
      <c r="Q32" s="6"/>
      <c r="R32" s="6"/>
      <c r="S32" s="6"/>
      <c r="T32" s="6"/>
      <c r="U32" s="6"/>
      <c r="V32" s="6"/>
      <c r="W32" s="6"/>
      <c r="X32" s="6"/>
      <c r="Y32" s="6"/>
      <c r="Z32" s="6"/>
      <c r="AA32" s="6"/>
    </row>
    <row r="33" ht="14.25" customHeight="1">
      <c r="A33" s="12"/>
      <c r="B33" s="6"/>
      <c r="C33" s="105">
        <v>3.0</v>
      </c>
      <c r="D33" s="26">
        <f>i_Int_Kend_MS</f>
        <v>0</v>
      </c>
      <c r="E33" s="104">
        <f>(MarkovKendall!$AO$35*('Results summary'!D33/100))+(Markov!$AO$35*(1-('Results summary'!D33/100)))+E32</f>
        <v>1415.269686</v>
      </c>
      <c r="G33" s="105">
        <v>3.0</v>
      </c>
      <c r="H33" s="26">
        <f>i_Int_Kend_MS</f>
        <v>0</v>
      </c>
      <c r="I33" s="49">
        <f>(MarkovKendall!AP40*('Results summary'!H30/100))+(Markov!AP40*(1-('Results summary'!H30/100)))</f>
        <v>1.230329514</v>
      </c>
      <c r="J33" s="84">
        <f>(MarkovKendall!AP39*('Results summary'!H32/100))+(Markov!AP39*(1-('Results summary'!H32/100)))</f>
        <v>1.265696207</v>
      </c>
      <c r="K33" s="84">
        <f>((MarkovKendall!AP37+MarkovKendall!AP38)*('Results summary'!H33/100))+((Markov!AP37+Markov!AP38)*(1-('Results summary'!H33/100)))</f>
        <v>4.920613921</v>
      </c>
      <c r="L33" s="84"/>
      <c r="M33" s="84"/>
      <c r="N33" s="102"/>
      <c r="O33" s="6"/>
      <c r="P33" s="6"/>
      <c r="Q33" s="6"/>
      <c r="R33" s="6"/>
      <c r="S33" s="6"/>
      <c r="T33" s="6"/>
      <c r="U33" s="6"/>
      <c r="V33" s="6"/>
      <c r="W33" s="6"/>
      <c r="X33" s="6"/>
      <c r="Y33" s="6"/>
      <c r="Z33" s="6"/>
      <c r="AA33" s="6"/>
    </row>
    <row r="34" ht="14.25" customHeight="1">
      <c r="A34" s="12"/>
      <c r="B34" s="6"/>
      <c r="C34" s="105">
        <v>4.0</v>
      </c>
      <c r="D34" s="26">
        <f>i_Int_Kend_MS</f>
        <v>0</v>
      </c>
      <c r="E34" s="104">
        <f>(MarkovKendall!$AO$35*('Results summary'!D34/100))+(Markov!$AO$35*(1-('Results summary'!D34/100)))+E33</f>
        <v>1887.026248</v>
      </c>
      <c r="G34" s="105">
        <v>4.0</v>
      </c>
      <c r="H34" s="26">
        <f>i_Int_Kend_MS</f>
        <v>0</v>
      </c>
      <c r="I34" s="49">
        <f>(MarkovKendall!AP41*('Results summary'!H30/100))+(Markov!AP41*(1-('Results summary'!H30/100)))</f>
        <v>1.195951228</v>
      </c>
      <c r="J34" s="84">
        <f>(MarkovKendall!AP40*('Results summary'!H32/100))+(Markov!AP40*(1-('Results summary'!H32/100)))</f>
        <v>1.230329514</v>
      </c>
      <c r="K34" s="84">
        <f>(MarkovKendall!AP39*('Results summary'!H33/100))+(Markov!AP39*(1-('Results summary'!H33/100)))</f>
        <v>1.265696207</v>
      </c>
      <c r="L34" s="84">
        <f>((MarkovKendall!AP37+MarkovKendall!AP38)*('Results summary'!H34/100))+((Markov!AP37+Markov!AP38)*(1-('Results summary'!H34/100)))</f>
        <v>4.920613921</v>
      </c>
      <c r="M34" s="84"/>
      <c r="N34" s="102"/>
      <c r="O34" s="6"/>
      <c r="P34" s="6"/>
      <c r="Q34" s="6"/>
      <c r="R34" s="6"/>
      <c r="S34" s="6"/>
      <c r="T34" s="6"/>
      <c r="U34" s="6"/>
      <c r="V34" s="6"/>
      <c r="W34" s="6"/>
      <c r="X34" s="6"/>
      <c r="Y34" s="6"/>
      <c r="Z34" s="6"/>
      <c r="AA34" s="6"/>
    </row>
    <row r="35" ht="14.25" customHeight="1">
      <c r="A35" s="12"/>
      <c r="B35" s="6"/>
      <c r="C35" s="105">
        <v>5.0</v>
      </c>
      <c r="D35" s="26">
        <f>i_Int_Kend_MS</f>
        <v>0</v>
      </c>
      <c r="E35" s="104">
        <f>(MarkovKendall!$AO$35*('Results summary'!D35/100))+(Markov!$AO$35*(1-('Results summary'!D35/100)))+E34</f>
        <v>2358.78281</v>
      </c>
      <c r="G35" s="105">
        <v>5.0</v>
      </c>
      <c r="H35" s="26">
        <f>i_Int_Kend_MS</f>
        <v>0</v>
      </c>
      <c r="I35" s="49">
        <f>(MarkovKendall!AP42*('Results summary'!H30/100))+(Markov!AP42*(1-('Results summary'!H30/100)))</f>
        <v>1.162533551</v>
      </c>
      <c r="J35" s="84">
        <f>(MarkovKendall!AP41*('Results summary'!H32/100))+(Markov!AP41*(1-('Results summary'!H32/100)))</f>
        <v>1.195951228</v>
      </c>
      <c r="K35" s="84">
        <f>(MarkovKendall!AP40*('Results summary'!H33/100))+(Markov!AP40*(1-('Results summary'!H33/100)))</f>
        <v>1.230329514</v>
      </c>
      <c r="L35" s="84">
        <f>(MarkovKendall!AP39*('Results summary'!H34/100))+(Markov!AP39*(1-('Results summary'!H34/100)))</f>
        <v>1.265696207</v>
      </c>
      <c r="M35" s="84">
        <f>((MarkovKendall!AP37+MarkovKendall!AP38)*('Results summary'!H35/100))+((Markov!AP37+Markov!AP38)*(1-('Results summary'!H35/100)))</f>
        <v>4.920613921</v>
      </c>
      <c r="N35" s="102"/>
      <c r="O35" s="6"/>
      <c r="P35" s="6"/>
      <c r="Q35" s="6"/>
      <c r="R35" s="6"/>
      <c r="S35" s="6"/>
      <c r="T35" s="6"/>
      <c r="U35" s="6"/>
      <c r="V35" s="6"/>
      <c r="W35" s="6"/>
      <c r="X35" s="6"/>
      <c r="Y35" s="6"/>
      <c r="Z35" s="6"/>
      <c r="AA35" s="6"/>
    </row>
    <row r="36" ht="14.25" customHeight="1">
      <c r="A36" s="12"/>
      <c r="B36" s="6"/>
      <c r="C36" s="105"/>
      <c r="D36" s="26"/>
      <c r="E36" s="106"/>
      <c r="G36" s="105"/>
      <c r="H36" s="26"/>
      <c r="I36" s="49"/>
      <c r="J36" s="49"/>
      <c r="K36" s="84"/>
      <c r="L36" s="49"/>
      <c r="M36" s="49"/>
      <c r="N36" s="102"/>
      <c r="O36" s="6"/>
      <c r="P36" s="6"/>
      <c r="Q36" s="6"/>
      <c r="R36" s="6"/>
      <c r="S36" s="6"/>
      <c r="T36" s="6"/>
      <c r="U36" s="6"/>
      <c r="V36" s="6"/>
      <c r="W36" s="6"/>
      <c r="X36" s="6"/>
      <c r="Y36" s="6"/>
      <c r="Z36" s="6"/>
      <c r="AA36" s="6"/>
    </row>
    <row r="37" ht="14.25" customHeight="1">
      <c r="A37" s="12"/>
      <c r="B37" s="6"/>
      <c r="C37" s="105"/>
      <c r="D37" s="26"/>
      <c r="E37" s="106"/>
      <c r="G37" s="105"/>
      <c r="H37" s="26"/>
      <c r="I37" s="49"/>
      <c r="J37" s="49"/>
      <c r="K37" s="49"/>
      <c r="L37" s="49"/>
      <c r="M37" s="49"/>
      <c r="N37" s="102"/>
      <c r="O37" s="6"/>
      <c r="P37" s="6"/>
      <c r="Q37" s="6"/>
      <c r="R37" s="6"/>
      <c r="S37" s="6"/>
      <c r="T37" s="6"/>
      <c r="U37" s="6"/>
      <c r="V37" s="6"/>
      <c r="W37" s="6"/>
      <c r="X37" s="6"/>
      <c r="Y37" s="6"/>
      <c r="Z37" s="6"/>
      <c r="AA37" s="6"/>
    </row>
    <row r="38" ht="14.25" customHeight="1">
      <c r="A38" s="12"/>
      <c r="B38" s="6"/>
      <c r="C38" s="105" t="s">
        <v>143</v>
      </c>
      <c r="D38" s="49" t="s">
        <v>139</v>
      </c>
      <c r="E38" s="107">
        <f>MIN(100,i_Int_Kend_MS+(i_Int_Kend_MS_inc*ROUNDUP(E39,0)))</f>
        <v>100</v>
      </c>
      <c r="G38" s="103" t="s">
        <v>35</v>
      </c>
      <c r="H38" s="49" t="s">
        <v>139</v>
      </c>
      <c r="I38" s="26">
        <f>MIN(100,i_Int_Kend_MS+(i_Int_Kend_MS_inc*ROUNDUP(I39,0)))</f>
        <v>100</v>
      </c>
      <c r="J38" s="26">
        <f>MIN(100,i_Int_Kend_MS+(i_Int_Kend_MS_inc*ROUNDUP(J39,0)))</f>
        <v>100</v>
      </c>
      <c r="K38" s="26">
        <f>MIN(100,i_Int_Kend_MS+(i_Int_Kend_MS_inc*ROUNDUP(K39,0)))</f>
        <v>100</v>
      </c>
      <c r="L38" s="26">
        <f>MIN(100,i_Int_Kend_MS+(i_Int_Kend_MS_inc*ROUNDUP(L39,0)))</f>
        <v>100</v>
      </c>
      <c r="M38" s="26">
        <f>MIN(100,i_Int_Kend_MS+(i_Int_Kend_MS_inc*ROUNDUP(M39,0)))</f>
        <v>100</v>
      </c>
      <c r="N38" s="102"/>
      <c r="O38" s="6"/>
      <c r="P38" s="6"/>
      <c r="Q38" s="6"/>
      <c r="R38" s="6"/>
      <c r="S38" s="6"/>
      <c r="T38" s="6"/>
      <c r="U38" s="6"/>
      <c r="V38" s="6"/>
      <c r="W38" s="6"/>
      <c r="X38" s="6"/>
      <c r="Y38" s="6"/>
      <c r="Z38" s="6"/>
      <c r="AA38" s="6"/>
    </row>
    <row r="39" ht="14.25" customHeight="1">
      <c r="A39" s="12"/>
      <c r="B39" s="6"/>
      <c r="C39" s="103"/>
      <c r="D39" s="26" t="s">
        <v>57</v>
      </c>
      <c r="E39" s="108">
        <v>1.0</v>
      </c>
      <c r="G39" s="103"/>
      <c r="H39" s="26" t="s">
        <v>57</v>
      </c>
      <c r="I39" s="84">
        <v>1.0</v>
      </c>
      <c r="J39" s="49">
        <v>2.0</v>
      </c>
      <c r="K39" s="49">
        <v>3.0</v>
      </c>
      <c r="L39" s="49">
        <v>4.0</v>
      </c>
      <c r="M39" s="49">
        <v>5.0</v>
      </c>
      <c r="N39" s="102"/>
      <c r="O39" s="6"/>
      <c r="P39" s="6"/>
      <c r="Q39" s="6"/>
      <c r="R39" s="6"/>
      <c r="S39" s="6"/>
      <c r="T39" s="6"/>
      <c r="U39" s="6"/>
      <c r="V39" s="6"/>
      <c r="W39" s="6"/>
      <c r="X39" s="6"/>
      <c r="Y39" s="6"/>
      <c r="Z39" s="6"/>
      <c r="AA39" s="6"/>
    </row>
    <row r="40" ht="14.25" customHeight="1">
      <c r="A40" s="12"/>
      <c r="B40" s="6"/>
      <c r="C40" s="103">
        <v>0.5</v>
      </c>
      <c r="D40" s="26">
        <f>MIN(100,i_Int_Kend_MS+(i_Int_Kend_MS_inc*ROUNDUP(C41,0)))</f>
        <v>100</v>
      </c>
      <c r="E40" s="104">
        <f>(MarkovKendall!$AO$35*('Results summary'!D40/100))+(Markov!$AO$35*(1-('Results summary'!D40/100)))</f>
        <v>467.5611237</v>
      </c>
      <c r="G40" s="103">
        <v>0.5</v>
      </c>
      <c r="H40" s="26">
        <f>MIN(100,i_Int_Kend_MS+(i_Int_Kend_MS_inc*ROUNDUP(G41,0)))</f>
        <v>100</v>
      </c>
      <c r="I40" s="49">
        <f>(MarkovKendall!AP37*('Results summary'!H40/100))+(Markov!AP37*(1-('Results summary'!H40/100)))</f>
        <v>3.174480177</v>
      </c>
      <c r="J40" s="84"/>
      <c r="K40" s="84"/>
      <c r="L40" s="84"/>
      <c r="M40" s="84"/>
      <c r="N40" s="102"/>
      <c r="O40" s="6"/>
      <c r="P40" s="6"/>
      <c r="Q40" s="6"/>
      <c r="R40" s="6"/>
      <c r="S40" s="6"/>
      <c r="T40" s="6"/>
      <c r="U40" s="6"/>
      <c r="V40" s="6"/>
      <c r="W40" s="6"/>
      <c r="X40" s="6"/>
      <c r="Y40" s="6"/>
      <c r="Z40" s="6"/>
      <c r="AA40" s="6"/>
    </row>
    <row r="41" ht="14.25" customHeight="1">
      <c r="A41" s="6"/>
      <c r="B41" s="6"/>
      <c r="C41" s="105">
        <v>1.0</v>
      </c>
      <c r="D41" s="26">
        <f>MIN(100,i_Int_Kend_MS+(i_Int_Kend_MS_inc*ROUNDUP(C41,0)))</f>
        <v>100</v>
      </c>
      <c r="E41" s="104">
        <f>(MarkovKendall!$AO$35*('Results summary'!D41/100))+(Markov!$AO$35*(1-('Results summary'!D41/100)))</f>
        <v>467.5611237</v>
      </c>
      <c r="G41" s="105">
        <v>1.0</v>
      </c>
      <c r="H41" s="26">
        <f>MIN(100,i_Int_Kend_MS+(i_Int_Kend_MS_inc*ROUNDUP(G41,0)))</f>
        <v>100</v>
      </c>
      <c r="I41" s="49">
        <f>(MarkovKendall!AP38*('Results summary'!H40/100))+(Markov!AP38*(1-('Results summary'!H40/100)))</f>
        <v>0.4790624228</v>
      </c>
      <c r="J41" s="6"/>
      <c r="K41" s="6"/>
      <c r="L41" s="6"/>
      <c r="M41" s="6"/>
      <c r="N41" s="102"/>
      <c r="O41" s="6"/>
      <c r="P41" s="6"/>
      <c r="Q41" s="6"/>
      <c r="R41" s="6"/>
      <c r="S41" s="6"/>
      <c r="T41" s="6"/>
      <c r="U41" s="6"/>
      <c r="V41" s="6"/>
      <c r="W41" s="6"/>
      <c r="X41" s="6"/>
      <c r="Y41" s="6"/>
      <c r="Z41" s="6"/>
      <c r="AA41" s="6"/>
    </row>
    <row r="42" ht="14.25" customHeight="1">
      <c r="A42" s="6"/>
      <c r="B42" s="6"/>
      <c r="C42" s="105">
        <v>2.0</v>
      </c>
      <c r="D42" s="26">
        <f>MIN(100,i_Int_Kend_MS+(i_Int_Kend_MS_inc*ROUNDUP(C42,0)))</f>
        <v>100</v>
      </c>
      <c r="E42" s="104">
        <f>(MarkovKendall!$AO$35*('Results summary'!D42/100))+(Markov!$AO$35*(1-('Results summary'!D42/100)))+E41</f>
        <v>935.1222475</v>
      </c>
      <c r="G42" s="105">
        <v>2.0</v>
      </c>
      <c r="H42" s="26">
        <f>MIN(100,i_Int_Kend_MS+(i_Int_Kend_MS_inc*ROUNDUP(G42,0)))</f>
        <v>100</v>
      </c>
      <c r="I42" s="49">
        <f>(MarkovKendall!AP39*('Results summary'!H40/100))+(Markov!AP39*(1-('Results summary'!H40/100)))</f>
        <v>0.9383886298</v>
      </c>
      <c r="J42" s="84">
        <f>((MarkovKendall!AP37+MarkovKendall!AP38)*('Results summary'!H42/100))+((Markov!AP37+Markov!AP38)*(1-('Results summary'!H42/100)))</f>
        <v>3.6535426</v>
      </c>
      <c r="K42" s="6"/>
      <c r="L42" s="6"/>
      <c r="M42" s="84"/>
      <c r="N42" s="102"/>
      <c r="O42" s="6"/>
      <c r="P42" s="6"/>
      <c r="Q42" s="6"/>
      <c r="R42" s="6"/>
      <c r="S42" s="6"/>
      <c r="T42" s="6"/>
      <c r="U42" s="6"/>
      <c r="V42" s="6"/>
      <c r="W42" s="6"/>
      <c r="X42" s="6"/>
      <c r="Y42" s="6"/>
      <c r="Z42" s="6"/>
      <c r="AA42" s="6"/>
    </row>
    <row r="43" ht="14.25" customHeight="1">
      <c r="A43" s="6"/>
      <c r="B43" s="6"/>
      <c r="C43" s="105">
        <v>3.0</v>
      </c>
      <c r="D43" s="26">
        <f>MIN(100,i_Int_Kend_MS+(i_Int_Kend_MS_inc*ROUNDUP(C43,0)))</f>
        <v>100</v>
      </c>
      <c r="E43" s="104">
        <f>(MarkovKendall!$AO$35*('Results summary'!D43/100))+(Markov!$AO$35*(1-('Results summary'!D43/100)))+E42</f>
        <v>1402.683371</v>
      </c>
      <c r="G43" s="105">
        <v>3.0</v>
      </c>
      <c r="H43" s="26">
        <f>MIN(100,i_Int_Kend_MS+(i_Int_Kend_MS_inc*ROUNDUP(G43,0)))</f>
        <v>100</v>
      </c>
      <c r="I43" s="49">
        <f>(MarkovKendall!AP40*('Results summary'!H40/100))+(Markov!AP40*(1-('Results summary'!H40/100)))</f>
        <v>0.9121677564</v>
      </c>
      <c r="J43" s="84">
        <f>(MarkovKendall!AP39*('Results summary'!H42/100))+(Markov!AP39*(1-('Results summary'!H42/100)))</f>
        <v>0.9383886298</v>
      </c>
      <c r="K43" s="84">
        <f>((MarkovKendall!AP37+MarkovKendall!AP38)*('Results summary'!H43/100))+((Markov!AP37+Markov!AP38)*(1-('Results summary'!H43/100)))</f>
        <v>3.6535426</v>
      </c>
      <c r="L43" s="84"/>
      <c r="M43" s="84"/>
      <c r="N43" s="102"/>
      <c r="O43" s="6"/>
      <c r="P43" s="6"/>
      <c r="Q43" s="6"/>
      <c r="R43" s="6"/>
      <c r="S43" s="6"/>
      <c r="T43" s="6"/>
      <c r="U43" s="6"/>
      <c r="V43" s="6"/>
      <c r="W43" s="6"/>
      <c r="X43" s="6"/>
      <c r="Y43" s="6"/>
      <c r="Z43" s="6"/>
      <c r="AA43" s="6"/>
    </row>
    <row r="44" ht="14.25" customHeight="1">
      <c r="A44" s="6"/>
      <c r="B44" s="6"/>
      <c r="C44" s="105">
        <v>4.0</v>
      </c>
      <c r="D44" s="26">
        <f>MIN(100,i_Int_Kend_MS+(i_Int_Kend_MS_inc*ROUNDUP(C44,0)))</f>
        <v>100</v>
      </c>
      <c r="E44" s="104">
        <f>(MarkovKendall!$AO$35*('Results summary'!D44/100))+(Markov!$AO$35*(1-('Results summary'!D44/100)))+E43</f>
        <v>1870.244495</v>
      </c>
      <c r="G44" s="105">
        <v>4.0</v>
      </c>
      <c r="H44" s="26">
        <f>MIN(100,i_Int_Kend_MS+(i_Int_Kend_MS_inc*ROUNDUP(G44,0)))</f>
        <v>100</v>
      </c>
      <c r="I44" s="49">
        <f>(MarkovKendall!AP41*('Results summary'!H40/100))+(Markov!AP41*(1-('Results summary'!H40/100)))</f>
        <v>0.886679654</v>
      </c>
      <c r="J44" s="84">
        <f>(MarkovKendall!AP40*('Results summary'!H42/100))+(Markov!AP40*(1-('Results summary'!H42/100)))</f>
        <v>0.9121677564</v>
      </c>
      <c r="K44" s="84">
        <f>(MarkovKendall!AP39*('Results summary'!H43/100))+(Markov!AP39*(1-('Results summary'!H43/100)))</f>
        <v>0.9383886298</v>
      </c>
      <c r="L44" s="84">
        <f>((MarkovKendall!AP37+MarkovKendall!AP38)*('Results summary'!H44/100))+((Markov!AP37+Markov!AP38)*(1-('Results summary'!H44/100)))</f>
        <v>3.6535426</v>
      </c>
      <c r="M44" s="84"/>
      <c r="N44" s="102"/>
      <c r="O44" s="6"/>
      <c r="P44" s="6"/>
      <c r="Q44" s="6"/>
      <c r="R44" s="6"/>
      <c r="S44" s="6"/>
      <c r="T44" s="6"/>
      <c r="U44" s="6"/>
      <c r="V44" s="6"/>
      <c r="W44" s="6"/>
      <c r="X44" s="6"/>
      <c r="Y44" s="6"/>
      <c r="Z44" s="6"/>
      <c r="AA44" s="6"/>
    </row>
    <row r="45" ht="14.25" customHeight="1">
      <c r="A45" s="6"/>
      <c r="B45" s="6"/>
      <c r="C45" s="109">
        <v>5.0</v>
      </c>
      <c r="D45" s="110">
        <f>MIN(100,i_Int_Kend_MS+(i_Int_Kend_MS_inc*ROUNDUP(C45,0)))</f>
        <v>100</v>
      </c>
      <c r="E45" s="111">
        <f>(MarkovKendall!$AO$35*('Results summary'!D45/100))+(Markov!$AO$35*(1-('Results summary'!D45/100)))+E44</f>
        <v>2337.805619</v>
      </c>
      <c r="G45" s="109">
        <v>5.0</v>
      </c>
      <c r="H45" s="110">
        <f>MIN(100,i_Int_Kend_MS+(i_Int_Kend_MS_inc*ROUNDUP(G45,0)))</f>
        <v>100</v>
      </c>
      <c r="I45" s="112">
        <f>(MarkovKendall!AP42*('Results summary'!H40/100))+(Markov!AP42*(1-('Results summary'!H40/100)))</f>
        <v>0.8619037489</v>
      </c>
      <c r="J45" s="113">
        <f>(MarkovKendall!AP41*('Results summary'!H42/100))+(Markov!AP41*(1-('Results summary'!H42/100)))</f>
        <v>0.886679654</v>
      </c>
      <c r="K45" s="113">
        <f>(MarkovKendall!AP40*('Results summary'!H43/100))+(Markov!AP40*(1-('Results summary'!H43/100)))</f>
        <v>0.9121677564</v>
      </c>
      <c r="L45" s="113">
        <f>(MarkovKendall!AP39*('Results summary'!H44/100))+(Markov!AP39*(1-('Results summary'!H44/100)))</f>
        <v>0.9383886298</v>
      </c>
      <c r="M45" s="113">
        <f>((MarkovKendall!AP37+MarkovKendall!AP38)*('Results summary'!H45/100))+((Markov!AP37+Markov!AP38)*(1-('Results summary'!H45/100)))</f>
        <v>3.6535426</v>
      </c>
      <c r="N45" s="114"/>
      <c r="O45" s="6"/>
      <c r="P45" s="6"/>
      <c r="Q45" s="6"/>
      <c r="R45" s="6"/>
      <c r="S45" s="6"/>
      <c r="T45" s="6"/>
      <c r="U45" s="6"/>
      <c r="V45" s="6"/>
      <c r="W45" s="6"/>
      <c r="X45" s="6"/>
      <c r="Y45" s="6"/>
      <c r="Z45" s="6"/>
      <c r="AA45" s="6"/>
    </row>
    <row r="46" ht="14.25" customHeight="1">
      <c r="A46" s="6"/>
      <c r="B46" s="6"/>
      <c r="C46" s="6"/>
      <c r="D46" s="6"/>
      <c r="E46" s="6"/>
      <c r="K46" s="6"/>
      <c r="L46" s="6"/>
      <c r="M46" s="6"/>
      <c r="N46" s="6"/>
      <c r="O46" s="6"/>
      <c r="P46" s="6"/>
      <c r="Q46" s="6"/>
      <c r="R46" s="6"/>
      <c r="S46" s="6"/>
      <c r="T46" s="6"/>
      <c r="U46" s="6"/>
      <c r="V46" s="6"/>
      <c r="W46" s="6"/>
      <c r="X46" s="6"/>
      <c r="Y46" s="6"/>
      <c r="Z46" s="6"/>
      <c r="AA46" s="6"/>
    </row>
    <row r="47" ht="14.25" customHeight="1">
      <c r="A47" s="6"/>
      <c r="B47" s="6"/>
      <c r="C47" s="6"/>
      <c r="D47" s="6"/>
      <c r="E47" s="6"/>
      <c r="K47" s="6"/>
      <c r="L47" s="6"/>
      <c r="M47" s="6"/>
      <c r="N47" s="6"/>
      <c r="O47" s="6"/>
      <c r="P47" s="6"/>
      <c r="Q47" s="6"/>
      <c r="R47" s="6"/>
      <c r="S47" s="6"/>
      <c r="T47" s="6"/>
      <c r="U47" s="6"/>
      <c r="V47" s="6"/>
      <c r="W47" s="6"/>
      <c r="X47" s="6"/>
      <c r="Y47" s="6"/>
      <c r="Z47" s="6"/>
      <c r="AA47" s="6"/>
    </row>
    <row r="48" ht="14.25" customHeight="1">
      <c r="A48" s="6"/>
      <c r="B48" s="6"/>
      <c r="C48" s="96"/>
      <c r="D48" s="97" t="s">
        <v>144</v>
      </c>
      <c r="E48" s="98" t="s">
        <v>138</v>
      </c>
      <c r="K48" s="6"/>
      <c r="L48" s="6"/>
      <c r="M48" s="6"/>
      <c r="N48" s="6"/>
      <c r="O48" s="6"/>
      <c r="P48" s="6"/>
      <c r="Q48" s="6"/>
      <c r="R48" s="6"/>
      <c r="S48" s="6"/>
      <c r="T48" s="6"/>
      <c r="U48" s="6"/>
      <c r="V48" s="6"/>
      <c r="W48" s="6"/>
      <c r="X48" s="6"/>
      <c r="Y48" s="6"/>
      <c r="Z48" s="6"/>
      <c r="AA48" s="6"/>
    </row>
    <row r="49" ht="14.25" customHeight="1">
      <c r="A49" s="6"/>
      <c r="B49" s="6"/>
      <c r="C49" s="101" t="s">
        <v>179</v>
      </c>
      <c r="D49" s="26" t="s">
        <v>57</v>
      </c>
      <c r="E49" s="102">
        <v>1.0</v>
      </c>
      <c r="K49" s="6"/>
      <c r="L49" s="6"/>
      <c r="M49" s="6"/>
      <c r="N49" s="6"/>
      <c r="O49" s="6"/>
      <c r="P49" s="6"/>
      <c r="Q49" s="6"/>
      <c r="R49" s="6"/>
      <c r="S49" s="6"/>
      <c r="T49" s="6"/>
      <c r="U49" s="6"/>
      <c r="V49" s="6"/>
      <c r="W49" s="6"/>
      <c r="X49" s="6"/>
      <c r="Y49" s="6"/>
      <c r="Z49" s="6"/>
      <c r="AA49" s="6"/>
    </row>
    <row r="50" ht="14.25" customHeight="1">
      <c r="A50" s="6"/>
      <c r="B50" s="6"/>
      <c r="C50" s="103">
        <v>0.5</v>
      </c>
      <c r="D50" s="26">
        <f>i_Int_Kend_MS</f>
        <v>0</v>
      </c>
      <c r="E50" s="104">
        <f>(MarkovKendall!$AP$35*('Results summary'!D50/100))+(Markov!$AP$35*(1-('Results summary'!D50/100)))</f>
        <v>2061.632993</v>
      </c>
      <c r="K50" s="6"/>
      <c r="L50" s="6"/>
      <c r="M50" s="6"/>
      <c r="N50" s="6"/>
      <c r="O50" s="6"/>
      <c r="P50" s="6"/>
      <c r="Q50" s="6"/>
      <c r="R50" s="6"/>
      <c r="S50" s="6"/>
      <c r="T50" s="6"/>
      <c r="U50" s="6"/>
      <c r="V50" s="6"/>
      <c r="W50" s="6"/>
      <c r="X50" s="6"/>
      <c r="Y50" s="6"/>
      <c r="Z50" s="6"/>
      <c r="AA50" s="6"/>
    </row>
    <row r="51" ht="14.25" customHeight="1">
      <c r="A51" s="6"/>
      <c r="B51" s="6"/>
      <c r="C51" s="105">
        <v>1.0</v>
      </c>
      <c r="D51" s="26">
        <f>i_Int_Kend_MS</f>
        <v>0</v>
      </c>
      <c r="E51" s="104">
        <f>(MarkovKendall!$AP$35*('Results summary'!D51/100))+(Markov!$AP$35*(1-('Results summary'!D51/100)))</f>
        <v>2061.632993</v>
      </c>
      <c r="K51" s="6"/>
      <c r="L51" s="6"/>
      <c r="M51" s="6"/>
      <c r="N51" s="6"/>
      <c r="O51" s="6"/>
      <c r="P51" s="6"/>
      <c r="Q51" s="6"/>
      <c r="R51" s="6"/>
      <c r="S51" s="6"/>
      <c r="T51" s="6"/>
      <c r="U51" s="6"/>
      <c r="V51" s="6"/>
      <c r="W51" s="6"/>
      <c r="X51" s="6"/>
      <c r="Y51" s="6"/>
      <c r="Z51" s="6"/>
      <c r="AA51" s="6"/>
    </row>
    <row r="52" ht="14.25" customHeight="1">
      <c r="A52" s="6"/>
      <c r="B52" s="6"/>
      <c r="C52" s="105">
        <v>2.0</v>
      </c>
      <c r="D52" s="26">
        <f>i_Int_Kend_MS</f>
        <v>0</v>
      </c>
      <c r="E52" s="104">
        <f>(MarkovKendall!$AP$35*('Results summary'!D52/100))+(Markov!$AP$35*(1-('Results summary'!D52/100)))+E51</f>
        <v>4123.265986</v>
      </c>
      <c r="K52" s="6"/>
      <c r="L52" s="6"/>
      <c r="M52" s="6"/>
      <c r="N52" s="6"/>
      <c r="O52" s="6"/>
      <c r="P52" s="6"/>
      <c r="Q52" s="6"/>
      <c r="R52" s="6"/>
      <c r="S52" s="6"/>
      <c r="T52" s="6"/>
      <c r="U52" s="6"/>
      <c r="V52" s="6"/>
      <c r="W52" s="6"/>
      <c r="X52" s="6"/>
      <c r="Y52" s="6"/>
      <c r="Z52" s="6"/>
      <c r="AA52" s="6"/>
    </row>
    <row r="53" ht="14.25" customHeight="1">
      <c r="A53" s="6"/>
      <c r="B53" s="6"/>
      <c r="C53" s="105">
        <v>3.0</v>
      </c>
      <c r="D53" s="26">
        <f>i_Int_Kend_MS</f>
        <v>0</v>
      </c>
      <c r="E53" s="104">
        <f>(MarkovKendall!$AP$35*('Results summary'!D53/100))+(Markov!$AP$35*(1-('Results summary'!D53/100)))+E52</f>
        <v>6184.898978</v>
      </c>
      <c r="K53" s="6"/>
      <c r="L53" s="6"/>
      <c r="M53" s="6"/>
      <c r="N53" s="6"/>
      <c r="O53" s="6"/>
      <c r="P53" s="6"/>
      <c r="Q53" s="6"/>
      <c r="R53" s="6"/>
      <c r="S53" s="6"/>
      <c r="T53" s="6"/>
      <c r="U53" s="6"/>
      <c r="V53" s="6"/>
      <c r="W53" s="6"/>
      <c r="X53" s="6"/>
      <c r="Y53" s="6"/>
      <c r="Z53" s="6"/>
      <c r="AA53" s="6"/>
    </row>
    <row r="54" ht="14.25" customHeight="1">
      <c r="A54" s="6"/>
      <c r="B54" s="6"/>
      <c r="C54" s="105">
        <v>4.0</v>
      </c>
      <c r="D54" s="26">
        <f>i_Int_Kend_MS</f>
        <v>0</v>
      </c>
      <c r="E54" s="104">
        <f>(MarkovKendall!$AP$35*('Results summary'!D54/100))+(Markov!$AP$35*(1-('Results summary'!D54/100)))+E53</f>
        <v>8246.531971</v>
      </c>
      <c r="K54" s="6"/>
      <c r="L54" s="6"/>
      <c r="M54" s="6"/>
      <c r="N54" s="6"/>
      <c r="O54" s="6"/>
      <c r="P54" s="6"/>
      <c r="Q54" s="6"/>
      <c r="R54" s="6"/>
      <c r="S54" s="6"/>
      <c r="T54" s="6"/>
      <c r="U54" s="6"/>
      <c r="V54" s="6"/>
      <c r="W54" s="6"/>
      <c r="X54" s="6"/>
      <c r="Y54" s="6"/>
      <c r="Z54" s="6"/>
      <c r="AA54" s="6"/>
    </row>
    <row r="55" ht="14.25" customHeight="1">
      <c r="A55" s="6"/>
      <c r="B55" s="6"/>
      <c r="C55" s="105">
        <v>5.0</v>
      </c>
      <c r="D55" s="26">
        <f>i_Int_Kend_MS</f>
        <v>0</v>
      </c>
      <c r="E55" s="104">
        <f>(MarkovKendall!$AP$35*('Results summary'!D55/100))+(Markov!$AP$35*(1-('Results summary'!D55/100)))+E54</f>
        <v>10308.16496</v>
      </c>
      <c r="K55" s="6"/>
      <c r="L55" s="6"/>
      <c r="M55" s="6"/>
      <c r="N55" s="6"/>
      <c r="O55" s="6"/>
      <c r="P55" s="6"/>
      <c r="Q55" s="6"/>
      <c r="R55" s="6"/>
      <c r="S55" s="6"/>
      <c r="T55" s="6"/>
      <c r="U55" s="6"/>
      <c r="V55" s="6"/>
      <c r="W55" s="6"/>
      <c r="X55" s="6"/>
      <c r="Y55" s="6"/>
      <c r="Z55" s="6"/>
      <c r="AA55" s="6"/>
    </row>
    <row r="56" ht="14.25" customHeight="1">
      <c r="A56" s="6"/>
      <c r="B56" s="6"/>
      <c r="C56" s="105"/>
      <c r="D56" s="26"/>
      <c r="E56" s="106"/>
      <c r="K56" s="6"/>
      <c r="L56" s="6"/>
      <c r="M56" s="6"/>
      <c r="N56" s="6"/>
      <c r="O56" s="6"/>
      <c r="P56" s="6"/>
      <c r="Q56" s="6"/>
      <c r="R56" s="6"/>
      <c r="S56" s="6"/>
      <c r="T56" s="6"/>
      <c r="U56" s="6"/>
      <c r="V56" s="6"/>
      <c r="W56" s="6"/>
      <c r="X56" s="6"/>
      <c r="Y56" s="6"/>
      <c r="Z56" s="6"/>
      <c r="AA56" s="6"/>
    </row>
    <row r="57" ht="14.25" customHeight="1">
      <c r="A57" s="6"/>
      <c r="B57" s="6"/>
      <c r="C57" s="105"/>
      <c r="D57" s="26"/>
      <c r="E57" s="106"/>
      <c r="K57" s="6"/>
      <c r="L57" s="6"/>
      <c r="M57" s="6"/>
      <c r="N57" s="6"/>
      <c r="O57" s="6"/>
      <c r="P57" s="6"/>
      <c r="Q57" s="6"/>
      <c r="R57" s="6"/>
      <c r="S57" s="6"/>
      <c r="T57" s="6"/>
      <c r="U57" s="6"/>
      <c r="V57" s="6"/>
      <c r="W57" s="6"/>
      <c r="X57" s="6"/>
      <c r="Y57" s="6"/>
      <c r="Z57" s="6"/>
      <c r="AA57" s="6"/>
    </row>
    <row r="58" ht="14.25" customHeight="1">
      <c r="A58" s="6"/>
      <c r="B58" s="6"/>
      <c r="C58" s="97" t="s">
        <v>144</v>
      </c>
      <c r="D58" s="49" t="s">
        <v>139</v>
      </c>
      <c r="E58" s="107">
        <f>MIN(100,i_Int_Kend_MS+(i_Int_Kend_MS_inc*ROUNDUP(E59,0)))</f>
        <v>100</v>
      </c>
      <c r="K58" s="6"/>
      <c r="L58" s="6"/>
      <c r="M58" s="6"/>
      <c r="N58" s="6"/>
      <c r="O58" s="6"/>
      <c r="P58" s="6"/>
      <c r="Q58" s="6"/>
      <c r="R58" s="6"/>
      <c r="S58" s="6"/>
      <c r="T58" s="6"/>
      <c r="U58" s="6"/>
      <c r="V58" s="6"/>
      <c r="W58" s="6"/>
      <c r="X58" s="6"/>
      <c r="Y58" s="6"/>
      <c r="Z58" s="6"/>
      <c r="AA58" s="6"/>
    </row>
    <row r="59" ht="14.25" customHeight="1">
      <c r="A59" s="6"/>
      <c r="B59" s="6"/>
      <c r="C59" s="103"/>
      <c r="D59" s="26" t="s">
        <v>57</v>
      </c>
      <c r="E59" s="108">
        <v>1.0</v>
      </c>
      <c r="K59" s="6"/>
      <c r="L59" s="6"/>
      <c r="M59" s="6"/>
      <c r="N59" s="6"/>
      <c r="O59" s="6"/>
      <c r="P59" s="6"/>
      <c r="Q59" s="6"/>
      <c r="R59" s="6"/>
      <c r="S59" s="6"/>
      <c r="T59" s="6"/>
      <c r="U59" s="6"/>
      <c r="V59" s="6"/>
      <c r="W59" s="6"/>
      <c r="X59" s="6"/>
      <c r="Y59" s="6"/>
      <c r="Z59" s="6"/>
      <c r="AA59" s="6"/>
    </row>
    <row r="60" ht="14.25" customHeight="1">
      <c r="A60" s="6"/>
      <c r="B60" s="6"/>
      <c r="C60" s="103">
        <v>0.5</v>
      </c>
      <c r="D60" s="26">
        <f>MIN(100,i_Int_Kend_MS+(i_Int_Kend_MS_inc*ROUNDUP(C61,0)))</f>
        <v>100</v>
      </c>
      <c r="E60" s="104">
        <f>(MarkovKendall!$AP$35*('Results summary'!D60/100))+(Markov!$AP$35*(1-('Results summary'!D60/100)))</f>
        <v>2036.012615</v>
      </c>
      <c r="K60" s="6"/>
      <c r="L60" s="6"/>
      <c r="M60" s="6"/>
      <c r="N60" s="6"/>
      <c r="O60" s="6"/>
      <c r="P60" s="6"/>
      <c r="Q60" s="6"/>
      <c r="R60" s="6"/>
      <c r="S60" s="6"/>
      <c r="T60" s="6"/>
      <c r="U60" s="6"/>
      <c r="V60" s="6"/>
      <c r="W60" s="6"/>
      <c r="X60" s="6"/>
      <c r="Y60" s="6"/>
      <c r="Z60" s="6"/>
      <c r="AA60" s="6"/>
    </row>
    <row r="61" ht="14.25" customHeight="1">
      <c r="A61" s="6"/>
      <c r="B61" s="6"/>
      <c r="C61" s="105">
        <v>1.0</v>
      </c>
      <c r="D61" s="26">
        <f>MIN(100,i_Int_Kend_MS+(i_Int_Kend_MS_inc*ROUNDUP(C61,0)))</f>
        <v>100</v>
      </c>
      <c r="E61" s="104">
        <f>(MarkovKendall!$AP$35*('Results summary'!D61/100))+(Markov!$AP$35*(1-('Results summary'!D61/100)))</f>
        <v>2036.012615</v>
      </c>
      <c r="K61" s="6"/>
      <c r="L61" s="6"/>
      <c r="M61" s="6"/>
      <c r="N61" s="6"/>
      <c r="O61" s="6"/>
      <c r="P61" s="6"/>
      <c r="Q61" s="6"/>
      <c r="R61" s="6"/>
      <c r="S61" s="6"/>
      <c r="T61" s="6"/>
      <c r="U61" s="6"/>
      <c r="V61" s="6"/>
      <c r="W61" s="6"/>
      <c r="X61" s="6"/>
      <c r="Y61" s="6"/>
      <c r="Z61" s="6"/>
      <c r="AA61" s="6"/>
    </row>
    <row r="62" ht="14.25" customHeight="1">
      <c r="A62" s="6"/>
      <c r="B62" s="6"/>
      <c r="C62" s="105">
        <v>2.0</v>
      </c>
      <c r="D62" s="26">
        <f>MIN(100,i_Int_Kend_MS+(i_Int_Kend_MS_inc*ROUNDUP(C62,0)))</f>
        <v>100</v>
      </c>
      <c r="E62" s="104">
        <f>(MarkovKendall!$AP$35*('Results summary'!D62/100))+(Markov!$AP$35*(1-('Results summary'!D62/100)))+E61</f>
        <v>4072.025229</v>
      </c>
      <c r="K62" s="6"/>
      <c r="L62" s="6"/>
      <c r="M62" s="6"/>
      <c r="N62" s="6"/>
      <c r="O62" s="6"/>
      <c r="P62" s="6"/>
      <c r="Q62" s="6"/>
      <c r="R62" s="6"/>
      <c r="S62" s="6"/>
      <c r="T62" s="6"/>
      <c r="U62" s="6"/>
      <c r="V62" s="6"/>
      <c r="W62" s="6"/>
      <c r="X62" s="6"/>
      <c r="Y62" s="6"/>
      <c r="Z62" s="6"/>
      <c r="AA62" s="6"/>
    </row>
    <row r="63" ht="14.25" customHeight="1">
      <c r="A63" s="6"/>
      <c r="B63" s="6"/>
      <c r="C63" s="105">
        <v>3.0</v>
      </c>
      <c r="D63" s="26">
        <f>MIN(100,i_Int_Kend_MS+(i_Int_Kend_MS_inc*ROUNDUP(C63,0)))</f>
        <v>100</v>
      </c>
      <c r="E63" s="104">
        <f>(MarkovKendall!$AP$35*('Results summary'!D63/100))+(Markov!$AP$35*(1-('Results summary'!D63/100)))+E62</f>
        <v>6108.037844</v>
      </c>
      <c r="K63" s="6"/>
      <c r="L63" s="6"/>
      <c r="M63" s="6"/>
      <c r="N63" s="6"/>
      <c r="O63" s="6"/>
      <c r="P63" s="6"/>
      <c r="Q63" s="6"/>
      <c r="R63" s="6"/>
      <c r="S63" s="6"/>
      <c r="T63" s="6"/>
      <c r="U63" s="6"/>
      <c r="V63" s="6"/>
      <c r="W63" s="6"/>
      <c r="X63" s="6"/>
      <c r="Y63" s="6"/>
      <c r="Z63" s="6"/>
      <c r="AA63" s="6"/>
    </row>
    <row r="64" ht="14.25" customHeight="1">
      <c r="A64" s="6"/>
      <c r="B64" s="6"/>
      <c r="C64" s="105">
        <v>4.0</v>
      </c>
      <c r="D64" s="26">
        <f>MIN(100,i_Int_Kend_MS+(i_Int_Kend_MS_inc*ROUNDUP(C64,0)))</f>
        <v>100</v>
      </c>
      <c r="E64" s="104">
        <f>(MarkovKendall!$AP$35*('Results summary'!D64/100))+(Markov!$AP$35*(1-('Results summary'!D64/100)))+E63</f>
        <v>8144.050458</v>
      </c>
      <c r="K64" s="6"/>
      <c r="L64" s="6"/>
      <c r="M64" s="6"/>
      <c r="N64" s="6"/>
      <c r="O64" s="6"/>
      <c r="P64" s="6"/>
      <c r="Q64" s="6"/>
      <c r="R64" s="6"/>
      <c r="S64" s="6"/>
      <c r="T64" s="6"/>
      <c r="U64" s="6"/>
      <c r="V64" s="6"/>
      <c r="W64" s="6"/>
      <c r="X64" s="6"/>
      <c r="Y64" s="6"/>
      <c r="Z64" s="6"/>
      <c r="AA64" s="6"/>
    </row>
    <row r="65" ht="14.25" customHeight="1">
      <c r="A65" s="6"/>
      <c r="B65" s="6"/>
      <c r="C65" s="109">
        <v>5.0</v>
      </c>
      <c r="D65" s="110">
        <f>MIN(100,i_Int_Kend_MS+(i_Int_Kend_MS_inc*ROUNDUP(C65,0)))</f>
        <v>100</v>
      </c>
      <c r="E65" s="111">
        <f>(MarkovKendall!$AP$35*('Results summary'!D65/100))+(Markov!$AP$35*(1-('Results summary'!D65/100)))+E64</f>
        <v>10180.06307</v>
      </c>
      <c r="K65" s="6"/>
      <c r="L65" s="6"/>
      <c r="M65" s="6"/>
      <c r="N65" s="6"/>
      <c r="O65" s="6"/>
      <c r="P65" s="6"/>
      <c r="Q65" s="6"/>
      <c r="R65" s="6"/>
      <c r="S65" s="6"/>
      <c r="T65" s="6"/>
      <c r="U65" s="6"/>
      <c r="V65" s="6"/>
      <c r="W65" s="6"/>
      <c r="X65" s="6"/>
      <c r="Y65" s="6"/>
      <c r="Z65" s="6"/>
      <c r="AA65" s="6"/>
    </row>
    <row r="66" ht="14.25" customHeight="1">
      <c r="A66" s="6"/>
      <c r="B66" s="6"/>
      <c r="C66" s="6"/>
      <c r="D66" s="6"/>
      <c r="E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3">
    <mergeCell ref="C1:U1"/>
    <mergeCell ref="C2:U2"/>
    <mergeCell ref="F4:V4"/>
  </mergeCells>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2" width="8.63"/>
    <col customWidth="1" min="3" max="3" width="9.88"/>
    <col customWidth="1" min="4" max="8" width="8.63"/>
    <col customWidth="1" min="9" max="9" width="9.88"/>
    <col customWidth="1" min="10" max="13" width="8.63"/>
    <col customWidth="1" min="14" max="14" width="12.0"/>
    <col customWidth="1" min="15" max="15" width="15.38"/>
    <col customWidth="1" min="16" max="16" width="9.13"/>
    <col customWidth="1" min="17" max="26" width="8.63"/>
  </cols>
  <sheetData>
    <row r="1" ht="14.25" customHeight="1"/>
    <row r="2" ht="14.25" customHeight="1"/>
    <row r="3" ht="14.25" customHeight="1">
      <c r="B3" s="115" t="s">
        <v>439</v>
      </c>
      <c r="C3" s="116"/>
      <c r="D3" s="116"/>
      <c r="E3" s="116"/>
      <c r="F3" s="116"/>
      <c r="G3" s="116"/>
      <c r="H3" s="117"/>
      <c r="I3" s="115" t="s">
        <v>440</v>
      </c>
      <c r="J3" s="116"/>
      <c r="K3" s="116"/>
      <c r="L3" s="116"/>
      <c r="M3" s="116"/>
      <c r="N3" s="116"/>
      <c r="O3" s="117"/>
      <c r="P3" s="6"/>
    </row>
    <row r="4" ht="14.25" customHeight="1">
      <c r="B4" s="118" t="s">
        <v>26</v>
      </c>
      <c r="C4" s="119" t="s">
        <v>441</v>
      </c>
      <c r="D4" s="120"/>
      <c r="E4" s="120"/>
      <c r="F4" s="120"/>
      <c r="G4" s="121"/>
      <c r="H4" s="26"/>
      <c r="I4" s="119" t="s">
        <v>442</v>
      </c>
      <c r="J4" s="120"/>
      <c r="K4" s="120"/>
      <c r="L4" s="120"/>
      <c r="M4" s="121"/>
      <c r="N4" s="6"/>
      <c r="O4" s="6"/>
      <c r="P4" s="6"/>
    </row>
    <row r="5" ht="14.25" customHeight="1">
      <c r="B5" s="122" t="s">
        <v>443</v>
      </c>
      <c r="C5" s="123" t="s">
        <v>444</v>
      </c>
      <c r="D5" s="124"/>
      <c r="E5" s="125"/>
      <c r="F5" s="125"/>
      <c r="G5" s="125"/>
      <c r="H5" s="126"/>
      <c r="I5" s="123" t="s">
        <v>444</v>
      </c>
      <c r="J5" s="124"/>
      <c r="K5" s="125"/>
      <c r="L5" s="125"/>
      <c r="M5" s="125"/>
      <c r="N5" s="6"/>
      <c r="P5" s="6" t="s">
        <v>445</v>
      </c>
      <c r="Q5" t="s">
        <v>446</v>
      </c>
    </row>
    <row r="6" ht="14.25" customHeight="1">
      <c r="B6" s="127">
        <v>0.0</v>
      </c>
      <c r="C6" s="128">
        <v>0.006499359849840403</v>
      </c>
      <c r="D6" s="129"/>
      <c r="E6" s="130"/>
      <c r="F6" s="130"/>
      <c r="G6" s="131"/>
      <c r="H6" s="132"/>
      <c r="I6" s="128">
        <v>0.00543211679905653</v>
      </c>
      <c r="J6" s="133"/>
      <c r="K6" s="134"/>
      <c r="L6" s="134"/>
      <c r="M6" s="135"/>
      <c r="N6" s="6" t="s">
        <v>26</v>
      </c>
      <c r="O6" s="30">
        <f>MAX(0,MIN(100,ROUND(i_Pop_Age,0)))</f>
        <v>73</v>
      </c>
      <c r="P6" s="30">
        <f>((OFFSET($C$6,$O$6,0)*((100-i_Pop_Gend)/100))+(OFFSET($I$6,$O$6,0)*(i_Pop_Gend/100)))</f>
        <v>0.02672789225</v>
      </c>
      <c r="Q6" s="30">
        <v>1.0</v>
      </c>
    </row>
    <row r="7" ht="14.25" customHeight="1">
      <c r="B7" s="127">
        <v>1.0</v>
      </c>
      <c r="C7" s="128">
        <v>4.4322083704173565E-4</v>
      </c>
      <c r="D7" s="129"/>
      <c r="E7" s="130"/>
      <c r="F7" s="130"/>
      <c r="G7" s="131"/>
      <c r="H7" s="132"/>
      <c r="I7" s="128">
        <v>3.7408433854579926E-4</v>
      </c>
      <c r="J7" s="133"/>
      <c r="K7" s="134"/>
      <c r="L7" s="134"/>
      <c r="M7" s="6" t="s">
        <v>21</v>
      </c>
      <c r="N7">
        <v>1.0</v>
      </c>
      <c r="O7" s="30">
        <f>IF(i_Set_Time&gt;=N7,1,0)</f>
        <v>1</v>
      </c>
      <c r="P7" s="30">
        <f>((OFFSET($C$6,$O$6+SUM($O$7:O7),0)*((100-i_Pop_Gend)/100))+(OFFSET($I$6,$O$6+SUM($O$7:O7),0)*(i_Pop_Gend/100)))*O7</f>
        <v>0.02920097601</v>
      </c>
      <c r="Q7" s="30">
        <f t="shared" ref="Q7:Q15" si="1">(Q6*(1-P7))*O7</f>
        <v>0.970799024</v>
      </c>
    </row>
    <row r="8" ht="14.25" customHeight="1">
      <c r="B8" s="127">
        <v>2.0</v>
      </c>
      <c r="C8" s="128">
        <v>3.03404638543725E-4</v>
      </c>
      <c r="D8" s="129"/>
      <c r="E8" s="130"/>
      <c r="F8" s="130"/>
      <c r="G8" s="131"/>
      <c r="H8" s="132"/>
      <c r="I8" s="128">
        <v>2.3431201407220215E-4</v>
      </c>
      <c r="J8" s="133"/>
      <c r="K8" s="134"/>
      <c r="L8" s="134"/>
      <c r="M8" s="135"/>
      <c r="N8">
        <v>2.0</v>
      </c>
      <c r="O8" s="30">
        <f>IF(i_Set_Time&gt;=N8,1,0)</f>
        <v>0</v>
      </c>
      <c r="P8" s="30">
        <f>((OFFSET($C$6,$O$6+SUM($O$7:O8),0)*((100-i_Pop_Gend)/100))+(OFFSET($I$6,$O$6+SUM($O$7:O8),0)*(i_Pop_Gend/100)))*O8</f>
        <v>0</v>
      </c>
      <c r="Q8" s="30">
        <f t="shared" si="1"/>
        <v>0</v>
      </c>
    </row>
    <row r="9" ht="14.25" customHeight="1">
      <c r="B9" s="127">
        <v>3.0</v>
      </c>
      <c r="C9" s="128">
        <v>2.241866459371522E-4</v>
      </c>
      <c r="D9" s="129"/>
      <c r="E9" s="130"/>
      <c r="F9" s="130"/>
      <c r="G9" s="131"/>
      <c r="H9" s="132"/>
      <c r="I9" s="128">
        <v>1.8201202328782529E-4</v>
      </c>
      <c r="J9" s="133"/>
      <c r="K9" s="134"/>
      <c r="L9" s="134"/>
      <c r="M9" s="135"/>
      <c r="N9" s="6">
        <v>3.0</v>
      </c>
      <c r="O9" s="30">
        <f>IF(i_Set_Time&gt;=N9,1,0)</f>
        <v>0</v>
      </c>
      <c r="P9" s="30">
        <f>((OFFSET($C$6,$O$6+SUM($O$7:O9),0)*((100-i_Pop_Gend)/100))+(OFFSET($I$6,$O$6+SUM($O$7:O9),0)*(i_Pop_Gend/100)))*O9</f>
        <v>0</v>
      </c>
      <c r="Q9" s="30">
        <f t="shared" si="1"/>
        <v>0</v>
      </c>
    </row>
    <row r="10" ht="14.25" customHeight="1">
      <c r="B10" s="127">
        <v>4.0</v>
      </c>
      <c r="C10" s="128">
        <v>2.0014467008877546E-4</v>
      </c>
      <c r="D10" s="129"/>
      <c r="E10" s="130"/>
      <c r="F10" s="130"/>
      <c r="G10" s="131"/>
      <c r="H10" s="132"/>
      <c r="I10" s="128">
        <v>1.4013845066074282E-4</v>
      </c>
      <c r="J10" s="133"/>
      <c r="K10" s="134"/>
      <c r="L10" s="134"/>
      <c r="M10" s="135"/>
      <c r="N10" s="6">
        <v>4.0</v>
      </c>
      <c r="O10" s="30">
        <f>IF(i_Set_Time&gt;=N10,1,0)</f>
        <v>0</v>
      </c>
      <c r="P10" s="30">
        <f>((OFFSET($C$6,$O$6+SUM($O$7:O10),0)*((100-i_Pop_Gend)/100))+(OFFSET($I$6,$O$6+SUM($O$7:O10),0)*(i_Pop_Gend/100)))*O10</f>
        <v>0</v>
      </c>
      <c r="Q10" s="30">
        <f t="shared" si="1"/>
        <v>0</v>
      </c>
    </row>
    <row r="11" ht="14.25" customHeight="1">
      <c r="B11" s="127">
        <v>5.0</v>
      </c>
      <c r="C11" s="128">
        <v>1.647240569582209E-4</v>
      </c>
      <c r="D11" s="129"/>
      <c r="E11" s="130"/>
      <c r="F11" s="130"/>
      <c r="G11" s="131"/>
      <c r="H11" s="132"/>
      <c r="I11" s="128">
        <v>1.2689716822933406E-4</v>
      </c>
      <c r="J11" s="133"/>
      <c r="K11" s="134"/>
      <c r="L11" s="134"/>
      <c r="M11" s="135"/>
      <c r="N11" s="6">
        <v>5.0</v>
      </c>
      <c r="O11" s="30">
        <f>IF(i_Set_Time&gt;=N11,1,0)</f>
        <v>0</v>
      </c>
      <c r="P11" s="30">
        <f>((OFFSET($C$6,$O$6+SUM($O$7:O11),0)*((100-i_Pop_Gend)/100))+(OFFSET($I$6,$O$6+SUM($O$7:O11),0)*(i_Pop_Gend/100)))*O11</f>
        <v>0</v>
      </c>
      <c r="Q11" s="30">
        <f t="shared" si="1"/>
        <v>0</v>
      </c>
    </row>
    <row r="12" ht="14.25" customHeight="1">
      <c r="B12" s="127">
        <v>6.0</v>
      </c>
      <c r="C12" s="128">
        <v>1.4357430336531252E-4</v>
      </c>
      <c r="D12" s="129"/>
      <c r="E12" s="130"/>
      <c r="F12" s="130"/>
      <c r="G12" s="131"/>
      <c r="H12" s="132"/>
      <c r="I12" s="128">
        <v>1.0973026655847207E-4</v>
      </c>
      <c r="J12" s="133"/>
      <c r="K12" s="134"/>
      <c r="L12" s="134"/>
      <c r="M12" s="135"/>
      <c r="N12" s="6">
        <v>6.0</v>
      </c>
      <c r="O12" s="30">
        <f>IF(i_Set_Time&gt;=N12,1,0)</f>
        <v>0</v>
      </c>
      <c r="P12" s="30">
        <f>((OFFSET($C$6,$O$6+SUM($O$7:O12),0)*((100-i_Pop_Gend)/100))+(OFFSET($I$6,$O$6+SUM($O$7:O12),0)*(i_Pop_Gend/100)))*O12</f>
        <v>0</v>
      </c>
      <c r="Q12" s="30">
        <f t="shared" si="1"/>
        <v>0</v>
      </c>
    </row>
    <row r="13" ht="14.25" customHeight="1">
      <c r="B13" s="127">
        <v>7.0</v>
      </c>
      <c r="C13" s="128">
        <v>1.25476872199215E-4</v>
      </c>
      <c r="D13" s="129"/>
      <c r="E13" s="130"/>
      <c r="F13" s="130"/>
      <c r="G13" s="131"/>
      <c r="H13" s="132"/>
      <c r="I13" s="128">
        <v>9.73861024249345E-5</v>
      </c>
      <c r="J13" s="133"/>
      <c r="K13" s="134"/>
      <c r="L13" s="134"/>
      <c r="M13" s="135"/>
      <c r="N13" s="6">
        <v>7.0</v>
      </c>
      <c r="O13" s="30">
        <f>IF(i_Set_Time&gt;=N13,1,0)</f>
        <v>0</v>
      </c>
      <c r="P13" s="30">
        <f>((OFFSET($C$6,$O$6+SUM($O$7:O13),0)*((100-i_Pop_Gend)/100))+(OFFSET($I$6,$O$6+SUM($O$7:O13),0)*(i_Pop_Gend/100)))*O13</f>
        <v>0</v>
      </c>
      <c r="Q13" s="30">
        <f t="shared" si="1"/>
        <v>0</v>
      </c>
    </row>
    <row r="14" ht="14.25" customHeight="1">
      <c r="B14" s="127">
        <v>8.0</v>
      </c>
      <c r="C14" s="128">
        <v>1.0729377390816808E-4</v>
      </c>
      <c r="D14" s="129"/>
      <c r="E14" s="130"/>
      <c r="F14" s="130"/>
      <c r="G14" s="131"/>
      <c r="H14" s="132"/>
      <c r="I14" s="128">
        <v>8.872717444319278E-5</v>
      </c>
      <c r="J14" s="133"/>
      <c r="K14" s="134"/>
      <c r="L14" s="134"/>
      <c r="M14" s="135"/>
      <c r="N14" s="6">
        <v>8.0</v>
      </c>
      <c r="O14" s="30">
        <f>IF(i_Set_Time&gt;=N14,1,0)</f>
        <v>0</v>
      </c>
      <c r="P14" s="30">
        <f>((OFFSET($C$6,$O$6+SUM($O$7:O14),0)*((100-i_Pop_Gend)/100))+(OFFSET($I$6,$O$6+SUM($O$7:O14),0)*(i_Pop_Gend/100)))*O14</f>
        <v>0</v>
      </c>
      <c r="Q14" s="30">
        <f t="shared" si="1"/>
        <v>0</v>
      </c>
    </row>
    <row r="15" ht="14.25" customHeight="1">
      <c r="B15" s="127">
        <v>9.0</v>
      </c>
      <c r="C15" s="128">
        <v>9.041312296176329E-5</v>
      </c>
      <c r="D15" s="129"/>
      <c r="E15" s="130"/>
      <c r="F15" s="130"/>
      <c r="G15" s="131"/>
      <c r="H15" s="132"/>
      <c r="I15" s="128">
        <v>8.366443944396451E-5</v>
      </c>
      <c r="J15" s="133"/>
      <c r="K15" s="134"/>
      <c r="L15" s="134"/>
      <c r="M15" s="135"/>
      <c r="N15" s="6">
        <v>9.0</v>
      </c>
      <c r="O15" s="30">
        <f>IF(i_Set_Time&gt;=N15,1,0)</f>
        <v>0</v>
      </c>
      <c r="P15" s="30">
        <f>((OFFSET($C$6,$O$6+SUM($O$7:O15),0)*((100-i_Pop_Gend)/100))+(OFFSET($I$6,$O$6+SUM($O$7:O15),0)*(i_Pop_Gend/100)))*O15</f>
        <v>0</v>
      </c>
      <c r="Q15" s="30">
        <f t="shared" si="1"/>
        <v>0</v>
      </c>
    </row>
    <row r="16" ht="14.25" customHeight="1">
      <c r="B16" s="127">
        <v>10.0</v>
      </c>
      <c r="C16" s="128">
        <v>8.105018059723079E-5</v>
      </c>
      <c r="D16" s="129"/>
      <c r="E16" s="130"/>
      <c r="F16" s="130"/>
      <c r="G16" s="131"/>
      <c r="H16" s="132"/>
      <c r="I16" s="128">
        <v>8.321261702803895E-5</v>
      </c>
      <c r="J16" s="133"/>
      <c r="K16" s="134"/>
      <c r="L16" s="134"/>
      <c r="M16" s="135"/>
      <c r="N16" s="6" t="s">
        <v>447</v>
      </c>
      <c r="O16" s="30">
        <f>MAX(0,MIN(100,ROUND(i_Pop_Age+O7,0)))</f>
        <v>74</v>
      </c>
    </row>
    <row r="17" ht="14.25" customHeight="1">
      <c r="B17" s="127">
        <v>11.0</v>
      </c>
      <c r="C17" s="128">
        <v>8.964773587649688E-5</v>
      </c>
      <c r="D17" s="129"/>
      <c r="E17" s="130"/>
      <c r="F17" s="130"/>
      <c r="G17" s="131"/>
      <c r="H17" s="132"/>
      <c r="I17" s="128">
        <v>8.933796198107302E-5</v>
      </c>
      <c r="J17" s="133"/>
      <c r="K17" s="134"/>
      <c r="L17" s="134"/>
      <c r="M17" s="135"/>
      <c r="N17" s="6"/>
      <c r="O17" s="6"/>
      <c r="P17" s="136"/>
    </row>
    <row r="18" ht="14.25" customHeight="1">
      <c r="B18" s="127">
        <v>12.0</v>
      </c>
      <c r="C18" s="128">
        <v>1.2831426283810288E-4</v>
      </c>
      <c r="D18" s="129"/>
      <c r="E18" s="130"/>
      <c r="F18" s="130"/>
      <c r="G18" s="131"/>
      <c r="H18" s="132"/>
      <c r="I18" s="128">
        <v>1.0437908349558711E-4</v>
      </c>
      <c r="J18" s="133"/>
      <c r="K18" s="134"/>
      <c r="L18" s="134"/>
      <c r="M18" s="135"/>
      <c r="N18" s="6"/>
      <c r="O18" s="6" t="s">
        <v>448</v>
      </c>
      <c r="P18" s="30">
        <f>SUMPRODUCT(P6:P15,Q6:Q15)</f>
        <v>0.05507617126</v>
      </c>
    </row>
    <row r="19" ht="14.25" customHeight="1">
      <c r="B19" s="127">
        <v>13.0</v>
      </c>
      <c r="C19" s="128">
        <v>2.0359031623229384E-4</v>
      </c>
      <c r="D19" s="129"/>
      <c r="E19" s="130"/>
      <c r="F19" s="130"/>
      <c r="G19" s="131"/>
      <c r="H19" s="132"/>
      <c r="I19" s="128">
        <v>1.294413668802008E-4</v>
      </c>
      <c r="J19" s="133"/>
      <c r="K19" s="134"/>
      <c r="L19" s="134"/>
      <c r="M19" s="135"/>
      <c r="N19" s="6"/>
      <c r="O19" s="6" t="s">
        <v>449</v>
      </c>
      <c r="P19" s="30">
        <f>IF(SUM(Q6:Q15)=0,P6,P18/SUM(Q6:Q15))</f>
        <v>0.02794611251</v>
      </c>
    </row>
    <row r="20" ht="14.25" customHeight="1">
      <c r="B20" s="127">
        <v>14.0</v>
      </c>
      <c r="C20" s="128">
        <v>3.0669974512420595E-4</v>
      </c>
      <c r="D20" s="129"/>
      <c r="E20" s="130"/>
      <c r="F20" s="130"/>
      <c r="G20" s="131"/>
      <c r="H20" s="132"/>
      <c r="I20" s="128">
        <v>1.621948176762089E-4</v>
      </c>
      <c r="J20" s="133"/>
      <c r="K20" s="134"/>
      <c r="L20" s="134"/>
      <c r="M20" s="135"/>
      <c r="N20" s="6"/>
      <c r="O20" s="6"/>
      <c r="P20" s="136"/>
    </row>
    <row r="21" ht="14.25" customHeight="1">
      <c r="B21" s="127">
        <v>15.0</v>
      </c>
      <c r="C21" s="128">
        <v>4.1529673035256565E-4</v>
      </c>
      <c r="D21" s="129"/>
      <c r="E21" s="130"/>
      <c r="F21" s="130"/>
      <c r="G21" s="131"/>
      <c r="H21" s="132"/>
      <c r="I21" s="128">
        <v>1.986937568290159E-4</v>
      </c>
      <c r="J21" s="133"/>
      <c r="K21" s="134"/>
      <c r="L21" s="134"/>
      <c r="M21" s="135"/>
      <c r="N21" s="6"/>
      <c r="O21" s="6"/>
      <c r="P21" s="136"/>
    </row>
    <row r="22" ht="14.25" customHeight="1">
      <c r="B22" s="127">
        <v>16.0</v>
      </c>
      <c r="C22" s="128">
        <v>5.243979976512492E-4</v>
      </c>
      <c r="D22" s="129"/>
      <c r="E22" s="130"/>
      <c r="F22" s="130"/>
      <c r="G22" s="131"/>
      <c r="H22" s="132"/>
      <c r="I22" s="128">
        <v>2.362341620028019E-4</v>
      </c>
      <c r="J22" s="133"/>
      <c r="K22" s="134"/>
      <c r="L22" s="134"/>
      <c r="M22" s="135"/>
      <c r="N22" s="6"/>
      <c r="O22" s="6"/>
      <c r="P22" s="136"/>
    </row>
    <row r="23" ht="14.25" customHeight="1">
      <c r="B23" s="127">
        <v>17.0</v>
      </c>
      <c r="C23" s="128">
        <v>6.462883320637047E-4</v>
      </c>
      <c r="D23" s="129"/>
      <c r="E23" s="130"/>
      <c r="F23" s="130"/>
      <c r="G23" s="131"/>
      <c r="H23" s="132"/>
      <c r="I23" s="128">
        <v>2.7434175717644393E-4</v>
      </c>
      <c r="J23" s="133"/>
      <c r="K23" s="134"/>
      <c r="L23" s="134"/>
      <c r="M23" s="135"/>
      <c r="N23" s="6"/>
      <c r="O23" s="6"/>
      <c r="P23" s="136"/>
    </row>
    <row r="24" ht="14.25" customHeight="1">
      <c r="B24" s="127">
        <v>18.0</v>
      </c>
      <c r="C24" s="128">
        <v>7.791579701006413E-4</v>
      </c>
      <c r="D24" s="129"/>
      <c r="E24" s="130"/>
      <c r="F24" s="130"/>
      <c r="G24" s="131"/>
      <c r="H24" s="132"/>
      <c r="I24" s="128">
        <v>3.110757970716804E-4</v>
      </c>
      <c r="J24" s="133"/>
      <c r="K24" s="134"/>
      <c r="L24" s="134"/>
      <c r="M24" s="135"/>
      <c r="N24" s="6"/>
      <c r="O24" s="6"/>
      <c r="P24" s="136"/>
    </row>
    <row r="25" ht="14.25" customHeight="1">
      <c r="B25" s="127">
        <v>19.0</v>
      </c>
      <c r="C25" s="128">
        <v>9.140615584328771E-4</v>
      </c>
      <c r="D25" s="129"/>
      <c r="E25" s="130"/>
      <c r="F25" s="130"/>
      <c r="G25" s="131"/>
      <c r="H25" s="132"/>
      <c r="I25" s="128">
        <v>3.458300489000976E-4</v>
      </c>
      <c r="J25" s="133"/>
      <c r="K25" s="134"/>
      <c r="L25" s="134"/>
      <c r="M25" s="135"/>
      <c r="N25" s="6"/>
      <c r="O25" s="6"/>
      <c r="P25" s="136"/>
    </row>
    <row r="26" ht="14.25" customHeight="1">
      <c r="B26" s="127">
        <v>20.0</v>
      </c>
      <c r="C26" s="128">
        <v>0.0010527335107326508</v>
      </c>
      <c r="D26" s="129"/>
      <c r="E26" s="130"/>
      <c r="F26" s="130"/>
      <c r="G26" s="131"/>
      <c r="H26" s="132"/>
      <c r="I26" s="128">
        <v>3.812237991951406E-4</v>
      </c>
      <c r="J26" s="133"/>
      <c r="K26" s="134"/>
      <c r="L26" s="134"/>
      <c r="M26" s="135"/>
      <c r="N26" s="6"/>
      <c r="O26" s="6"/>
      <c r="P26" s="136"/>
    </row>
    <row r="27" ht="14.25" customHeight="1">
      <c r="B27" s="127">
        <v>21.0</v>
      </c>
      <c r="C27" s="128">
        <v>0.00117829954251647</v>
      </c>
      <c r="D27" s="129"/>
      <c r="E27" s="130"/>
      <c r="F27" s="130"/>
      <c r="G27" s="131"/>
      <c r="H27" s="132"/>
      <c r="I27" s="128">
        <v>4.159191739745438E-4</v>
      </c>
      <c r="J27" s="133"/>
      <c r="K27" s="134"/>
      <c r="L27" s="134"/>
      <c r="M27" s="135"/>
      <c r="N27" s="6"/>
      <c r="O27" s="6"/>
      <c r="P27" s="136"/>
    </row>
    <row r="28" ht="14.25" customHeight="1">
      <c r="B28" s="127">
        <v>22.0</v>
      </c>
      <c r="C28" s="128">
        <v>0.0012698824284598231</v>
      </c>
      <c r="D28" s="129"/>
      <c r="E28" s="130"/>
      <c r="F28" s="130"/>
      <c r="G28" s="131"/>
      <c r="H28" s="132"/>
      <c r="I28" s="128">
        <v>4.4611271005123854E-4</v>
      </c>
      <c r="J28" s="133"/>
      <c r="K28" s="134"/>
      <c r="L28" s="134"/>
      <c r="M28" s="135"/>
      <c r="N28" s="6"/>
      <c r="O28" s="6"/>
      <c r="P28" s="136"/>
    </row>
    <row r="29" ht="14.25" customHeight="1">
      <c r="B29" s="127">
        <v>23.0</v>
      </c>
      <c r="C29" s="128">
        <v>0.0013191349571570754</v>
      </c>
      <c r="D29" s="129"/>
      <c r="E29" s="130"/>
      <c r="F29" s="130"/>
      <c r="G29" s="131"/>
      <c r="H29" s="132"/>
      <c r="I29" s="128">
        <v>4.7138126683421433E-4</v>
      </c>
      <c r="J29" s="133"/>
      <c r="K29" s="134"/>
      <c r="L29" s="134"/>
      <c r="M29" s="135"/>
      <c r="N29" s="6"/>
      <c r="O29" s="6"/>
      <c r="P29" s="136"/>
    </row>
    <row r="30" ht="14.25" customHeight="1">
      <c r="B30" s="127">
        <v>24.0</v>
      </c>
      <c r="C30" s="128">
        <v>0.0013374800328165293</v>
      </c>
      <c r="D30" s="129"/>
      <c r="E30" s="130"/>
      <c r="F30" s="130"/>
      <c r="G30" s="131"/>
      <c r="H30" s="132"/>
      <c r="I30" s="128">
        <v>4.939961945638061E-4</v>
      </c>
      <c r="J30" s="133"/>
      <c r="K30" s="134"/>
      <c r="L30" s="134"/>
      <c r="M30" s="135"/>
      <c r="N30" s="6"/>
      <c r="O30" s="6"/>
      <c r="P30" s="136"/>
    </row>
    <row r="31" ht="14.25" customHeight="1">
      <c r="B31" s="127">
        <v>25.0</v>
      </c>
      <c r="C31" s="128">
        <v>0.001345720374956727</v>
      </c>
      <c r="D31" s="129"/>
      <c r="E31" s="130"/>
      <c r="F31" s="130"/>
      <c r="G31" s="131"/>
      <c r="H31" s="132"/>
      <c r="I31" s="128">
        <v>5.171200609765947E-4</v>
      </c>
      <c r="J31" s="133"/>
      <c r="K31" s="134"/>
      <c r="L31" s="134"/>
      <c r="M31" s="135"/>
      <c r="N31" s="6"/>
      <c r="O31" s="6"/>
      <c r="P31" s="136"/>
    </row>
    <row r="32" ht="14.25" customHeight="1">
      <c r="B32" s="127">
        <v>26.0</v>
      </c>
      <c r="C32" s="128">
        <v>0.0013585990527644753</v>
      </c>
      <c r="D32" s="129"/>
      <c r="E32" s="130"/>
      <c r="F32" s="130"/>
      <c r="G32" s="131"/>
      <c r="H32" s="132"/>
      <c r="I32" s="128">
        <v>5.427849246188998E-4</v>
      </c>
      <c r="J32" s="133"/>
      <c r="K32" s="134"/>
      <c r="L32" s="134"/>
      <c r="M32" s="135"/>
      <c r="N32" s="6"/>
      <c r="O32" s="6"/>
      <c r="P32" s="136"/>
    </row>
    <row r="33" ht="14.25" customHeight="1">
      <c r="B33" s="127">
        <v>27.0</v>
      </c>
      <c r="C33" s="128">
        <v>0.0013729312922805548</v>
      </c>
      <c r="D33" s="129"/>
      <c r="E33" s="130"/>
      <c r="F33" s="130"/>
      <c r="G33" s="131"/>
      <c r="H33" s="132"/>
      <c r="I33" s="128">
        <v>5.705335061065853E-4</v>
      </c>
      <c r="J33" s="133"/>
      <c r="K33" s="134"/>
      <c r="L33" s="134"/>
      <c r="M33" s="135"/>
      <c r="N33" s="6"/>
      <c r="O33" s="6"/>
      <c r="P33" s="136"/>
    </row>
    <row r="34" ht="14.25" customHeight="1">
      <c r="B34" s="127">
        <v>28.0</v>
      </c>
      <c r="C34" s="128">
        <v>0.0013937377370893955</v>
      </c>
      <c r="D34" s="129"/>
      <c r="E34" s="130"/>
      <c r="F34" s="130"/>
      <c r="G34" s="131"/>
      <c r="H34" s="132"/>
      <c r="I34" s="128">
        <v>6.005078903399408E-4</v>
      </c>
      <c r="J34" s="133"/>
      <c r="K34" s="134"/>
      <c r="L34" s="134"/>
      <c r="M34" s="135"/>
      <c r="N34" s="6"/>
      <c r="O34" s="6"/>
      <c r="P34" s="136"/>
    </row>
    <row r="35" ht="14.25" customHeight="1">
      <c r="B35" s="127">
        <v>29.0</v>
      </c>
      <c r="C35" s="128">
        <v>0.001419860403984785</v>
      </c>
      <c r="D35" s="129"/>
      <c r="E35" s="130"/>
      <c r="F35" s="130"/>
      <c r="G35" s="131"/>
      <c r="H35" s="132"/>
      <c r="I35" s="128">
        <v>6.323806010186672E-4</v>
      </c>
      <c r="J35" s="133"/>
      <c r="K35" s="134"/>
      <c r="L35" s="134"/>
      <c r="M35" s="135"/>
      <c r="N35" s="6"/>
      <c r="O35" s="6"/>
      <c r="P35" s="136"/>
    </row>
    <row r="36" ht="14.25" customHeight="1">
      <c r="B36" s="127">
        <v>30.0</v>
      </c>
      <c r="C36" s="128">
        <v>0.0014484726125374436</v>
      </c>
      <c r="D36" s="129"/>
      <c r="E36" s="130"/>
      <c r="F36" s="130"/>
      <c r="G36" s="131"/>
      <c r="H36" s="132"/>
      <c r="I36" s="128">
        <v>6.683056708425283E-4</v>
      </c>
      <c r="J36" s="133"/>
      <c r="K36" s="134"/>
      <c r="L36" s="134"/>
      <c r="M36" s="135"/>
      <c r="N36" s="6"/>
      <c r="O36" s="6"/>
      <c r="P36" s="136"/>
    </row>
    <row r="37" ht="14.25" customHeight="1">
      <c r="B37" s="127">
        <v>31.0</v>
      </c>
      <c r="C37" s="128">
        <v>0.0014767893590033054</v>
      </c>
      <c r="D37" s="129"/>
      <c r="E37" s="130"/>
      <c r="F37" s="130"/>
      <c r="G37" s="131"/>
      <c r="H37" s="132"/>
      <c r="I37" s="128">
        <v>7.069503189995885E-4</v>
      </c>
      <c r="J37" s="133"/>
      <c r="K37" s="134"/>
      <c r="L37" s="134"/>
      <c r="M37" s="135"/>
      <c r="N37" s="6"/>
      <c r="O37" s="6"/>
      <c r="P37" s="136"/>
    </row>
    <row r="38" ht="14.25" customHeight="1">
      <c r="B38" s="127">
        <v>32.0</v>
      </c>
      <c r="C38" s="128">
        <v>0.0015060203149914742</v>
      </c>
      <c r="D38" s="129"/>
      <c r="E38" s="130"/>
      <c r="F38" s="130"/>
      <c r="G38" s="131"/>
      <c r="H38" s="132"/>
      <c r="I38" s="128">
        <v>7.453958969563246E-4</v>
      </c>
      <c r="J38" s="133"/>
      <c r="K38" s="134"/>
      <c r="L38" s="134"/>
      <c r="M38" s="135"/>
      <c r="N38" s="6"/>
      <c r="O38" s="6"/>
      <c r="P38" s="136"/>
    </row>
    <row r="39" ht="14.25" customHeight="1">
      <c r="B39" s="127">
        <v>33.0</v>
      </c>
      <c r="C39" s="128">
        <v>0.0015370127512142062</v>
      </c>
      <c r="D39" s="129"/>
      <c r="E39" s="130"/>
      <c r="F39" s="130"/>
      <c r="G39" s="131"/>
      <c r="H39" s="132"/>
      <c r="I39" s="128">
        <v>7.838416495360434E-4</v>
      </c>
      <c r="J39" s="133"/>
      <c r="K39" s="134"/>
      <c r="L39" s="134"/>
      <c r="M39" s="135"/>
      <c r="N39" s="6"/>
      <c r="O39" s="6"/>
      <c r="P39" s="136"/>
    </row>
    <row r="40" ht="14.25" customHeight="1">
      <c r="B40" s="127">
        <v>34.0</v>
      </c>
      <c r="C40" s="128">
        <v>0.0015740980161353946</v>
      </c>
      <c r="D40" s="129"/>
      <c r="E40" s="130"/>
      <c r="F40" s="130"/>
      <c r="G40" s="131"/>
      <c r="H40" s="132"/>
      <c r="I40" s="128">
        <v>8.259793394245207E-4</v>
      </c>
      <c r="J40" s="133"/>
      <c r="K40" s="134"/>
      <c r="L40" s="134"/>
      <c r="M40" s="135"/>
      <c r="N40" s="6"/>
      <c r="O40" s="6"/>
      <c r="P40" s="136"/>
    </row>
    <row r="41" ht="14.25" customHeight="1">
      <c r="B41" s="127">
        <v>35.0</v>
      </c>
      <c r="C41" s="128">
        <v>0.001625271630473435</v>
      </c>
      <c r="D41" s="129"/>
      <c r="E41" s="130"/>
      <c r="F41" s="130"/>
      <c r="G41" s="131"/>
      <c r="H41" s="132"/>
      <c r="I41" s="128">
        <v>8.776593022048473E-4</v>
      </c>
      <c r="J41" s="133"/>
      <c r="K41" s="134"/>
      <c r="L41" s="134"/>
      <c r="M41" s="135"/>
      <c r="N41" s="6"/>
      <c r="O41" s="6"/>
      <c r="P41" s="136"/>
    </row>
    <row r="42" ht="14.25" customHeight="1">
      <c r="B42" s="127">
        <v>36.0</v>
      </c>
      <c r="C42" s="128">
        <v>0.0016936315223574638</v>
      </c>
      <c r="D42" s="129"/>
      <c r="E42" s="130"/>
      <c r="F42" s="130"/>
      <c r="G42" s="131"/>
      <c r="H42" s="132"/>
      <c r="I42" s="128">
        <v>9.416670654900372E-4</v>
      </c>
      <c r="J42" s="133"/>
      <c r="K42" s="134"/>
      <c r="L42" s="134"/>
      <c r="M42" s="135"/>
      <c r="N42" s="6"/>
      <c r="O42" s="6"/>
      <c r="P42" s="136"/>
    </row>
    <row r="43" ht="14.25" customHeight="1">
      <c r="B43" s="127">
        <v>37.0</v>
      </c>
      <c r="C43" s="128">
        <v>0.0017752581043168902</v>
      </c>
      <c r="D43" s="129"/>
      <c r="E43" s="130"/>
      <c r="F43" s="130"/>
      <c r="G43" s="131"/>
      <c r="H43" s="132"/>
      <c r="I43" s="128">
        <v>0.0010153691982850432</v>
      </c>
      <c r="J43" s="133"/>
      <c r="K43" s="134"/>
      <c r="L43" s="134"/>
      <c r="M43" s="135"/>
      <c r="N43" s="6"/>
      <c r="O43" s="6"/>
      <c r="P43" s="136"/>
    </row>
    <row r="44" ht="14.25" customHeight="1">
      <c r="B44" s="127">
        <v>38.0</v>
      </c>
      <c r="C44" s="128">
        <v>0.0018670775461941957</v>
      </c>
      <c r="D44" s="129"/>
      <c r="E44" s="130"/>
      <c r="F44" s="130"/>
      <c r="G44" s="131"/>
      <c r="H44" s="132"/>
      <c r="I44" s="128">
        <v>0.00109610497020185</v>
      </c>
      <c r="J44" s="133"/>
      <c r="K44" s="134"/>
      <c r="L44" s="134"/>
      <c r="M44" s="135"/>
      <c r="N44" s="6"/>
      <c r="O44" s="6"/>
      <c r="P44" s="136"/>
    </row>
    <row r="45" ht="14.25" customHeight="1">
      <c r="B45" s="127">
        <v>39.0</v>
      </c>
      <c r="C45" s="128">
        <v>0.001970163080841303</v>
      </c>
      <c r="D45" s="129"/>
      <c r="E45" s="130"/>
      <c r="F45" s="130"/>
      <c r="G45" s="131"/>
      <c r="H45" s="132"/>
      <c r="I45" s="128">
        <v>0.0011831854935735464</v>
      </c>
      <c r="J45" s="133"/>
      <c r="K45" s="134"/>
      <c r="L45" s="134"/>
      <c r="M45" s="135"/>
      <c r="N45" s="6"/>
      <c r="O45" s="6"/>
      <c r="P45" s="136"/>
    </row>
    <row r="46" ht="14.25" customHeight="1">
      <c r="B46" s="127">
        <v>40.0</v>
      </c>
      <c r="C46" s="128">
        <v>0.0020872079767286777</v>
      </c>
      <c r="D46" s="129"/>
      <c r="E46" s="130"/>
      <c r="F46" s="130"/>
      <c r="G46" s="131"/>
      <c r="H46" s="132"/>
      <c r="I46" s="128">
        <v>0.0012760453391820192</v>
      </c>
      <c r="J46" s="133"/>
      <c r="K46" s="134"/>
      <c r="L46" s="134"/>
      <c r="M46" s="135"/>
      <c r="N46" s="6"/>
      <c r="O46" s="6"/>
      <c r="P46" s="136"/>
    </row>
    <row r="47" ht="14.25" customHeight="1">
      <c r="B47" s="127">
        <v>41.0</v>
      </c>
      <c r="C47" s="128">
        <v>0.002227060729637742</v>
      </c>
      <c r="D47" s="129"/>
      <c r="E47" s="130"/>
      <c r="F47" s="130"/>
      <c r="G47" s="131"/>
      <c r="H47" s="132"/>
      <c r="I47" s="128">
        <v>0.0013811256503686309</v>
      </c>
      <c r="J47" s="133"/>
      <c r="K47" s="134"/>
      <c r="L47" s="134"/>
      <c r="M47" s="135"/>
      <c r="N47" s="6"/>
      <c r="O47" s="6"/>
      <c r="P47" s="136"/>
    </row>
    <row r="48" ht="14.25" customHeight="1">
      <c r="B48" s="127">
        <v>42.0</v>
      </c>
      <c r="C48" s="128">
        <v>0.002397752832621336</v>
      </c>
      <c r="D48" s="129"/>
      <c r="E48" s="130"/>
      <c r="F48" s="130"/>
      <c r="G48" s="131"/>
      <c r="H48" s="132"/>
      <c r="I48" s="128">
        <v>0.0015058639692142606</v>
      </c>
      <c r="J48" s="133"/>
      <c r="K48" s="134"/>
      <c r="L48" s="134"/>
      <c r="M48" s="135"/>
      <c r="N48" s="6"/>
      <c r="O48" s="6"/>
      <c r="P48" s="136"/>
    </row>
    <row r="49" ht="14.25" customHeight="1">
      <c r="B49" s="127">
        <v>43.0</v>
      </c>
      <c r="C49" s="128">
        <v>0.0026088880840688944</v>
      </c>
      <c r="D49" s="129"/>
      <c r="E49" s="130"/>
      <c r="F49" s="130"/>
      <c r="G49" s="131"/>
      <c r="H49" s="132"/>
      <c r="I49" s="128">
        <v>0.0016569722210988402</v>
      </c>
      <c r="J49" s="133"/>
      <c r="K49" s="134"/>
      <c r="L49" s="134"/>
      <c r="M49" s="135"/>
      <c r="N49" s="6"/>
      <c r="O49" s="6"/>
      <c r="P49" s="136"/>
    </row>
    <row r="50" ht="14.25" customHeight="1">
      <c r="B50" s="127">
        <v>44.0</v>
      </c>
      <c r="C50" s="128">
        <v>0.0028619917575269938</v>
      </c>
      <c r="D50" s="129"/>
      <c r="E50" s="130"/>
      <c r="F50" s="130"/>
      <c r="G50" s="131"/>
      <c r="H50" s="132"/>
      <c r="I50" s="128">
        <v>0.001833544229157269</v>
      </c>
      <c r="J50" s="133"/>
      <c r="K50" s="134"/>
      <c r="L50" s="134"/>
      <c r="M50" s="135"/>
      <c r="N50" s="6"/>
      <c r="O50" s="6"/>
      <c r="P50" s="136"/>
    </row>
    <row r="51" ht="14.25" customHeight="1">
      <c r="B51" s="127">
        <v>45.0</v>
      </c>
      <c r="C51" s="128">
        <v>0.00313638336956501</v>
      </c>
      <c r="D51" s="129"/>
      <c r="E51" s="130"/>
      <c r="F51" s="130"/>
      <c r="G51" s="131"/>
      <c r="H51" s="132"/>
      <c r="I51" s="128">
        <v>0.0020222351886332035</v>
      </c>
      <c r="J51" s="133"/>
      <c r="K51" s="134"/>
      <c r="L51" s="134"/>
      <c r="M51" s="135"/>
      <c r="N51" s="6"/>
      <c r="O51" s="6"/>
      <c r="P51" s="136"/>
    </row>
    <row r="52" ht="14.25" customHeight="1">
      <c r="B52" s="127">
        <v>46.0</v>
      </c>
      <c r="C52" s="128">
        <v>0.0034375761169940233</v>
      </c>
      <c r="D52" s="129"/>
      <c r="E52" s="130"/>
      <c r="F52" s="130"/>
      <c r="G52" s="131"/>
      <c r="H52" s="132"/>
      <c r="I52" s="128">
        <v>0.0022218951489776373</v>
      </c>
      <c r="J52" s="133"/>
      <c r="K52" s="134"/>
      <c r="L52" s="134"/>
      <c r="M52" s="135"/>
      <c r="N52" s="6"/>
      <c r="O52" s="6"/>
      <c r="P52" s="136"/>
    </row>
    <row r="53" ht="14.25" customHeight="1">
      <c r="B53" s="127">
        <v>47.0</v>
      </c>
      <c r="C53" s="128">
        <v>0.003793343435972929</v>
      </c>
      <c r="D53" s="129"/>
      <c r="E53" s="130"/>
      <c r="F53" s="130"/>
      <c r="G53" s="131"/>
      <c r="H53" s="132"/>
      <c r="I53" s="128">
        <v>0.002444228623062372</v>
      </c>
      <c r="J53" s="133"/>
      <c r="K53" s="134"/>
      <c r="L53" s="134"/>
      <c r="M53" s="135"/>
      <c r="N53" s="6"/>
      <c r="O53" s="6"/>
      <c r="P53" s="136"/>
    </row>
    <row r="54" ht="14.25" customHeight="1">
      <c r="B54" s="127">
        <v>48.0</v>
      </c>
      <c r="C54" s="128">
        <v>0.0042051649652421474</v>
      </c>
      <c r="D54" s="129"/>
      <c r="E54" s="130"/>
      <c r="F54" s="130"/>
      <c r="G54" s="131"/>
      <c r="H54" s="132"/>
      <c r="I54" s="128">
        <v>0.0026871641166508198</v>
      </c>
      <c r="J54" s="133"/>
      <c r="K54" s="134"/>
      <c r="L54" s="134"/>
      <c r="M54" s="135"/>
      <c r="N54" s="6"/>
      <c r="O54" s="6"/>
      <c r="P54" s="136"/>
    </row>
    <row r="55" ht="14.25" customHeight="1">
      <c r="B55" s="127">
        <v>49.0</v>
      </c>
      <c r="C55" s="128">
        <v>0.004654239863157272</v>
      </c>
      <c r="D55" s="129"/>
      <c r="E55" s="130"/>
      <c r="F55" s="130"/>
      <c r="G55" s="131"/>
      <c r="H55" s="132"/>
      <c r="I55" s="128">
        <v>0.0029422305524349213</v>
      </c>
      <c r="J55" s="133"/>
      <c r="K55" s="134"/>
      <c r="L55" s="134"/>
      <c r="M55" s="135"/>
      <c r="N55" s="6"/>
      <c r="O55" s="6"/>
      <c r="P55" s="136"/>
    </row>
    <row r="56" ht="14.25" customHeight="1">
      <c r="B56" s="127">
        <v>50.0</v>
      </c>
      <c r="C56" s="128">
        <v>0.005114908795803785</v>
      </c>
      <c r="D56" s="129"/>
      <c r="E56" s="130"/>
      <c r="F56" s="130"/>
      <c r="G56" s="131"/>
      <c r="H56" s="132"/>
      <c r="I56" s="128">
        <v>0.0032046197447925806</v>
      </c>
      <c r="J56" s="133"/>
      <c r="K56" s="134"/>
      <c r="L56" s="134"/>
      <c r="M56" s="135"/>
      <c r="N56" s="6"/>
      <c r="O56" s="6"/>
      <c r="P56" s="136"/>
    </row>
    <row r="57" ht="14.25" customHeight="1">
      <c r="B57" s="127">
        <v>51.0</v>
      </c>
      <c r="C57" s="128">
        <v>0.005581367295235395</v>
      </c>
      <c r="D57" s="129"/>
      <c r="E57" s="130"/>
      <c r="F57" s="130"/>
      <c r="G57" s="131"/>
      <c r="H57" s="132"/>
      <c r="I57" s="128">
        <v>0.0034699628595262766</v>
      </c>
      <c r="J57" s="133"/>
      <c r="K57" s="134"/>
      <c r="L57" s="134"/>
      <c r="M57" s="135"/>
      <c r="N57" s="6"/>
      <c r="O57" s="6"/>
      <c r="P57" s="136"/>
    </row>
    <row r="58" ht="14.25" customHeight="1">
      <c r="B58" s="127">
        <v>52.0</v>
      </c>
      <c r="C58" s="128">
        <v>0.00607176823541522</v>
      </c>
      <c r="D58" s="129"/>
      <c r="E58" s="130"/>
      <c r="F58" s="130"/>
      <c r="G58" s="131"/>
      <c r="H58" s="132"/>
      <c r="I58" s="128">
        <v>0.0037382894661277533</v>
      </c>
      <c r="J58" s="133"/>
      <c r="K58" s="134"/>
      <c r="L58" s="134"/>
      <c r="M58" s="135"/>
      <c r="N58" s="6"/>
      <c r="O58" s="6"/>
      <c r="P58" s="136"/>
    </row>
    <row r="59" ht="14.25" customHeight="1">
      <c r="B59" s="127">
        <v>53.0</v>
      </c>
      <c r="C59" s="128">
        <v>0.006600272376090288</v>
      </c>
      <c r="D59" s="129"/>
      <c r="E59" s="130"/>
      <c r="F59" s="130"/>
      <c r="G59" s="131"/>
      <c r="H59" s="132"/>
      <c r="I59" s="128">
        <v>0.004014432895928621</v>
      </c>
      <c r="J59" s="133"/>
      <c r="K59" s="134"/>
      <c r="L59" s="134"/>
      <c r="M59" s="135"/>
      <c r="N59" s="6"/>
      <c r="O59" s="6"/>
      <c r="P59" s="136"/>
    </row>
    <row r="60" ht="14.25" customHeight="1">
      <c r="B60" s="127">
        <v>54.0</v>
      </c>
      <c r="C60" s="128">
        <v>0.007173071149736643</v>
      </c>
      <c r="D60" s="129"/>
      <c r="E60" s="130"/>
      <c r="F60" s="130"/>
      <c r="G60" s="131"/>
      <c r="H60" s="132"/>
      <c r="I60" s="128">
        <v>0.004306447226554155</v>
      </c>
      <c r="J60" s="133"/>
      <c r="K60" s="134"/>
      <c r="L60" s="134"/>
      <c r="M60" s="135"/>
      <c r="N60" s="6"/>
      <c r="O60" s="6"/>
      <c r="P60" s="136"/>
    </row>
    <row r="61" ht="14.25" customHeight="1">
      <c r="B61" s="127">
        <v>55.0</v>
      </c>
      <c r="C61" s="128">
        <v>0.007790976203978062</v>
      </c>
      <c r="D61" s="129"/>
      <c r="E61" s="130"/>
      <c r="F61" s="130"/>
      <c r="G61" s="131"/>
      <c r="H61" s="132"/>
      <c r="I61" s="128">
        <v>0.004621520172804594</v>
      </c>
      <c r="J61" s="133"/>
      <c r="K61" s="134"/>
      <c r="L61" s="134"/>
      <c r="M61" s="135"/>
      <c r="N61" s="6"/>
      <c r="O61" s="6"/>
      <c r="P61" s="136"/>
    </row>
    <row r="62" ht="14.25" customHeight="1">
      <c r="B62" s="127">
        <v>56.0</v>
      </c>
      <c r="C62" s="128">
        <v>0.008437554351985455</v>
      </c>
      <c r="D62" s="129"/>
      <c r="E62" s="130"/>
      <c r="F62" s="130"/>
      <c r="G62" s="131"/>
      <c r="H62" s="132"/>
      <c r="I62" s="128">
        <v>0.004960722755640745</v>
      </c>
      <c r="J62" s="133"/>
      <c r="K62" s="134"/>
      <c r="L62" s="134"/>
      <c r="M62" s="135"/>
      <c r="N62" s="6"/>
      <c r="O62" s="6"/>
      <c r="P62" s="136"/>
    </row>
    <row r="63" ht="14.25" customHeight="1">
      <c r="B63" s="127">
        <v>57.0</v>
      </c>
      <c r="C63" s="128">
        <v>0.009100488387048244</v>
      </c>
      <c r="D63" s="129"/>
      <c r="E63" s="130"/>
      <c r="F63" s="130"/>
      <c r="G63" s="131"/>
      <c r="H63" s="132"/>
      <c r="I63" s="128">
        <v>0.00532407546415925</v>
      </c>
      <c r="J63" s="133"/>
      <c r="K63" s="134"/>
      <c r="L63" s="134"/>
      <c r="M63" s="135"/>
      <c r="N63" s="6"/>
      <c r="O63" s="6"/>
      <c r="P63" s="136"/>
    </row>
    <row r="64" ht="14.25" customHeight="1">
      <c r="B64" s="127">
        <v>58.0</v>
      </c>
      <c r="C64" s="128">
        <v>0.009765473194420338</v>
      </c>
      <c r="D64" s="129"/>
      <c r="E64" s="130"/>
      <c r="F64" s="130"/>
      <c r="G64" s="131"/>
      <c r="H64" s="132"/>
      <c r="I64" s="128">
        <v>0.005712114740163088</v>
      </c>
      <c r="J64" s="133"/>
      <c r="K64" s="134"/>
      <c r="L64" s="134"/>
      <c r="M64" s="135"/>
      <c r="N64" s="6"/>
      <c r="O64" s="6"/>
      <c r="P64" s="136"/>
    </row>
    <row r="65" ht="14.25" customHeight="1">
      <c r="B65" s="127">
        <v>59.0</v>
      </c>
      <c r="C65" s="128">
        <v>0.010439339093863964</v>
      </c>
      <c r="D65" s="129"/>
      <c r="E65" s="130"/>
      <c r="F65" s="130"/>
      <c r="G65" s="131"/>
      <c r="H65" s="132"/>
      <c r="I65" s="128">
        <v>0.006129332352429628</v>
      </c>
      <c r="J65" s="133"/>
      <c r="K65" s="134"/>
      <c r="L65" s="134"/>
      <c r="M65" s="135"/>
      <c r="N65" s="6"/>
      <c r="O65" s="6"/>
      <c r="P65" s="136"/>
    </row>
    <row r="66" ht="14.25" customHeight="1">
      <c r="B66" s="127">
        <v>60.0</v>
      </c>
      <c r="C66" s="128">
        <v>0.011155830696225166</v>
      </c>
      <c r="D66" s="129"/>
      <c r="E66" s="130"/>
      <c r="F66" s="130"/>
      <c r="G66" s="131"/>
      <c r="H66" s="132"/>
      <c r="I66" s="128">
        <v>0.006579097826033831</v>
      </c>
      <c r="J66" s="133"/>
      <c r="K66" s="134"/>
      <c r="L66" s="134"/>
      <c r="M66" s="135"/>
      <c r="N66" s="6"/>
      <c r="O66" s="6"/>
      <c r="P66" s="136"/>
    </row>
    <row r="67" ht="14.25" customHeight="1">
      <c r="B67" s="127">
        <v>61.0</v>
      </c>
      <c r="C67" s="128">
        <v>0.0119291627779603</v>
      </c>
      <c r="D67" s="129"/>
      <c r="E67" s="130"/>
      <c r="F67" s="130"/>
      <c r="G67" s="131"/>
      <c r="H67" s="132"/>
      <c r="I67" s="128">
        <v>0.007075001019984484</v>
      </c>
      <c r="J67" s="133"/>
      <c r="K67" s="134"/>
      <c r="L67" s="134"/>
      <c r="M67" s="135"/>
      <c r="N67" s="6"/>
      <c r="O67" s="6"/>
      <c r="P67" s="136"/>
    </row>
    <row r="68" ht="14.25" customHeight="1">
      <c r="B68" s="127">
        <v>62.0</v>
      </c>
      <c r="C68" s="128">
        <v>0.012740211561322212</v>
      </c>
      <c r="D68" s="129"/>
      <c r="E68" s="130"/>
      <c r="F68" s="130"/>
      <c r="G68" s="131"/>
      <c r="H68" s="132"/>
      <c r="I68" s="128">
        <v>0.007634362205862999</v>
      </c>
      <c r="J68" s="133"/>
      <c r="K68" s="134"/>
      <c r="L68" s="134"/>
      <c r="M68" s="135"/>
      <c r="N68" s="6"/>
      <c r="O68" s="6"/>
      <c r="P68" s="136"/>
    </row>
    <row r="69" ht="14.25" customHeight="1">
      <c r="B69" s="127">
        <v>63.0</v>
      </c>
      <c r="C69" s="128">
        <v>0.013592835515737534</v>
      </c>
      <c r="D69" s="129"/>
      <c r="E69" s="130"/>
      <c r="F69" s="130"/>
      <c r="G69" s="131"/>
      <c r="H69" s="132"/>
      <c r="I69" s="128">
        <v>0.008273652754724026</v>
      </c>
      <c r="J69" s="133"/>
      <c r="K69" s="134"/>
      <c r="L69" s="134"/>
      <c r="M69" s="135"/>
      <c r="N69" s="6"/>
      <c r="O69" s="6"/>
      <c r="P69" s="136"/>
    </row>
    <row r="70" ht="14.25" customHeight="1">
      <c r="B70" s="127">
        <v>64.0</v>
      </c>
      <c r="C70" s="128">
        <v>0.01450450997799635</v>
      </c>
      <c r="D70" s="129"/>
      <c r="E70" s="130"/>
      <c r="F70" s="130"/>
      <c r="G70" s="131"/>
      <c r="H70" s="132"/>
      <c r="I70" s="128">
        <v>0.008998464792966843</v>
      </c>
      <c r="J70" s="133"/>
      <c r="K70" s="134"/>
      <c r="L70" s="134"/>
      <c r="M70" s="135"/>
      <c r="N70" s="6"/>
      <c r="O70" s="6"/>
      <c r="P70" s="136"/>
    </row>
    <row r="71" ht="14.25" customHeight="1">
      <c r="B71" s="127">
        <v>65.0</v>
      </c>
      <c r="C71" s="128">
        <v>0.015501448884606361</v>
      </c>
      <c r="D71" s="129"/>
      <c r="E71" s="130"/>
      <c r="F71" s="130"/>
      <c r="G71" s="131"/>
      <c r="H71" s="132"/>
      <c r="I71" s="128">
        <v>0.00982628483325243</v>
      </c>
      <c r="J71" s="133"/>
      <c r="K71" s="134"/>
      <c r="L71" s="134"/>
      <c r="M71" s="135"/>
      <c r="N71" s="6"/>
      <c r="O71" s="6"/>
      <c r="P71" s="136"/>
    </row>
    <row r="72" ht="14.25" customHeight="1">
      <c r="B72" s="127">
        <v>66.0</v>
      </c>
      <c r="C72" s="128">
        <v>0.01661369949579239</v>
      </c>
      <c r="D72" s="129"/>
      <c r="E72" s="130"/>
      <c r="F72" s="130"/>
      <c r="G72" s="131"/>
      <c r="H72" s="132"/>
      <c r="I72" s="128">
        <v>0.01074514165520668</v>
      </c>
      <c r="J72" s="133"/>
      <c r="K72" s="134"/>
      <c r="L72" s="134"/>
      <c r="M72" s="135"/>
      <c r="N72" s="6"/>
      <c r="O72" s="6"/>
      <c r="P72" s="136"/>
    </row>
    <row r="73" ht="14.25" customHeight="1">
      <c r="B73" s="127">
        <v>67.0</v>
      </c>
      <c r="C73" s="128">
        <v>0.017888326197862625</v>
      </c>
      <c r="D73" s="129"/>
      <c r="E73" s="130"/>
      <c r="F73" s="130"/>
      <c r="G73" s="131"/>
      <c r="H73" s="132"/>
      <c r="I73" s="128">
        <v>0.011747980490326881</v>
      </c>
      <c r="J73" s="133"/>
      <c r="K73" s="134"/>
      <c r="L73" s="134"/>
      <c r="M73" s="135"/>
      <c r="N73" s="6"/>
      <c r="O73" s="6"/>
      <c r="P73" s="136"/>
    </row>
    <row r="74" ht="14.25" customHeight="1">
      <c r="B74" s="127">
        <v>68.0</v>
      </c>
      <c r="C74" s="128">
        <v>0.01932746358215809</v>
      </c>
      <c r="D74" s="129"/>
      <c r="E74" s="130"/>
      <c r="F74" s="130"/>
      <c r="G74" s="131"/>
      <c r="H74" s="132"/>
      <c r="I74" s="128">
        <v>0.012811129912734032</v>
      </c>
      <c r="J74" s="133"/>
      <c r="K74" s="134"/>
      <c r="L74" s="134"/>
      <c r="M74" s="135"/>
      <c r="N74" s="6"/>
      <c r="O74" s="6"/>
      <c r="P74" s="136"/>
    </row>
    <row r="75" ht="14.25" customHeight="1">
      <c r="B75" s="127">
        <v>69.0</v>
      </c>
      <c r="C75" s="128">
        <v>0.020930007100105286</v>
      </c>
      <c r="D75" s="129"/>
      <c r="E75" s="130"/>
      <c r="F75" s="130"/>
      <c r="G75" s="131"/>
      <c r="H75" s="132"/>
      <c r="I75" s="128">
        <v>0.013959741219878197</v>
      </c>
      <c r="J75" s="133"/>
      <c r="K75" s="134"/>
      <c r="L75" s="134"/>
      <c r="M75" s="135"/>
      <c r="N75" s="6"/>
      <c r="O75" s="6"/>
      <c r="P75" s="136"/>
    </row>
    <row r="76" ht="14.25" customHeight="1">
      <c r="B76" s="127">
        <v>70.0</v>
      </c>
      <c r="C76" s="128">
        <v>0.02283419482409954</v>
      </c>
      <c r="D76" s="129"/>
      <c r="E76" s="130"/>
      <c r="F76" s="130"/>
      <c r="G76" s="131"/>
      <c r="H76" s="132"/>
      <c r="I76" s="128">
        <v>0.015316738747060299</v>
      </c>
      <c r="J76" s="133"/>
      <c r="K76" s="134"/>
      <c r="L76" s="134"/>
      <c r="M76" s="135"/>
      <c r="N76" s="6"/>
      <c r="O76" s="6"/>
      <c r="P76" s="136"/>
    </row>
    <row r="77" ht="14.25" customHeight="1">
      <c r="B77" s="127">
        <v>71.0</v>
      </c>
      <c r="C77" s="128">
        <v>0.02502533234655857</v>
      </c>
      <c r="D77" s="129"/>
      <c r="E77" s="130"/>
      <c r="F77" s="130"/>
      <c r="G77" s="131"/>
      <c r="H77" s="132"/>
      <c r="I77" s="128">
        <v>0.01693488471210003</v>
      </c>
      <c r="J77" s="133"/>
      <c r="K77" s="134"/>
      <c r="L77" s="134"/>
      <c r="M77" s="135"/>
      <c r="N77" s="6"/>
      <c r="O77" s="6"/>
      <c r="P77" s="136"/>
    </row>
    <row r="78" ht="14.25" customHeight="1">
      <c r="B78" s="127">
        <v>72.0</v>
      </c>
      <c r="C78" s="128">
        <v>0.02744920365512371</v>
      </c>
      <c r="D78" s="129"/>
      <c r="E78" s="130"/>
      <c r="F78" s="130"/>
      <c r="G78" s="131"/>
      <c r="H78" s="132"/>
      <c r="I78" s="128">
        <v>0.018673837184906006</v>
      </c>
      <c r="J78" s="133"/>
      <c r="K78" s="134"/>
      <c r="L78" s="134"/>
      <c r="M78" s="135"/>
      <c r="N78" s="6"/>
      <c r="O78" s="6"/>
      <c r="P78" s="136"/>
    </row>
    <row r="79" ht="14.25" customHeight="1">
      <c r="B79" s="127">
        <v>73.0</v>
      </c>
      <c r="C79" s="128">
        <v>0.030016779899597168</v>
      </c>
      <c r="D79" s="129"/>
      <c r="E79" s="130"/>
      <c r="F79" s="130"/>
      <c r="G79" s="131"/>
      <c r="H79" s="132"/>
      <c r="I79" s="128">
        <v>0.02053871750831604</v>
      </c>
      <c r="J79" s="133"/>
      <c r="K79" s="134"/>
      <c r="L79" s="134"/>
      <c r="M79" s="135"/>
      <c r="N79" s="6"/>
      <c r="O79" s="6"/>
      <c r="P79" s="136"/>
    </row>
    <row r="80" ht="14.25" customHeight="1">
      <c r="B80" s="127">
        <v>74.0</v>
      </c>
      <c r="C80" s="128">
        <v>0.03268658369779587</v>
      </c>
      <c r="D80" s="129"/>
      <c r="E80" s="130"/>
      <c r="F80" s="130"/>
      <c r="G80" s="131"/>
      <c r="H80" s="132"/>
      <c r="I80" s="128">
        <v>0.022641604766249657</v>
      </c>
      <c r="J80" s="133"/>
      <c r="K80" s="134"/>
      <c r="L80" s="134"/>
      <c r="M80" s="135"/>
      <c r="N80" s="6"/>
      <c r="O80" s="6"/>
      <c r="P80" s="136"/>
    </row>
    <row r="81" ht="14.25" customHeight="1">
      <c r="B81" s="127">
        <v>75.0</v>
      </c>
      <c r="C81" s="128">
        <v>0.035636089742183685</v>
      </c>
      <c r="D81" s="129"/>
      <c r="E81" s="130"/>
      <c r="F81" s="130"/>
      <c r="G81" s="131"/>
      <c r="H81" s="132"/>
      <c r="I81" s="128">
        <v>0.025028366595506668</v>
      </c>
      <c r="J81" s="133"/>
      <c r="K81" s="134"/>
      <c r="L81" s="134"/>
      <c r="M81" s="135"/>
      <c r="N81" s="6"/>
      <c r="O81" s="6"/>
      <c r="P81" s="136"/>
    </row>
    <row r="82" ht="14.25" customHeight="1">
      <c r="B82" s="127">
        <v>76.0</v>
      </c>
      <c r="C82" s="128">
        <v>0.03910284861922264</v>
      </c>
      <c r="D82" s="129"/>
      <c r="E82" s="130"/>
      <c r="F82" s="130"/>
      <c r="G82" s="131"/>
      <c r="H82" s="132"/>
      <c r="I82" s="128">
        <v>0.0278264619410038</v>
      </c>
      <c r="J82" s="133"/>
      <c r="K82" s="134"/>
      <c r="L82" s="134"/>
      <c r="M82" s="135"/>
      <c r="N82" s="6"/>
      <c r="O82" s="6"/>
      <c r="P82" s="136"/>
    </row>
    <row r="83" ht="14.25" customHeight="1">
      <c r="B83" s="127">
        <v>77.0</v>
      </c>
      <c r="C83" s="128">
        <v>0.04313311353325844</v>
      </c>
      <c r="D83" s="129"/>
      <c r="E83" s="130"/>
      <c r="F83" s="130"/>
      <c r="G83" s="131"/>
      <c r="H83" s="132"/>
      <c r="I83" s="128">
        <v>0.030907955020666122</v>
      </c>
      <c r="J83" s="133"/>
      <c r="K83" s="134"/>
      <c r="L83" s="134"/>
      <c r="M83" s="135"/>
      <c r="N83" s="6"/>
      <c r="O83" s="6"/>
      <c r="P83" s="136"/>
    </row>
    <row r="84" ht="14.25" customHeight="1">
      <c r="B84" s="127">
        <v>78.0</v>
      </c>
      <c r="C84" s="128">
        <v>0.047637853771448135</v>
      </c>
      <c r="D84" s="129"/>
      <c r="E84" s="130"/>
      <c r="F84" s="130"/>
      <c r="G84" s="131"/>
      <c r="H84" s="132"/>
      <c r="I84" s="128">
        <v>0.03432130068540573</v>
      </c>
      <c r="J84" s="133"/>
      <c r="K84" s="134"/>
      <c r="L84" s="134"/>
      <c r="M84" s="135"/>
      <c r="N84" s="6"/>
      <c r="O84" s="6"/>
      <c r="P84" s="136"/>
    </row>
    <row r="85" ht="14.25" customHeight="1">
      <c r="B85" s="127">
        <v>79.0</v>
      </c>
      <c r="C85" s="128">
        <v>0.05291452631354332</v>
      </c>
      <c r="D85" s="129"/>
      <c r="E85" s="130"/>
      <c r="F85" s="130"/>
      <c r="G85" s="131"/>
      <c r="H85" s="132"/>
      <c r="I85" s="128">
        <v>0.03845151513814926</v>
      </c>
      <c r="J85" s="133"/>
      <c r="K85" s="134"/>
      <c r="L85" s="134"/>
      <c r="M85" s="135"/>
      <c r="N85" s="6"/>
      <c r="O85" s="6"/>
      <c r="P85" s="136"/>
    </row>
    <row r="86" ht="14.25" customHeight="1">
      <c r="B86" s="127">
        <v>80.0</v>
      </c>
      <c r="C86" s="128">
        <v>0.05844989791512489</v>
      </c>
      <c r="D86" s="129"/>
      <c r="E86" s="130"/>
      <c r="F86" s="130"/>
      <c r="G86" s="131"/>
      <c r="H86" s="132"/>
      <c r="I86" s="128">
        <v>0.042724188417196274</v>
      </c>
      <c r="J86" s="133"/>
      <c r="K86" s="134"/>
      <c r="L86" s="134"/>
      <c r="M86" s="135"/>
      <c r="N86" s="6"/>
      <c r="O86" s="6"/>
      <c r="P86" s="136"/>
    </row>
    <row r="87" ht="14.25" customHeight="1">
      <c r="B87" s="127">
        <v>81.0</v>
      </c>
      <c r="C87" s="128">
        <v>0.06442170590162277</v>
      </c>
      <c r="D87" s="129"/>
      <c r="E87" s="130"/>
      <c r="F87" s="130"/>
      <c r="G87" s="131"/>
      <c r="H87" s="132"/>
      <c r="I87" s="128">
        <v>0.04738664627075195</v>
      </c>
      <c r="J87" s="133"/>
      <c r="K87" s="134"/>
      <c r="L87" s="134"/>
      <c r="M87" s="135"/>
      <c r="N87" s="6"/>
      <c r="O87" s="6"/>
      <c r="P87" s="136"/>
    </row>
    <row r="88" ht="14.25" customHeight="1">
      <c r="B88" s="127">
        <v>82.0</v>
      </c>
      <c r="C88" s="128">
        <v>0.07140824943780899</v>
      </c>
      <c r="D88" s="129"/>
      <c r="E88" s="130"/>
      <c r="F88" s="130"/>
      <c r="G88" s="131"/>
      <c r="H88" s="132"/>
      <c r="I88" s="128">
        <v>0.05259983614087105</v>
      </c>
      <c r="J88" s="133"/>
      <c r="K88" s="134"/>
      <c r="L88" s="134"/>
      <c r="M88" s="135"/>
      <c r="N88" s="6"/>
      <c r="O88" s="6"/>
      <c r="P88" s="136"/>
    </row>
    <row r="89" ht="14.25" customHeight="1">
      <c r="B89" s="127">
        <v>83.0</v>
      </c>
      <c r="C89" s="128">
        <v>0.07949131727218628</v>
      </c>
      <c r="D89" s="129"/>
      <c r="E89" s="130"/>
      <c r="F89" s="130"/>
      <c r="G89" s="131"/>
      <c r="H89" s="132"/>
      <c r="I89" s="128">
        <v>0.05885867401957512</v>
      </c>
      <c r="J89" s="133"/>
      <c r="K89" s="134"/>
      <c r="L89" s="134"/>
      <c r="M89" s="135"/>
      <c r="N89" s="6"/>
      <c r="O89" s="6"/>
      <c r="P89" s="136"/>
    </row>
    <row r="90" ht="14.25" customHeight="1">
      <c r="B90" s="127">
        <v>84.0</v>
      </c>
      <c r="C90" s="128">
        <v>0.08814427256584167</v>
      </c>
      <c r="D90" s="129"/>
      <c r="E90" s="130"/>
      <c r="F90" s="130"/>
      <c r="G90" s="131"/>
      <c r="H90" s="132"/>
      <c r="I90" s="128">
        <v>0.06613172590732574</v>
      </c>
      <c r="J90" s="133"/>
      <c r="K90" s="134"/>
      <c r="L90" s="134"/>
      <c r="M90" s="135"/>
      <c r="N90" s="6"/>
      <c r="O90" s="6"/>
      <c r="P90" s="136"/>
    </row>
    <row r="91" ht="14.25" customHeight="1">
      <c r="B91" s="127">
        <v>85.0</v>
      </c>
      <c r="C91" s="128">
        <v>0.09771333634853363</v>
      </c>
      <c r="D91" s="129"/>
      <c r="E91" s="130"/>
      <c r="F91" s="130"/>
      <c r="G91" s="131"/>
      <c r="H91" s="132"/>
      <c r="I91" s="128">
        <v>0.07469286769628525</v>
      </c>
      <c r="J91" s="133"/>
      <c r="K91" s="134"/>
      <c r="L91" s="134"/>
      <c r="M91" s="135"/>
      <c r="N91" s="6"/>
      <c r="O91" s="6"/>
      <c r="P91" s="136"/>
    </row>
    <row r="92" ht="14.25" customHeight="1">
      <c r="B92" s="127">
        <v>86.0</v>
      </c>
      <c r="C92" s="128">
        <v>0.10904411971569061</v>
      </c>
      <c r="D92" s="129"/>
      <c r="E92" s="130"/>
      <c r="F92" s="130"/>
      <c r="G92" s="131"/>
      <c r="H92" s="132"/>
      <c r="I92" s="128">
        <v>0.08393571525812149</v>
      </c>
      <c r="J92" s="133"/>
      <c r="K92" s="134"/>
      <c r="L92" s="134"/>
      <c r="M92" s="135"/>
      <c r="N92" s="6"/>
      <c r="O92" s="6"/>
      <c r="P92" s="136"/>
    </row>
    <row r="93" ht="14.25" customHeight="1">
      <c r="B93" s="127">
        <v>87.0</v>
      </c>
      <c r="C93" s="128">
        <v>0.12140844762325287</v>
      </c>
      <c r="D93" s="129"/>
      <c r="E93" s="130"/>
      <c r="F93" s="130"/>
      <c r="G93" s="131"/>
      <c r="H93" s="132"/>
      <c r="I93" s="128">
        <v>0.0941404178738594</v>
      </c>
      <c r="J93" s="133"/>
      <c r="K93" s="134"/>
      <c r="L93" s="134"/>
      <c r="M93" s="135"/>
      <c r="N93" s="6"/>
      <c r="O93" s="6"/>
      <c r="P93" s="136"/>
    </row>
    <row r="94" ht="14.25" customHeight="1">
      <c r="B94" s="127">
        <v>88.0</v>
      </c>
      <c r="C94" s="128">
        <v>0.13483573496341705</v>
      </c>
      <c r="D94" s="129"/>
      <c r="E94" s="130"/>
      <c r="F94" s="130"/>
      <c r="G94" s="131"/>
      <c r="H94" s="132"/>
      <c r="I94" s="128">
        <v>0.1053614690899849</v>
      </c>
      <c r="J94" s="133"/>
      <c r="K94" s="134"/>
      <c r="L94" s="134"/>
      <c r="M94" s="135"/>
      <c r="N94" s="6"/>
      <c r="O94" s="6"/>
      <c r="P94" s="136"/>
    </row>
    <row r="95" ht="14.25" customHeight="1">
      <c r="B95" s="127">
        <v>89.0</v>
      </c>
      <c r="C95" s="128">
        <v>0.14934130012989044</v>
      </c>
      <c r="D95" s="129"/>
      <c r="E95" s="130"/>
      <c r="F95" s="130"/>
      <c r="G95" s="131"/>
      <c r="H95" s="132"/>
      <c r="I95" s="128">
        <v>0.11764518171548843</v>
      </c>
      <c r="J95" s="133"/>
      <c r="K95" s="134"/>
      <c r="L95" s="134"/>
      <c r="M95" s="135"/>
      <c r="N95" s="6"/>
      <c r="O95" s="6"/>
      <c r="P95" s="136"/>
    </row>
    <row r="96" ht="14.25" customHeight="1">
      <c r="B96" s="127">
        <v>90.0</v>
      </c>
      <c r="C96" s="128">
        <v>0.16492345929145813</v>
      </c>
      <c r="D96" s="129"/>
      <c r="E96" s="130"/>
      <c r="F96" s="130"/>
      <c r="G96" s="131"/>
      <c r="H96" s="132"/>
      <c r="I96" s="128">
        <v>0.1310267150402069</v>
      </c>
      <c r="J96" s="133"/>
      <c r="K96" s="134"/>
      <c r="L96" s="134"/>
      <c r="M96" s="135"/>
      <c r="N96" s="6"/>
      <c r="O96" s="6"/>
      <c r="P96" s="136"/>
    </row>
    <row r="97" ht="14.25" customHeight="1">
      <c r="B97" s="127">
        <v>91.0</v>
      </c>
      <c r="C97" s="128">
        <v>0.18156082928180695</v>
      </c>
      <c r="D97" s="129"/>
      <c r="E97" s="130"/>
      <c r="F97" s="130"/>
      <c r="G97" s="131"/>
      <c r="H97" s="132"/>
      <c r="I97" s="128">
        <v>0.14552685618400574</v>
      </c>
      <c r="J97" s="133"/>
      <c r="K97" s="134"/>
      <c r="L97" s="134"/>
      <c r="M97" s="135"/>
      <c r="N97" s="6"/>
      <c r="O97" s="6"/>
      <c r="P97" s="136"/>
    </row>
    <row r="98" ht="14.25" customHeight="1">
      <c r="B98" s="127">
        <v>92.0</v>
      </c>
      <c r="C98" s="128">
        <v>0.19921019673347473</v>
      </c>
      <c r="D98" s="129"/>
      <c r="E98" s="130"/>
      <c r="F98" s="130"/>
      <c r="G98" s="131"/>
      <c r="H98" s="132"/>
      <c r="I98" s="128">
        <v>0.16114890575408936</v>
      </c>
      <c r="J98" s="133"/>
      <c r="K98" s="134"/>
      <c r="L98" s="134"/>
      <c r="M98" s="135"/>
      <c r="N98" s="6"/>
      <c r="O98" s="6"/>
      <c r="P98" s="136"/>
    </row>
    <row r="99" ht="14.25" customHeight="1">
      <c r="B99" s="127">
        <v>93.0</v>
      </c>
      <c r="C99" s="128">
        <v>0.2178049385547638</v>
      </c>
      <c r="D99" s="129"/>
      <c r="E99" s="130"/>
      <c r="F99" s="130"/>
      <c r="G99" s="131"/>
      <c r="H99" s="132"/>
      <c r="I99" s="128">
        <v>0.1778755635023117</v>
      </c>
      <c r="J99" s="133"/>
      <c r="K99" s="134"/>
      <c r="L99" s="134"/>
      <c r="M99" s="135"/>
      <c r="N99" s="6"/>
      <c r="O99" s="6"/>
      <c r="P99" s="136"/>
    </row>
    <row r="100" ht="14.25" customHeight="1">
      <c r="B100" s="127">
        <v>94.0</v>
      </c>
      <c r="C100" s="128">
        <v>0.23725441098213196</v>
      </c>
      <c r="D100" s="129"/>
      <c r="E100" s="130"/>
      <c r="F100" s="130"/>
      <c r="G100" s="131"/>
      <c r="H100" s="132"/>
      <c r="I100" s="128">
        <v>0.1956663876771927</v>
      </c>
      <c r="J100" s="133"/>
      <c r="K100" s="134"/>
      <c r="L100" s="134"/>
      <c r="M100" s="135"/>
      <c r="N100" s="6"/>
      <c r="O100" s="6"/>
      <c r="P100" s="136"/>
    </row>
    <row r="101" ht="14.25" customHeight="1">
      <c r="B101" s="127">
        <v>95.0</v>
      </c>
      <c r="C101" s="128">
        <v>0.2574445605278015</v>
      </c>
      <c r="D101" s="129"/>
      <c r="E101" s="130"/>
      <c r="F101" s="130"/>
      <c r="G101" s="131"/>
      <c r="H101" s="132"/>
      <c r="I101" s="128">
        <v>0.21445590257644653</v>
      </c>
      <c r="J101" s="133"/>
      <c r="K101" s="134"/>
      <c r="L101" s="134"/>
      <c r="M101" s="135"/>
      <c r="N101" s="6"/>
      <c r="O101" s="6"/>
      <c r="P101" s="136"/>
    </row>
    <row r="102" ht="14.25" customHeight="1">
      <c r="B102" s="127">
        <v>96.0</v>
      </c>
      <c r="C102" s="128">
        <v>0.27823954820632935</v>
      </c>
      <c r="D102" s="129"/>
      <c r="E102" s="130"/>
      <c r="F102" s="130"/>
      <c r="G102" s="131"/>
      <c r="H102" s="132"/>
      <c r="I102" s="128">
        <v>0.23415273427963257</v>
      </c>
      <c r="J102" s="133"/>
      <c r="K102" s="134"/>
      <c r="L102" s="134"/>
      <c r="M102" s="135"/>
      <c r="N102" s="6"/>
      <c r="O102" s="6"/>
      <c r="P102" s="136"/>
    </row>
    <row r="103" ht="14.25" customHeight="1">
      <c r="B103" s="127">
        <v>97.0</v>
      </c>
      <c r="C103" s="128">
        <v>0.2994850277900696</v>
      </c>
      <c r="D103" s="129"/>
      <c r="E103" s="130"/>
      <c r="F103" s="130"/>
      <c r="G103" s="131"/>
      <c r="H103" s="132"/>
      <c r="I103" s="128">
        <v>0.25463995337486267</v>
      </c>
      <c r="J103" s="133"/>
      <c r="K103" s="134"/>
      <c r="L103" s="134"/>
      <c r="M103" s="135"/>
      <c r="N103" s="6"/>
      <c r="O103" s="6"/>
      <c r="P103" s="136"/>
    </row>
    <row r="104" ht="14.25" customHeight="1">
      <c r="B104" s="127">
        <v>98.0</v>
      </c>
      <c r="C104" s="128">
        <v>0.3210119903087616</v>
      </c>
      <c r="D104" s="129"/>
      <c r="E104" s="130"/>
      <c r="F104" s="130"/>
      <c r="G104" s="131"/>
      <c r="H104" s="132"/>
      <c r="I104" s="128">
        <v>0.27577677369117737</v>
      </c>
      <c r="J104" s="133"/>
      <c r="K104" s="134"/>
      <c r="L104" s="134"/>
      <c r="M104" s="135"/>
      <c r="N104" s="6"/>
      <c r="O104" s="6"/>
      <c r="P104" s="136"/>
    </row>
    <row r="105" ht="14.25" customHeight="1">
      <c r="B105" s="127">
        <v>99.0</v>
      </c>
      <c r="C105" s="128">
        <v>0.3426424264907837</v>
      </c>
      <c r="D105" s="129"/>
      <c r="E105" s="130"/>
      <c r="F105" s="130"/>
      <c r="G105" s="131"/>
      <c r="H105" s="132"/>
      <c r="I105" s="128">
        <v>0.29740166664123535</v>
      </c>
      <c r="J105" s="133"/>
      <c r="K105" s="134"/>
      <c r="L105" s="134"/>
      <c r="M105" s="135"/>
      <c r="N105" s="6"/>
      <c r="O105" s="6"/>
      <c r="P105" s="136"/>
    </row>
    <row r="106" ht="14.25" customHeight="1">
      <c r="B106" s="137">
        <v>100.0</v>
      </c>
      <c r="C106" s="138">
        <v>1.0</v>
      </c>
      <c r="D106" s="139"/>
      <c r="E106" s="140"/>
      <c r="F106" s="140"/>
      <c r="G106" s="141"/>
      <c r="H106" s="142"/>
      <c r="I106" s="138">
        <v>1.0</v>
      </c>
      <c r="J106" s="143"/>
      <c r="K106" s="144"/>
      <c r="L106" s="144"/>
      <c r="M106" s="145"/>
      <c r="N106" s="6"/>
      <c r="O106" s="6"/>
      <c r="P106" s="136"/>
    </row>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B3:H3"/>
    <mergeCell ref="I3:O3"/>
    <mergeCell ref="C4:G4"/>
    <mergeCell ref="I4:M4"/>
  </mergeCells>
  <hyperlinks>
    <hyperlink display="mx" location="null!A4" ref="C5"/>
    <hyperlink display="mx" location="null!A4" ref="I5"/>
  </hyperlink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21.0"/>
    <col customWidth="1" min="2" max="4" width="8.63"/>
    <col customWidth="1" min="5" max="10" width="21.25"/>
    <col customWidth="1" min="11" max="17" width="8.63"/>
    <col customWidth="1" min="18" max="18" width="11.88"/>
    <col customWidth="1" min="19" max="21" width="12.63"/>
    <col customWidth="1" min="22" max="23" width="8.63"/>
    <col customWidth="1" min="24" max="24" width="23.5"/>
    <col customWidth="1" min="25" max="25" width="9.0"/>
    <col customWidth="1" min="26" max="26" width="10.13"/>
    <col customWidth="1" min="27" max="29" width="8.63"/>
    <col customWidth="1" min="30" max="30" width="12.0"/>
    <col customWidth="1" min="31" max="31" width="22.5"/>
    <col customWidth="1" min="32" max="33"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2"/>
      <c r="Y1" s="2"/>
      <c r="Z1" s="2"/>
      <c r="AA1" s="6"/>
      <c r="AB1" s="6"/>
      <c r="AC1" s="6"/>
      <c r="AD1" s="6"/>
      <c r="AE1" s="6"/>
      <c r="AF1" s="6"/>
      <c r="AG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8"/>
      <c r="Y2" s="8"/>
      <c r="Z2" s="8"/>
      <c r="AA2" s="6"/>
      <c r="AB2" s="6"/>
      <c r="AC2" s="6"/>
      <c r="AD2" s="6"/>
      <c r="AE2" s="6"/>
      <c r="AF2" s="6"/>
      <c r="AG2" s="6"/>
    </row>
    <row r="3" ht="14.25" customHeight="1">
      <c r="A3" s="12"/>
      <c r="B3" s="26"/>
      <c r="C3" s="26"/>
      <c r="D3" s="26"/>
      <c r="E3" s="26"/>
      <c r="F3" s="26"/>
      <c r="G3" s="26">
        <v>2000.0</v>
      </c>
      <c r="H3" s="26"/>
      <c r="I3" s="26"/>
      <c r="J3" s="26"/>
      <c r="K3" s="26"/>
      <c r="L3" s="26"/>
      <c r="M3" s="26"/>
      <c r="N3" s="26"/>
      <c r="O3" s="26"/>
      <c r="P3" s="26"/>
      <c r="Q3" s="26"/>
      <c r="R3" s="26"/>
      <c r="S3" s="26"/>
      <c r="T3" s="26"/>
      <c r="U3" s="26"/>
      <c r="V3" s="26"/>
      <c r="W3" s="26"/>
      <c r="X3" s="26"/>
      <c r="Y3" s="26"/>
      <c r="Z3" s="26"/>
      <c r="AA3" s="6"/>
      <c r="AB3" s="6"/>
      <c r="AC3" s="6"/>
      <c r="AD3" s="6"/>
      <c r="AE3" s="6"/>
      <c r="AF3" s="6"/>
      <c r="AG3" s="6"/>
    </row>
    <row r="4" ht="21.0" customHeight="1">
      <c r="A4" s="13" t="s">
        <v>2</v>
      </c>
      <c r="B4" s="14"/>
      <c r="C4" s="15" t="s">
        <v>287</v>
      </c>
      <c r="D4" s="15"/>
      <c r="E4" s="15"/>
      <c r="F4" s="16" t="s">
        <v>288</v>
      </c>
      <c r="G4" s="17"/>
      <c r="H4" s="17"/>
      <c r="I4" s="17"/>
      <c r="J4" s="17"/>
      <c r="K4" s="17"/>
      <c r="L4" s="17"/>
      <c r="M4" s="17"/>
      <c r="N4" s="17"/>
      <c r="O4" s="17"/>
      <c r="P4" s="17"/>
      <c r="Q4" s="17"/>
      <c r="R4" s="17"/>
      <c r="S4" s="17"/>
      <c r="T4" s="17"/>
      <c r="U4" s="17"/>
      <c r="V4" s="18"/>
      <c r="W4" s="14"/>
      <c r="X4" s="14"/>
      <c r="Y4" s="14"/>
      <c r="Z4" s="14"/>
      <c r="AA4" s="6"/>
      <c r="AB4" s="6"/>
      <c r="AC4" s="6"/>
      <c r="AD4" s="6"/>
      <c r="AE4" s="6"/>
      <c r="AF4" s="6"/>
      <c r="AG4" s="6"/>
    </row>
    <row r="5" ht="14.25" customHeight="1">
      <c r="A5" s="12"/>
      <c r="B5" s="26"/>
      <c r="C5" s="26">
        <f>COUNTIF(C7:C2200,"&gt;0")</f>
        <v>2000</v>
      </c>
      <c r="D5" s="26"/>
      <c r="E5" s="26">
        <v>2000.0</v>
      </c>
      <c r="F5" s="26"/>
      <c r="G5" s="26"/>
      <c r="H5" s="26"/>
      <c r="I5" s="26"/>
      <c r="J5" s="26"/>
      <c r="K5" s="26"/>
      <c r="L5" s="26"/>
      <c r="M5" s="26"/>
      <c r="N5" s="26"/>
      <c r="O5" s="26"/>
      <c r="P5" s="26"/>
      <c r="Q5" s="26"/>
      <c r="R5" s="26"/>
      <c r="S5" s="26"/>
      <c r="T5" s="26"/>
      <c r="U5" s="26"/>
      <c r="V5" s="26"/>
      <c r="W5" s="26"/>
      <c r="X5" s="26"/>
      <c r="Y5" s="26"/>
      <c r="Z5" s="26"/>
      <c r="AA5" s="6"/>
      <c r="AB5" s="6"/>
      <c r="AC5" s="6"/>
      <c r="AD5" s="6"/>
      <c r="AE5" s="6"/>
      <c r="AF5" s="6"/>
      <c r="AG5" s="6"/>
    </row>
    <row r="6" ht="14.25" customHeight="1">
      <c r="A6" s="19" t="s">
        <v>7</v>
      </c>
      <c r="B6" s="6"/>
      <c r="C6" s="21"/>
      <c r="D6" s="21"/>
      <c r="E6" s="26"/>
      <c r="F6" s="21"/>
      <c r="G6" s="26"/>
      <c r="H6" s="26"/>
      <c r="I6" s="26"/>
      <c r="J6" s="26"/>
      <c r="K6" s="26"/>
      <c r="L6" s="26"/>
      <c r="M6" s="26"/>
      <c r="N6" s="26" t="s">
        <v>140</v>
      </c>
      <c r="O6" s="6"/>
      <c r="P6" s="6"/>
      <c r="Q6" s="6"/>
      <c r="R6" s="6"/>
      <c r="S6" s="6"/>
      <c r="T6" s="6"/>
      <c r="U6" s="6"/>
      <c r="V6" s="6"/>
      <c r="W6" s="6"/>
      <c r="X6" s="28">
        <v>-100538.03828032129</v>
      </c>
      <c r="Y6" s="28">
        <v>0.5</v>
      </c>
      <c r="Z6" s="28">
        <v>1.5</v>
      </c>
      <c r="AA6" s="6" t="s">
        <v>140</v>
      </c>
      <c r="AB6" s="6"/>
      <c r="AC6" s="6"/>
      <c r="AD6" s="6"/>
      <c r="AE6" s="6" t="s">
        <v>9</v>
      </c>
      <c r="AF6" s="6" t="s">
        <v>450</v>
      </c>
      <c r="AG6" s="6" t="s">
        <v>451</v>
      </c>
    </row>
    <row r="7" ht="14.25" customHeight="1">
      <c r="A7" s="12"/>
      <c r="B7" s="6"/>
      <c r="C7" s="26">
        <v>0.0</v>
      </c>
      <c r="D7" s="26"/>
      <c r="E7" s="26">
        <v>7233558.425382474</v>
      </c>
      <c r="F7" s="26">
        <v>471.75552778229024</v>
      </c>
      <c r="G7" s="26">
        <v>4.920183190234574</v>
      </c>
      <c r="H7" s="26">
        <v>7133020.387102153</v>
      </c>
      <c r="I7" s="26">
        <v>467.56008752364585</v>
      </c>
      <c r="J7" s="26">
        <v>3.653222780623597</v>
      </c>
      <c r="K7" s="26"/>
      <c r="L7" s="26"/>
      <c r="M7" s="26"/>
      <c r="N7" s="6">
        <f t="shared" ref="N7:P7" si="1">IF(LEN($C7)&gt;0,H7-E7,"")</f>
        <v>-100538.0383</v>
      </c>
      <c r="O7" s="6">
        <f t="shared" si="1"/>
        <v>-4.195440259</v>
      </c>
      <c r="P7" s="6">
        <f t="shared" si="1"/>
        <v>-1.26696041</v>
      </c>
      <c r="Q7" s="6"/>
      <c r="R7" s="6"/>
      <c r="S7" s="26" t="s">
        <v>157</v>
      </c>
      <c r="T7" s="6" t="s">
        <v>143</v>
      </c>
      <c r="U7" s="6" t="s">
        <v>146</v>
      </c>
      <c r="V7" s="6"/>
      <c r="W7" s="146">
        <v>49.0</v>
      </c>
      <c r="X7" s="147" t="s">
        <v>107</v>
      </c>
      <c r="Y7" s="28">
        <v>-100562.32527398411</v>
      </c>
      <c r="Z7" s="28">
        <v>-100513.75128666032</v>
      </c>
      <c r="AA7" s="6">
        <f t="shared" ref="AA7:AA24" si="4">ABS(Z7-Y7)</f>
        <v>48.57398732</v>
      </c>
      <c r="AB7" s="6"/>
      <c r="AC7" s="6">
        <v>1.0</v>
      </c>
      <c r="AD7" s="6">
        <f t="shared" ref="AD7:AD11" si="5">LARGE($AA$7:$AA$24,AC7)</f>
        <v>50524.19204</v>
      </c>
      <c r="AE7" s="6" t="str">
        <f t="shared" ref="AE7:AE11" si="6">INDEX($X$7:$X$24,MATCH(AD7,$AA$7:$AA$24,0))</f>
        <v>General ward per day</v>
      </c>
      <c r="AF7" s="6">
        <f t="shared" ref="AF7:AF11" si="7">(INDEX($Y$7:$Y$24,MATCH(AD7,$AA$7:$AA$24,0))-$X$6)/$X$6*100</f>
        <v>-25.12690366</v>
      </c>
      <c r="AG7" s="6">
        <f t="shared" ref="AG7:AG11" si="8">(INDEX($Z$7:$Z$24,MATCH(AD7,$AA$7:$AA$24,0))-$X$6)/$X$6*100</f>
        <v>25.12690366</v>
      </c>
    </row>
    <row r="8" ht="14.25" customHeight="1">
      <c r="A8" s="19" t="s">
        <v>4</v>
      </c>
      <c r="B8" s="6"/>
      <c r="C8" s="26">
        <v>1.0</v>
      </c>
      <c r="D8" s="26"/>
      <c r="E8" s="26">
        <v>6501932.62485046</v>
      </c>
      <c r="F8" s="26">
        <v>468.86187321797917</v>
      </c>
      <c r="G8" s="26">
        <v>5.553505303274717</v>
      </c>
      <c r="H8" s="26">
        <v>6405772.8189437715</v>
      </c>
      <c r="I8" s="26">
        <v>465.8376388749761</v>
      </c>
      <c r="J8" s="26">
        <v>4.0985554064198855</v>
      </c>
      <c r="K8" s="26"/>
      <c r="L8" s="26"/>
      <c r="M8" s="26"/>
      <c r="N8" s="6">
        <f t="shared" ref="N8:P8" si="2">IF(LEN($C8)&gt;0,H8-E8,"")</f>
        <v>-96159.80591</v>
      </c>
      <c r="O8" s="6">
        <f t="shared" si="2"/>
        <v>-3.024234343</v>
      </c>
      <c r="P8" s="6">
        <f t="shared" si="2"/>
        <v>-1.454949897</v>
      </c>
      <c r="Q8" s="6"/>
      <c r="R8" s="6" t="s">
        <v>154</v>
      </c>
      <c r="S8" s="93">
        <f t="shared" ref="S8:U8" si="3">MEDIAN(OFFSET(N$7,0,0,$C$5,1))</f>
        <v>-103597.1903</v>
      </c>
      <c r="T8" s="93">
        <f t="shared" si="3"/>
        <v>-4.091789066</v>
      </c>
      <c r="U8" s="93">
        <f t="shared" si="3"/>
        <v>-1.283548797</v>
      </c>
      <c r="V8" s="6"/>
      <c r="W8" s="148">
        <v>50.0</v>
      </c>
      <c r="X8" s="149" t="s">
        <v>113</v>
      </c>
      <c r="Y8" s="28">
        <v>-100615.10251094215</v>
      </c>
      <c r="Z8" s="28">
        <v>-100460.97404970322</v>
      </c>
      <c r="AA8" s="6">
        <f t="shared" si="4"/>
        <v>154.1284612</v>
      </c>
      <c r="AB8" s="6"/>
      <c r="AC8" s="6">
        <v>2.0</v>
      </c>
      <c r="AD8" s="6">
        <f t="shared" si="5"/>
        <v>42418.25121</v>
      </c>
      <c r="AE8" s="6" t="str">
        <f t="shared" si="6"/>
        <v>DSWI days</v>
      </c>
      <c r="AF8" s="6">
        <f t="shared" si="7"/>
        <v>-20.84113917</v>
      </c>
      <c r="AG8" s="6">
        <f t="shared" si="8"/>
        <v>21.35010698</v>
      </c>
    </row>
    <row r="9" ht="14.25" customHeight="1">
      <c r="A9" s="12"/>
      <c r="B9" s="6"/>
      <c r="C9" s="26">
        <v>2.0</v>
      </c>
      <c r="D9" s="26"/>
      <c r="E9" s="26">
        <v>8572465.429856904</v>
      </c>
      <c r="F9" s="26">
        <v>473.88952682421063</v>
      </c>
      <c r="G9" s="26">
        <v>5.332790445161773</v>
      </c>
      <c r="H9" s="26">
        <v>8417366.467548618</v>
      </c>
      <c r="I9" s="26">
        <v>469.0487871291427</v>
      </c>
      <c r="J9" s="26">
        <v>3.5368676752048525</v>
      </c>
      <c r="K9" s="26"/>
      <c r="L9" s="26"/>
      <c r="M9" s="26"/>
      <c r="N9" s="6">
        <f t="shared" ref="N9:P9" si="9">IF(LEN($C9)&gt;0,H9-E9,"")</f>
        <v>-155098.9623</v>
      </c>
      <c r="O9" s="6">
        <f t="shared" si="9"/>
        <v>-4.840739695</v>
      </c>
      <c r="P9" s="6">
        <f t="shared" si="9"/>
        <v>-1.79592277</v>
      </c>
      <c r="Q9" s="6"/>
      <c r="R9" s="6" t="s">
        <v>452</v>
      </c>
      <c r="S9" s="93">
        <f t="shared" ref="S9:U9" si="10">SMALL(OFFSET(N$7,0,0,$E$5,1),ROUND($C$5/100*2.5,0))</f>
        <v>-212694.0275</v>
      </c>
      <c r="T9" s="93">
        <f t="shared" si="10"/>
        <v>-9.607935809</v>
      </c>
      <c r="U9" s="93">
        <f t="shared" si="10"/>
        <v>-2.069004233</v>
      </c>
      <c r="V9" s="6"/>
      <c r="W9" s="146">
        <v>51.0</v>
      </c>
      <c r="X9" s="147" t="s">
        <v>117</v>
      </c>
      <c r="Y9" s="28">
        <v>-95219.22693803068</v>
      </c>
      <c r="Z9" s="28">
        <v>-105856.84962259047</v>
      </c>
      <c r="AA9" s="6">
        <f t="shared" si="4"/>
        <v>10637.62268</v>
      </c>
      <c r="AB9" s="6"/>
      <c r="AC9" s="6">
        <v>3.0</v>
      </c>
      <c r="AD9" s="6">
        <f t="shared" si="5"/>
        <v>29882.30017</v>
      </c>
      <c r="AE9" s="6" t="str">
        <f t="shared" si="6"/>
        <v>Readmission for DSWI</v>
      </c>
      <c r="AF9" s="6">
        <f t="shared" si="7"/>
        <v>-14.86119119</v>
      </c>
      <c r="AG9" s="6">
        <f t="shared" si="8"/>
        <v>14.86119119</v>
      </c>
    </row>
    <row r="10" ht="14.25" customHeight="1">
      <c r="A10" s="19" t="s">
        <v>3</v>
      </c>
      <c r="B10" s="6"/>
      <c r="C10" s="26">
        <v>3.0</v>
      </c>
      <c r="D10" s="26"/>
      <c r="E10" s="26">
        <v>6784119.373955047</v>
      </c>
      <c r="F10" s="26">
        <v>437.91291667754837</v>
      </c>
      <c r="G10" s="26">
        <v>5.890712305450625</v>
      </c>
      <c r="H10" s="26">
        <v>6684231.339181246</v>
      </c>
      <c r="I10" s="26">
        <v>435.0845108841941</v>
      </c>
      <c r="J10" s="26">
        <v>4.195261293947171</v>
      </c>
      <c r="K10" s="26"/>
      <c r="L10" s="26"/>
      <c r="M10" s="26"/>
      <c r="N10" s="6">
        <f t="shared" ref="N10:P10" si="11">IF(LEN($C10)&gt;0,H10-E10,"")</f>
        <v>-99888.03477</v>
      </c>
      <c r="O10" s="6">
        <f t="shared" si="11"/>
        <v>-2.828405793</v>
      </c>
      <c r="P10" s="6">
        <f t="shared" si="11"/>
        <v>-1.695451012</v>
      </c>
      <c r="Q10" s="6"/>
      <c r="R10" s="6" t="s">
        <v>453</v>
      </c>
      <c r="S10" s="93">
        <f t="shared" ref="S10:U10" si="12">SMALL(OFFSET(N$7,0,0,$E$5,1),ROUND($C$5/100*97.5,0))</f>
        <v>-42794.79531</v>
      </c>
      <c r="T10" s="93">
        <f t="shared" si="12"/>
        <v>-1.538624588</v>
      </c>
      <c r="U10" s="93">
        <f t="shared" si="12"/>
        <v>-0.6029150051</v>
      </c>
      <c r="V10" s="6"/>
      <c r="W10" s="148">
        <v>52.0</v>
      </c>
      <c r="X10" s="150" t="s">
        <v>121</v>
      </c>
      <c r="Y10" s="28">
        <v>-75275.94226234686</v>
      </c>
      <c r="Z10" s="28">
        <v>-125800.13429830596</v>
      </c>
      <c r="AA10" s="6">
        <f t="shared" si="4"/>
        <v>50524.19204</v>
      </c>
      <c r="AB10" s="6"/>
      <c r="AC10" s="6">
        <v>4.0</v>
      </c>
      <c r="AD10" s="6">
        <f t="shared" si="5"/>
        <v>26681.94238</v>
      </c>
      <c r="AE10" s="6" t="str">
        <f t="shared" si="6"/>
        <v>SSI days</v>
      </c>
      <c r="AF10" s="6">
        <f t="shared" si="7"/>
        <v>-12.19922808</v>
      </c>
      <c r="AG10" s="6">
        <f t="shared" si="8"/>
        <v>14.3399235</v>
      </c>
    </row>
    <row r="11" ht="14.25" customHeight="1">
      <c r="A11" s="12"/>
      <c r="B11" s="6"/>
      <c r="C11" s="26">
        <v>4.0</v>
      </c>
      <c r="D11" s="26"/>
      <c r="E11" s="26">
        <v>6222935.961523437</v>
      </c>
      <c r="F11" s="26">
        <v>443.5110760785433</v>
      </c>
      <c r="G11" s="26">
        <v>4.951641240016095</v>
      </c>
      <c r="H11" s="26">
        <v>6095926.56837963</v>
      </c>
      <c r="I11" s="26">
        <v>437.8568809680458</v>
      </c>
      <c r="J11" s="26">
        <v>3.350809909773165</v>
      </c>
      <c r="K11" s="26"/>
      <c r="L11" s="26"/>
      <c r="M11" s="26"/>
      <c r="N11" s="6">
        <f t="shared" ref="N11:P11" si="13">IF(LEN($C11)&gt;0,H11-E11,"")</f>
        <v>-127009.3931</v>
      </c>
      <c r="O11" s="6">
        <f t="shared" si="13"/>
        <v>-5.65419511</v>
      </c>
      <c r="P11" s="6">
        <f t="shared" si="13"/>
        <v>-1.60083133</v>
      </c>
      <c r="Q11" s="6"/>
      <c r="R11" s="6"/>
      <c r="S11" s="6"/>
      <c r="T11" s="6"/>
      <c r="U11" s="6"/>
      <c r="V11" s="6"/>
      <c r="W11" s="146">
        <v>53.0</v>
      </c>
      <c r="X11" s="147" t="s">
        <v>122</v>
      </c>
      <c r="Y11" s="28">
        <v>-100204.78011449426</v>
      </c>
      <c r="Z11" s="28">
        <v>-100871.29644614924</v>
      </c>
      <c r="AA11" s="6">
        <f t="shared" si="4"/>
        <v>666.5163317</v>
      </c>
      <c r="AB11" s="6"/>
      <c r="AC11" s="6">
        <v>5.0</v>
      </c>
      <c r="AD11" s="6">
        <f t="shared" si="5"/>
        <v>10637.62268</v>
      </c>
      <c r="AE11" s="6" t="str">
        <f t="shared" si="6"/>
        <v>ICU per day</v>
      </c>
      <c r="AF11" s="6">
        <f t="shared" si="7"/>
        <v>-5.290347249</v>
      </c>
      <c r="AG11" s="6">
        <f t="shared" si="8"/>
        <v>5.290347249</v>
      </c>
    </row>
    <row r="12" ht="14.25" customHeight="1">
      <c r="A12" s="60" t="s">
        <v>22</v>
      </c>
      <c r="B12" s="6"/>
      <c r="C12" s="26">
        <v>5.0</v>
      </c>
      <c r="D12" s="26"/>
      <c r="E12" s="26">
        <v>7554319.900164497</v>
      </c>
      <c r="F12" s="26">
        <v>495.52939540026546</v>
      </c>
      <c r="G12" s="26">
        <v>5.806517134129036</v>
      </c>
      <c r="H12" s="26">
        <v>7459794.31466602</v>
      </c>
      <c r="I12" s="26">
        <v>492.40935709574984</v>
      </c>
      <c r="J12" s="26">
        <v>3.955129981668005</v>
      </c>
      <c r="K12" s="26"/>
      <c r="L12" s="26"/>
      <c r="M12" s="26"/>
      <c r="N12" s="6">
        <f t="shared" ref="N12:P12" si="14">IF(LEN($C12)&gt;0,H12-E12,"")</f>
        <v>-94525.5855</v>
      </c>
      <c r="O12" s="6">
        <f t="shared" si="14"/>
        <v>-3.120038305</v>
      </c>
      <c r="P12" s="6">
        <f t="shared" si="14"/>
        <v>-1.851387152</v>
      </c>
      <c r="Q12" s="6"/>
      <c r="R12" s="6"/>
      <c r="S12" s="6"/>
      <c r="T12" s="6"/>
      <c r="U12" s="6"/>
      <c r="V12" s="6"/>
      <c r="W12" s="148">
        <v>54.0</v>
      </c>
      <c r="X12" s="150" t="s">
        <v>454</v>
      </c>
      <c r="Y12" s="28">
        <v>-95504.5908639133</v>
      </c>
      <c r="Z12" s="28">
        <v>-105571.48569673486</v>
      </c>
      <c r="AA12" s="6">
        <f t="shared" si="4"/>
        <v>10066.89483</v>
      </c>
      <c r="AB12" s="6"/>
      <c r="AC12" s="6"/>
      <c r="AD12" s="6"/>
      <c r="AE12" s="6"/>
      <c r="AF12" s="6"/>
      <c r="AG12" s="6"/>
    </row>
    <row r="13" ht="14.25" customHeight="1">
      <c r="A13" s="12"/>
      <c r="B13" s="6"/>
      <c r="C13" s="26">
        <v>6.0</v>
      </c>
      <c r="D13" s="26"/>
      <c r="E13" s="26">
        <v>7416646.929644353</v>
      </c>
      <c r="F13" s="26">
        <v>488.2690186398627</v>
      </c>
      <c r="G13" s="26">
        <v>4.159522229434803</v>
      </c>
      <c r="H13" s="26">
        <v>7355903.496079993</v>
      </c>
      <c r="I13" s="26">
        <v>486.0490407410001</v>
      </c>
      <c r="J13" s="26">
        <v>3.0978967302903277</v>
      </c>
      <c r="K13" s="26"/>
      <c r="L13" s="26"/>
      <c r="M13" s="26"/>
      <c r="N13" s="6">
        <f t="shared" ref="N13:P13" si="15">IF(LEN($C13)&gt;0,H13-E13,"")</f>
        <v>-60743.43356</v>
      </c>
      <c r="O13" s="6">
        <f t="shared" si="15"/>
        <v>-2.219977899</v>
      </c>
      <c r="P13" s="6">
        <f t="shared" si="15"/>
        <v>-1.061625499</v>
      </c>
      <c r="Q13" s="6"/>
      <c r="R13" s="6" t="s">
        <v>34</v>
      </c>
      <c r="S13" s="6"/>
      <c r="T13" s="6"/>
      <c r="U13" s="6"/>
      <c r="V13" s="6"/>
      <c r="W13" s="146">
        <v>55.0</v>
      </c>
      <c r="X13" s="151" t="s">
        <v>365</v>
      </c>
      <c r="Y13" s="28">
        <v>-100538.03828032129</v>
      </c>
      <c r="Z13" s="28">
        <v>-100538.03828032129</v>
      </c>
      <c r="AA13" s="6">
        <f t="shared" si="4"/>
        <v>0</v>
      </c>
      <c r="AB13" s="6"/>
      <c r="AC13" s="6"/>
      <c r="AD13" s="6"/>
      <c r="AE13" s="6"/>
      <c r="AF13" s="6"/>
      <c r="AG13" s="6"/>
    </row>
    <row r="14" ht="14.25" customHeight="1">
      <c r="A14" s="60" t="s">
        <v>27</v>
      </c>
      <c r="B14" s="6"/>
      <c r="C14" s="26">
        <v>7.0</v>
      </c>
      <c r="D14" s="26"/>
      <c r="E14" s="26">
        <v>1.0104545512216331E7</v>
      </c>
      <c r="F14" s="26">
        <v>492.71894881628964</v>
      </c>
      <c r="G14" s="26">
        <v>3.7715047161342867</v>
      </c>
      <c r="H14" s="26">
        <v>9994874.784054056</v>
      </c>
      <c r="I14" s="26">
        <v>488.57601852543945</v>
      </c>
      <c r="J14" s="26">
        <v>2.5587288291907226</v>
      </c>
      <c r="K14" s="26"/>
      <c r="L14" s="26"/>
      <c r="M14" s="26"/>
      <c r="N14" s="6">
        <f t="shared" ref="N14:P14" si="16">IF(LEN($C14)&gt;0,H14-E14,"")</f>
        <v>-109670.7282</v>
      </c>
      <c r="O14" s="6">
        <f t="shared" si="16"/>
        <v>-4.142930291</v>
      </c>
      <c r="P14" s="6">
        <f t="shared" si="16"/>
        <v>-1.212775887</v>
      </c>
      <c r="Q14" s="6"/>
      <c r="R14" s="6" t="s">
        <v>455</v>
      </c>
      <c r="S14" s="6">
        <f t="shared" ref="S14:U14" si="17">COUNTIF(OFFSET(N$7,0,0,$C$5,1),"&lt;0")/$C$5*100</f>
        <v>100</v>
      </c>
      <c r="T14" s="6">
        <f t="shared" si="17"/>
        <v>100</v>
      </c>
      <c r="U14" s="6">
        <f t="shared" si="17"/>
        <v>100</v>
      </c>
      <c r="V14" s="6"/>
      <c r="W14" s="148">
        <v>56.0</v>
      </c>
      <c r="X14" s="150" t="s">
        <v>366</v>
      </c>
      <c r="Y14" s="28">
        <v>-100538.03828032129</v>
      </c>
      <c r="Z14" s="28">
        <v>-100538.03828032129</v>
      </c>
      <c r="AA14" s="6">
        <f t="shared" si="4"/>
        <v>0</v>
      </c>
      <c r="AB14" s="6"/>
      <c r="AC14" s="6"/>
      <c r="AD14" s="6"/>
      <c r="AE14" s="6"/>
      <c r="AF14" s="6"/>
      <c r="AG14" s="6"/>
    </row>
    <row r="15" ht="14.25" customHeight="1">
      <c r="A15" s="12"/>
      <c r="B15" s="6"/>
      <c r="C15" s="26">
        <v>8.0</v>
      </c>
      <c r="D15" s="26"/>
      <c r="E15" s="26">
        <v>8140859.345815084</v>
      </c>
      <c r="F15" s="26">
        <v>473.9924627941142</v>
      </c>
      <c r="G15" s="26">
        <v>4.514098263551758</v>
      </c>
      <c r="H15" s="26">
        <v>8042677.299177766</v>
      </c>
      <c r="I15" s="26">
        <v>468.84251219468877</v>
      </c>
      <c r="J15" s="26">
        <v>3.192467872752236</v>
      </c>
      <c r="K15" s="26"/>
      <c r="L15" s="26"/>
      <c r="M15" s="26"/>
      <c r="N15" s="6">
        <f t="shared" ref="N15:P15" si="18">IF(LEN($C15)&gt;0,H15-E15,"")</f>
        <v>-98182.04664</v>
      </c>
      <c r="O15" s="6">
        <f t="shared" si="18"/>
        <v>-5.149950599</v>
      </c>
      <c r="P15" s="6">
        <f t="shared" si="18"/>
        <v>-1.321630391</v>
      </c>
      <c r="Q15" s="6"/>
      <c r="R15" s="6"/>
      <c r="S15" s="6"/>
      <c r="T15" s="6"/>
      <c r="U15" s="6"/>
      <c r="V15" s="6"/>
      <c r="W15" s="146">
        <v>57.0</v>
      </c>
      <c r="X15" s="147" t="s">
        <v>127</v>
      </c>
      <c r="Y15" s="28">
        <v>-101221.4639478866</v>
      </c>
      <c r="Z15" s="28">
        <v>-99854.61261275876</v>
      </c>
      <c r="AA15" s="6">
        <f t="shared" si="4"/>
        <v>1366.851335</v>
      </c>
      <c r="AB15" s="6"/>
      <c r="AC15" s="6"/>
      <c r="AD15" s="6"/>
      <c r="AE15" s="6"/>
      <c r="AF15" s="6"/>
      <c r="AG15" s="6"/>
    </row>
    <row r="16" ht="14.25" customHeight="1">
      <c r="A16" s="60" t="s">
        <v>35</v>
      </c>
      <c r="B16" s="6"/>
      <c r="C16" s="26">
        <v>9.0</v>
      </c>
      <c r="D16" s="26"/>
      <c r="E16" s="26">
        <v>6023803.660232161</v>
      </c>
      <c r="F16" s="26">
        <v>428.7733974641078</v>
      </c>
      <c r="G16" s="26">
        <v>4.934545284898066</v>
      </c>
      <c r="H16" s="26">
        <v>5927881.819961091</v>
      </c>
      <c r="I16" s="26">
        <v>424.87673240477585</v>
      </c>
      <c r="J16" s="26">
        <v>3.367538630271464</v>
      </c>
      <c r="K16" s="26"/>
      <c r="L16" s="26"/>
      <c r="M16" s="26"/>
      <c r="N16" s="6">
        <f t="shared" ref="N16:P16" si="19">IF(LEN($C16)&gt;0,H16-E16,"")</f>
        <v>-95921.84027</v>
      </c>
      <c r="O16" s="6">
        <f t="shared" si="19"/>
        <v>-3.896665059</v>
      </c>
      <c r="P16" s="6">
        <f t="shared" si="19"/>
        <v>-1.567006655</v>
      </c>
      <c r="Q16" s="6"/>
      <c r="R16" s="6"/>
      <c r="S16" s="6"/>
      <c r="T16" s="6"/>
      <c r="U16" s="6"/>
      <c r="V16" s="6"/>
      <c r="W16" s="148">
        <v>58.0</v>
      </c>
      <c r="X16" s="149" t="s">
        <v>128</v>
      </c>
      <c r="Y16" s="28">
        <v>-98715.81330943294</v>
      </c>
      <c r="Z16" s="28">
        <v>-102360.26325119473</v>
      </c>
      <c r="AA16" s="6">
        <f t="shared" si="4"/>
        <v>3644.449942</v>
      </c>
      <c r="AB16" s="6"/>
      <c r="AC16" s="6"/>
      <c r="AD16" s="6"/>
      <c r="AE16" s="6"/>
      <c r="AF16" s="6"/>
      <c r="AG16" s="6"/>
    </row>
    <row r="17" ht="14.25" customHeight="1">
      <c r="A17" s="12"/>
      <c r="B17" s="6"/>
      <c r="C17" s="26">
        <v>10.0</v>
      </c>
      <c r="D17" s="26"/>
      <c r="E17" s="26">
        <v>6598564.119102696</v>
      </c>
      <c r="F17" s="26">
        <v>448.02909991529197</v>
      </c>
      <c r="G17" s="26">
        <v>5.195807803033239</v>
      </c>
      <c r="H17" s="26">
        <v>6481919.115152649</v>
      </c>
      <c r="I17" s="26">
        <v>443.53952667459015</v>
      </c>
      <c r="J17" s="26">
        <v>3.2642627581138726</v>
      </c>
      <c r="K17" s="26"/>
      <c r="L17" s="26"/>
      <c r="M17" s="26"/>
      <c r="N17" s="6">
        <f t="shared" ref="N17:P17" si="20">IF(LEN($C17)&gt;0,H17-E17,"")</f>
        <v>-116645.004</v>
      </c>
      <c r="O17" s="6">
        <f t="shared" si="20"/>
        <v>-4.489573241</v>
      </c>
      <c r="P17" s="6">
        <f t="shared" si="20"/>
        <v>-1.931545045</v>
      </c>
      <c r="Q17" s="6"/>
      <c r="R17" s="6"/>
      <c r="S17" s="6"/>
      <c r="T17" s="6"/>
      <c r="U17" s="6"/>
      <c r="V17" s="6"/>
      <c r="W17" s="146">
        <v>59.0</v>
      </c>
      <c r="X17" s="147" t="s">
        <v>129</v>
      </c>
      <c r="Y17" s="28">
        <v>-101675.38482734654</v>
      </c>
      <c r="Z17" s="28">
        <v>-99400.69173329975</v>
      </c>
      <c r="AA17" s="6">
        <f t="shared" si="4"/>
        <v>2274.693094</v>
      </c>
      <c r="AB17" s="6"/>
      <c r="AC17" s="6"/>
      <c r="AD17" s="6"/>
      <c r="AE17" s="6"/>
      <c r="AF17" s="6"/>
      <c r="AG17" s="6"/>
    </row>
    <row r="18" ht="14.25" customHeight="1">
      <c r="A18" s="60" t="s">
        <v>38</v>
      </c>
      <c r="B18" s="6"/>
      <c r="C18" s="26">
        <v>11.0</v>
      </c>
      <c r="D18" s="26"/>
      <c r="E18" s="26">
        <v>8099833.073125752</v>
      </c>
      <c r="F18" s="26">
        <v>478.7130996476826</v>
      </c>
      <c r="G18" s="26">
        <v>4.016432320489198</v>
      </c>
      <c r="H18" s="26">
        <v>7994690.9352058675</v>
      </c>
      <c r="I18" s="26">
        <v>475.2487593129918</v>
      </c>
      <c r="J18" s="26">
        <v>2.8858109650392887</v>
      </c>
      <c r="K18" s="26"/>
      <c r="L18" s="26"/>
      <c r="M18" s="26"/>
      <c r="N18" s="6">
        <f t="shared" ref="N18:P18" si="21">IF(LEN($C18)&gt;0,H18-E18,"")</f>
        <v>-105142.1379</v>
      </c>
      <c r="O18" s="6">
        <f t="shared" si="21"/>
        <v>-3.464340335</v>
      </c>
      <c r="P18" s="6">
        <f t="shared" si="21"/>
        <v>-1.130621355</v>
      </c>
      <c r="Q18" s="6"/>
      <c r="R18" s="6"/>
      <c r="S18" s="6"/>
      <c r="T18" s="6"/>
      <c r="U18" s="6"/>
      <c r="V18" s="6"/>
      <c r="W18" s="148">
        <v>60.0</v>
      </c>
      <c r="X18" s="149" t="s">
        <v>130</v>
      </c>
      <c r="Y18" s="28">
        <v>-85596.88819621969</v>
      </c>
      <c r="Z18" s="28">
        <v>-115479.18836443685</v>
      </c>
      <c r="AA18" s="6">
        <f t="shared" si="4"/>
        <v>29882.30017</v>
      </c>
      <c r="AB18" s="6"/>
      <c r="AC18" s="6"/>
      <c r="AD18" s="6"/>
      <c r="AE18" s="6"/>
      <c r="AF18" s="6"/>
      <c r="AG18" s="6"/>
    </row>
    <row r="19" ht="14.25" customHeight="1">
      <c r="A19" s="12"/>
      <c r="B19" s="6"/>
      <c r="C19" s="26">
        <v>12.0</v>
      </c>
      <c r="D19" s="26"/>
      <c r="E19" s="26">
        <v>6051004.647976559</v>
      </c>
      <c r="F19" s="26">
        <v>470.4351085182762</v>
      </c>
      <c r="G19" s="26">
        <v>5.3460607175194905</v>
      </c>
      <c r="H19" s="26">
        <v>5880567.038550371</v>
      </c>
      <c r="I19" s="26">
        <v>463.087153578668</v>
      </c>
      <c r="J19" s="26">
        <v>3.8410062593179792</v>
      </c>
      <c r="K19" s="26"/>
      <c r="L19" s="26"/>
      <c r="M19" s="26"/>
      <c r="N19" s="6">
        <f t="shared" ref="N19:P19" si="22">IF(LEN($C19)&gt;0,H19-E19,"")</f>
        <v>-170437.6094</v>
      </c>
      <c r="O19" s="6">
        <f t="shared" si="22"/>
        <v>-7.34795494</v>
      </c>
      <c r="P19" s="6">
        <f t="shared" si="22"/>
        <v>-1.505054458</v>
      </c>
      <c r="Q19" s="6"/>
      <c r="R19" s="6"/>
      <c r="S19" s="6"/>
      <c r="T19" s="6"/>
      <c r="U19" s="6"/>
      <c r="V19" s="6"/>
      <c r="W19" s="146">
        <v>61.0</v>
      </c>
      <c r="X19" s="147" t="s">
        <v>131</v>
      </c>
      <c r="Y19" s="28">
        <v>-100285.32986971829</v>
      </c>
      <c r="Z19" s="28">
        <v>-100790.74669092521</v>
      </c>
      <c r="AA19" s="6">
        <f t="shared" si="4"/>
        <v>505.4168212</v>
      </c>
      <c r="AB19" s="6"/>
      <c r="AC19" s="6"/>
      <c r="AD19" s="6"/>
      <c r="AE19" s="6"/>
      <c r="AF19" s="6"/>
      <c r="AG19" s="6"/>
    </row>
    <row r="20" ht="14.25" customHeight="1">
      <c r="A20" s="60" t="s">
        <v>183</v>
      </c>
      <c r="B20" s="6"/>
      <c r="C20" s="26">
        <v>13.0</v>
      </c>
      <c r="D20" s="26"/>
      <c r="E20" s="26">
        <v>7123745.337411265</v>
      </c>
      <c r="F20" s="26">
        <v>472.23650666622063</v>
      </c>
      <c r="G20" s="26">
        <v>5.245266441903134</v>
      </c>
      <c r="H20" s="26">
        <v>7016557.6152949445</v>
      </c>
      <c r="I20" s="26">
        <v>468.5495233772815</v>
      </c>
      <c r="J20" s="26">
        <v>4.015377144892427</v>
      </c>
      <c r="K20" s="26"/>
      <c r="L20" s="26"/>
      <c r="M20" s="26"/>
      <c r="N20" s="6">
        <f t="shared" ref="N20:P20" si="23">IF(LEN($C20)&gt;0,H20-E20,"")</f>
        <v>-107187.7221</v>
      </c>
      <c r="O20" s="6">
        <f t="shared" si="23"/>
        <v>-3.686983289</v>
      </c>
      <c r="P20" s="6">
        <f t="shared" si="23"/>
        <v>-1.229889297</v>
      </c>
      <c r="Q20" s="6"/>
      <c r="R20" s="6"/>
      <c r="S20" s="6"/>
      <c r="T20" s="6"/>
      <c r="U20" s="6"/>
      <c r="V20" s="6"/>
      <c r="W20" s="148">
        <v>62.0</v>
      </c>
      <c r="X20" s="149" t="s">
        <v>133</v>
      </c>
      <c r="Y20" s="28">
        <v>-100457.48852509819</v>
      </c>
      <c r="Z20" s="28">
        <v>-100618.58803554624</v>
      </c>
      <c r="AA20" s="6">
        <f t="shared" si="4"/>
        <v>161.0995104</v>
      </c>
      <c r="AB20" s="6"/>
      <c r="AC20" s="6"/>
      <c r="AD20" s="6"/>
      <c r="AE20" s="6"/>
      <c r="AF20" s="6"/>
      <c r="AG20" s="6"/>
    </row>
    <row r="21" ht="14.25" customHeight="1">
      <c r="A21" s="12"/>
      <c r="B21" s="6"/>
      <c r="C21" s="26">
        <v>14.0</v>
      </c>
      <c r="D21" s="26"/>
      <c r="E21" s="26">
        <v>6615922.370807045</v>
      </c>
      <c r="F21" s="26">
        <v>480.98367187781383</v>
      </c>
      <c r="G21" s="26">
        <v>5.09790750423924</v>
      </c>
      <c r="H21" s="26">
        <v>6527764.354632181</v>
      </c>
      <c r="I21" s="26">
        <v>477.50645384272775</v>
      </c>
      <c r="J21" s="26">
        <v>3.6572725194525697</v>
      </c>
      <c r="K21" s="26"/>
      <c r="L21" s="26"/>
      <c r="M21" s="26"/>
      <c r="N21" s="6">
        <f t="shared" ref="N21:P21" si="24">IF(LEN($C21)&gt;0,H21-E21,"")</f>
        <v>-88158.01617</v>
      </c>
      <c r="O21" s="6">
        <f t="shared" si="24"/>
        <v>-3.477218035</v>
      </c>
      <c r="P21" s="6">
        <f t="shared" si="24"/>
        <v>-1.440634985</v>
      </c>
      <c r="Q21" s="6"/>
      <c r="R21" s="6"/>
      <c r="S21" s="6"/>
      <c r="T21" s="6"/>
      <c r="U21" s="6"/>
      <c r="V21" s="6"/>
      <c r="W21" s="146">
        <v>63.0</v>
      </c>
      <c r="X21" s="147" t="s">
        <v>376</v>
      </c>
      <c r="Y21" s="28">
        <v>-88273.17368356977</v>
      </c>
      <c r="Z21" s="28">
        <v>-114955.11606016103</v>
      </c>
      <c r="AA21" s="6">
        <f t="shared" si="4"/>
        <v>26681.94238</v>
      </c>
      <c r="AB21" s="6"/>
      <c r="AC21" s="6"/>
      <c r="AD21" s="6"/>
      <c r="AE21" s="6"/>
      <c r="AF21" s="6"/>
      <c r="AG21" s="6"/>
    </row>
    <row r="22" ht="14.25" customHeight="1">
      <c r="A22" s="12"/>
      <c r="B22" s="6"/>
      <c r="C22" s="26">
        <v>15.0</v>
      </c>
      <c r="D22" s="26"/>
      <c r="E22" s="26">
        <v>5030328.9094910575</v>
      </c>
      <c r="F22" s="26">
        <v>481.5648646076394</v>
      </c>
      <c r="G22" s="26">
        <v>5.557695600683657</v>
      </c>
      <c r="H22" s="26">
        <v>4947704.902469674</v>
      </c>
      <c r="I22" s="26">
        <v>478.76448403787674</v>
      </c>
      <c r="J22" s="26">
        <v>3.8416417741361983</v>
      </c>
      <c r="K22" s="26"/>
      <c r="L22" s="26"/>
      <c r="M22" s="26"/>
      <c r="N22" s="6">
        <f t="shared" ref="N22:P22" si="25">IF(LEN($C22)&gt;0,H22-E22,"")</f>
        <v>-82624.00702</v>
      </c>
      <c r="O22" s="6">
        <f t="shared" si="25"/>
        <v>-2.80038057</v>
      </c>
      <c r="P22" s="6">
        <f t="shared" si="25"/>
        <v>-1.716053827</v>
      </c>
      <c r="Q22" s="6"/>
      <c r="R22" s="6"/>
      <c r="S22" s="6"/>
      <c r="T22" s="6"/>
      <c r="U22" s="6"/>
      <c r="V22" s="6"/>
      <c r="W22" s="148">
        <v>64.0</v>
      </c>
      <c r="X22" s="149" t="s">
        <v>380</v>
      </c>
      <c r="Y22" s="28">
        <v>-79584.76579948422</v>
      </c>
      <c r="Z22" s="28">
        <v>-122003.01701126713</v>
      </c>
      <c r="AA22" s="6">
        <f t="shared" si="4"/>
        <v>42418.25121</v>
      </c>
      <c r="AB22" s="6"/>
      <c r="AC22" s="6"/>
      <c r="AD22" s="6"/>
      <c r="AE22" s="6"/>
      <c r="AF22" s="6"/>
      <c r="AG22" s="6"/>
    </row>
    <row r="23" ht="14.25" customHeight="1">
      <c r="A23" s="12"/>
      <c r="B23" s="6"/>
      <c r="C23" s="26">
        <v>16.0</v>
      </c>
      <c r="D23" s="26"/>
      <c r="E23" s="26">
        <v>8628012.86915652</v>
      </c>
      <c r="F23" s="26">
        <v>441.3799683125742</v>
      </c>
      <c r="G23" s="26">
        <v>3.690271858671217</v>
      </c>
      <c r="H23" s="26">
        <v>8425720.125444166</v>
      </c>
      <c r="I23" s="26">
        <v>434.1122858906854</v>
      </c>
      <c r="J23" s="26">
        <v>2.51536898946274</v>
      </c>
      <c r="K23" s="26"/>
      <c r="L23" s="26"/>
      <c r="M23" s="26"/>
      <c r="N23" s="6">
        <f t="shared" ref="N23:P23" si="26">IF(LEN($C23)&gt;0,H23-E23,"")</f>
        <v>-202292.7437</v>
      </c>
      <c r="O23" s="6">
        <f t="shared" si="26"/>
        <v>-7.267682422</v>
      </c>
      <c r="P23" s="6">
        <f t="shared" si="26"/>
        <v>-1.174902869</v>
      </c>
      <c r="Q23" s="6"/>
      <c r="R23" s="6"/>
      <c r="S23" s="6"/>
      <c r="T23" s="6"/>
      <c r="U23" s="6"/>
      <c r="V23" s="6"/>
      <c r="W23" s="6">
        <v>11.0</v>
      </c>
      <c r="X23" s="147" t="s">
        <v>53</v>
      </c>
      <c r="Y23" s="28">
        <v>-100208.44160076696</v>
      </c>
      <c r="Z23" s="28">
        <v>-100867.6349598756</v>
      </c>
      <c r="AA23" s="6">
        <f t="shared" si="4"/>
        <v>659.1933591</v>
      </c>
      <c r="AB23" s="6"/>
      <c r="AC23" s="6"/>
      <c r="AD23" s="6"/>
      <c r="AE23" s="6"/>
      <c r="AF23" s="6"/>
      <c r="AG23" s="6"/>
    </row>
    <row r="24" ht="14.25" customHeight="1">
      <c r="A24" s="12"/>
      <c r="B24" s="6"/>
      <c r="C24" s="6">
        <v>17.0</v>
      </c>
      <c r="D24" s="6"/>
      <c r="E24" s="6">
        <v>6844472.622944567</v>
      </c>
      <c r="F24" s="6">
        <v>440.67895347259156</v>
      </c>
      <c r="G24" s="6">
        <v>4.405902855591985</v>
      </c>
      <c r="H24" s="6">
        <v>6802049.839166212</v>
      </c>
      <c r="I24" s="6">
        <v>438.97826212078155</v>
      </c>
      <c r="J24" s="6">
        <v>3.962499038981976</v>
      </c>
      <c r="K24" s="6"/>
      <c r="L24" s="6"/>
      <c r="M24" s="6"/>
      <c r="N24" s="6">
        <f t="shared" ref="N24:P24" si="27">IF(LEN($C24)&gt;0,H24-E24,"")</f>
        <v>-42422.78378</v>
      </c>
      <c r="O24" s="6">
        <f t="shared" si="27"/>
        <v>-1.700691352</v>
      </c>
      <c r="P24" s="6">
        <f t="shared" si="27"/>
        <v>-0.4434038166</v>
      </c>
      <c r="Q24" s="6"/>
      <c r="R24" s="6"/>
      <c r="S24" s="6"/>
      <c r="T24" s="6"/>
      <c r="U24" s="6"/>
      <c r="V24" s="6"/>
      <c r="W24" s="6">
        <v>18.0</v>
      </c>
      <c r="X24" s="150" t="s">
        <v>243</v>
      </c>
      <c r="Y24" s="28">
        <v>-101856.24010040611</v>
      </c>
      <c r="Z24" s="28">
        <v>-99219.83646023553</v>
      </c>
      <c r="AA24" s="6">
        <f t="shared" si="4"/>
        <v>2636.40364</v>
      </c>
      <c r="AB24" s="6"/>
      <c r="AC24" s="6"/>
      <c r="AD24" s="6"/>
      <c r="AE24" s="6"/>
      <c r="AF24" s="6"/>
      <c r="AG24" s="6"/>
    </row>
    <row r="25" ht="14.25" customHeight="1">
      <c r="A25" s="12"/>
      <c r="B25" s="6"/>
      <c r="C25" s="6">
        <v>18.0</v>
      </c>
      <c r="D25" s="6"/>
      <c r="E25" s="6">
        <v>6761670.102037255</v>
      </c>
      <c r="F25" s="6">
        <v>445.7810003678121</v>
      </c>
      <c r="G25" s="6">
        <v>4.993463945395749</v>
      </c>
      <c r="H25" s="6">
        <v>6636675.480768542</v>
      </c>
      <c r="I25" s="6">
        <v>440.85274654981185</v>
      </c>
      <c r="J25" s="6">
        <v>3.64117152873056</v>
      </c>
      <c r="K25" s="6"/>
      <c r="L25" s="6"/>
      <c r="M25" s="6"/>
      <c r="N25" s="6">
        <f t="shared" ref="N25:P25" si="28">IF(LEN($C25)&gt;0,H25-E25,"")</f>
        <v>-124994.6213</v>
      </c>
      <c r="O25" s="6">
        <f t="shared" si="28"/>
        <v>-4.928253818</v>
      </c>
      <c r="P25" s="6">
        <f t="shared" si="28"/>
        <v>-1.352292417</v>
      </c>
      <c r="Q25" s="6"/>
      <c r="R25" s="6"/>
      <c r="S25" s="6"/>
      <c r="T25" s="6"/>
      <c r="U25" s="6"/>
      <c r="V25" s="6"/>
      <c r="W25" s="6"/>
      <c r="X25" s="6"/>
      <c r="Y25" s="6"/>
      <c r="Z25" s="6"/>
      <c r="AA25" s="6"/>
      <c r="AB25" s="6"/>
      <c r="AC25" s="6"/>
      <c r="AD25" s="6"/>
      <c r="AE25" s="6"/>
      <c r="AF25" s="6"/>
      <c r="AG25" s="6"/>
    </row>
    <row r="26" ht="14.25" customHeight="1">
      <c r="A26" s="12"/>
      <c r="B26" s="6"/>
      <c r="C26" s="6">
        <v>19.0</v>
      </c>
      <c r="D26" s="6"/>
      <c r="E26" s="6">
        <v>8680918.654556528</v>
      </c>
      <c r="F26" s="6">
        <v>444.6894445376418</v>
      </c>
      <c r="G26" s="6">
        <v>5.400845805692001</v>
      </c>
      <c r="H26" s="6">
        <v>8558631.490675056</v>
      </c>
      <c r="I26" s="6">
        <v>438.62700922489336</v>
      </c>
      <c r="J26" s="6">
        <v>3.755351543816468</v>
      </c>
      <c r="K26" s="6"/>
      <c r="L26" s="6"/>
      <c r="M26" s="6"/>
      <c r="N26" s="6">
        <f t="shared" ref="N26:P26" si="29">IF(LEN($C26)&gt;0,H26-E26,"")</f>
        <v>-122287.1639</v>
      </c>
      <c r="O26" s="6">
        <f t="shared" si="29"/>
        <v>-6.062435313</v>
      </c>
      <c r="P26" s="6">
        <f t="shared" si="29"/>
        <v>-1.645494262</v>
      </c>
      <c r="Q26" s="6"/>
      <c r="R26" s="6"/>
      <c r="S26" s="6"/>
      <c r="T26" s="6"/>
      <c r="U26" s="6"/>
      <c r="V26" s="6"/>
      <c r="W26" s="6"/>
      <c r="X26" s="6"/>
      <c r="Y26" s="6"/>
      <c r="Z26" s="6"/>
      <c r="AA26" s="6"/>
      <c r="AB26" s="6"/>
      <c r="AC26" s="6"/>
      <c r="AD26" s="6"/>
      <c r="AE26" s="6"/>
      <c r="AF26" s="6"/>
      <c r="AG26" s="6"/>
    </row>
    <row r="27" ht="14.25" customHeight="1">
      <c r="A27" s="12"/>
      <c r="B27" s="6"/>
      <c r="C27" s="6">
        <v>20.0</v>
      </c>
      <c r="D27" s="6"/>
      <c r="E27" s="6">
        <v>9444250.898162846</v>
      </c>
      <c r="F27" s="6">
        <v>480.08856499524296</v>
      </c>
      <c r="G27" s="6">
        <v>3.785783602765295</v>
      </c>
      <c r="H27" s="6">
        <v>9350172.960849704</v>
      </c>
      <c r="I27" s="6">
        <v>476.85270416932923</v>
      </c>
      <c r="J27" s="6">
        <v>3.013634302223442</v>
      </c>
      <c r="K27" s="6"/>
      <c r="L27" s="6"/>
      <c r="M27" s="6"/>
      <c r="N27" s="6">
        <f t="shared" ref="N27:P27" si="30">IF(LEN($C27)&gt;0,H27-E27,"")</f>
        <v>-94077.93731</v>
      </c>
      <c r="O27" s="6">
        <f t="shared" si="30"/>
        <v>-3.235860826</v>
      </c>
      <c r="P27" s="6">
        <f t="shared" si="30"/>
        <v>-0.7721493005</v>
      </c>
      <c r="Q27" s="6"/>
      <c r="R27" s="6"/>
      <c r="S27" s="6"/>
      <c r="T27" s="6"/>
      <c r="U27" s="6"/>
      <c r="V27" s="6"/>
      <c r="W27" s="6"/>
      <c r="X27" s="6"/>
      <c r="Y27" s="6"/>
      <c r="Z27" s="6"/>
      <c r="AA27" s="6"/>
      <c r="AB27" s="6"/>
      <c r="AC27" s="6"/>
      <c r="AD27" s="6"/>
      <c r="AE27" s="6"/>
      <c r="AF27" s="6"/>
      <c r="AG27" s="6"/>
    </row>
    <row r="28" ht="14.25" customHeight="1">
      <c r="A28" s="12"/>
      <c r="B28" s="6"/>
      <c r="C28" s="6">
        <v>21.0</v>
      </c>
      <c r="D28" s="6"/>
      <c r="E28" s="6">
        <v>7565107.27707997</v>
      </c>
      <c r="F28" s="6">
        <v>491.42460671714286</v>
      </c>
      <c r="G28" s="6">
        <v>5.666884500167603</v>
      </c>
      <c r="H28" s="6">
        <v>7447312.552138714</v>
      </c>
      <c r="I28" s="6">
        <v>485.89573134386404</v>
      </c>
      <c r="J28" s="6">
        <v>4.627973951790287</v>
      </c>
      <c r="K28" s="6"/>
      <c r="L28" s="6"/>
      <c r="M28" s="6"/>
      <c r="N28" s="6">
        <f t="shared" ref="N28:P28" si="31">IF(LEN($C28)&gt;0,H28-E28,"")</f>
        <v>-117794.7249</v>
      </c>
      <c r="O28" s="6">
        <f t="shared" si="31"/>
        <v>-5.528875373</v>
      </c>
      <c r="P28" s="6">
        <f t="shared" si="31"/>
        <v>-1.038910548</v>
      </c>
      <c r="Q28" s="6"/>
      <c r="R28" s="6"/>
      <c r="S28" s="6"/>
      <c r="T28" s="6"/>
      <c r="U28" s="6"/>
      <c r="V28" s="6"/>
      <c r="W28" s="6"/>
      <c r="X28" s="6"/>
      <c r="Y28" s="6"/>
      <c r="Z28" s="6"/>
      <c r="AA28" s="6"/>
      <c r="AB28" s="6"/>
      <c r="AC28" s="6"/>
      <c r="AD28" s="6"/>
      <c r="AE28" s="6"/>
      <c r="AF28" s="6"/>
      <c r="AG28" s="6"/>
    </row>
    <row r="29" ht="14.25" customHeight="1">
      <c r="A29" s="12"/>
      <c r="B29" s="6"/>
      <c r="C29" s="6">
        <v>22.0</v>
      </c>
      <c r="D29" s="6"/>
      <c r="E29" s="6">
        <v>6977431.267907591</v>
      </c>
      <c r="F29" s="6">
        <v>445.05456563306865</v>
      </c>
      <c r="G29" s="6">
        <v>5.430261324919409</v>
      </c>
      <c r="H29" s="6">
        <v>6879397.628609073</v>
      </c>
      <c r="I29" s="6">
        <v>440.75831785353546</v>
      </c>
      <c r="J29" s="6">
        <v>4.008799278030485</v>
      </c>
      <c r="K29" s="6"/>
      <c r="L29" s="6"/>
      <c r="M29" s="6"/>
      <c r="N29" s="6">
        <f t="shared" ref="N29:P29" si="32">IF(LEN($C29)&gt;0,H29-E29,"")</f>
        <v>-98033.6393</v>
      </c>
      <c r="O29" s="6">
        <f t="shared" si="32"/>
        <v>-4.29624778</v>
      </c>
      <c r="P29" s="6">
        <f t="shared" si="32"/>
        <v>-1.421462047</v>
      </c>
      <c r="Q29" s="6"/>
      <c r="R29" s="6"/>
      <c r="S29" s="6"/>
      <c r="T29" s="6"/>
      <c r="U29" s="6"/>
      <c r="V29" s="6"/>
      <c r="W29" s="6"/>
      <c r="X29" s="6"/>
      <c r="Y29" s="6"/>
      <c r="Z29" s="6"/>
      <c r="AA29" s="6"/>
      <c r="AB29" s="6"/>
      <c r="AC29" s="6"/>
      <c r="AD29" s="6"/>
      <c r="AE29" s="6"/>
      <c r="AF29" s="6"/>
      <c r="AG29" s="6"/>
    </row>
    <row r="30" ht="14.25" customHeight="1">
      <c r="A30" s="12"/>
      <c r="B30" s="6"/>
      <c r="C30" s="6">
        <v>23.0</v>
      </c>
      <c r="D30" s="6"/>
      <c r="E30" s="6">
        <v>6076183.868455046</v>
      </c>
      <c r="F30" s="6">
        <v>462.58552583901417</v>
      </c>
      <c r="G30" s="6">
        <v>4.255737587604671</v>
      </c>
      <c r="H30" s="6">
        <v>6012693.714222112</v>
      </c>
      <c r="I30" s="6">
        <v>459.57677594259053</v>
      </c>
      <c r="J30" s="6">
        <v>2.927108055940518</v>
      </c>
      <c r="K30" s="6"/>
      <c r="L30" s="6"/>
      <c r="M30" s="6"/>
      <c r="N30" s="6">
        <f t="shared" ref="N30:P30" si="33">IF(LEN($C30)&gt;0,H30-E30,"")</f>
        <v>-63490.15423</v>
      </c>
      <c r="O30" s="6">
        <f t="shared" si="33"/>
        <v>-3.008749896</v>
      </c>
      <c r="P30" s="6">
        <f t="shared" si="33"/>
        <v>-1.328629532</v>
      </c>
      <c r="Q30" s="6"/>
      <c r="R30" s="6"/>
      <c r="S30" s="6"/>
      <c r="T30" s="6"/>
      <c r="U30" s="6"/>
      <c r="V30" s="6"/>
      <c r="W30" s="6"/>
      <c r="X30" s="6"/>
      <c r="Y30" s="6"/>
      <c r="Z30" s="6"/>
      <c r="AA30" s="6"/>
      <c r="AB30" s="6"/>
      <c r="AC30" s="6"/>
      <c r="AD30" s="6"/>
      <c r="AE30" s="6"/>
      <c r="AF30" s="6"/>
      <c r="AG30" s="6"/>
    </row>
    <row r="31" ht="14.25" customHeight="1">
      <c r="A31" s="12"/>
      <c r="B31" s="6"/>
      <c r="C31" s="6">
        <v>24.0</v>
      </c>
      <c r="D31" s="6"/>
      <c r="E31" s="6">
        <v>8409464.445889633</v>
      </c>
      <c r="F31" s="6">
        <v>482.78914705398057</v>
      </c>
      <c r="G31" s="6">
        <v>5.17028933134856</v>
      </c>
      <c r="H31" s="6">
        <v>8290901.299479348</v>
      </c>
      <c r="I31" s="6">
        <v>480.0663804766467</v>
      </c>
      <c r="J31" s="6">
        <v>3.9487737857698857</v>
      </c>
      <c r="K31" s="6"/>
      <c r="L31" s="6"/>
      <c r="M31" s="6"/>
      <c r="N31" s="6">
        <f t="shared" ref="N31:P31" si="34">IF(LEN($C31)&gt;0,H31-E31,"")</f>
        <v>-118563.1464</v>
      </c>
      <c r="O31" s="6">
        <f t="shared" si="34"/>
        <v>-2.722766577</v>
      </c>
      <c r="P31" s="6">
        <f t="shared" si="34"/>
        <v>-1.221515546</v>
      </c>
      <c r="Q31" s="6"/>
      <c r="R31" s="6"/>
      <c r="S31" s="6"/>
      <c r="T31" s="6"/>
      <c r="U31" s="6"/>
      <c r="V31" s="6"/>
      <c r="W31" s="6"/>
      <c r="X31" s="6"/>
      <c r="Y31" s="6"/>
      <c r="Z31" s="6"/>
      <c r="AA31" s="6"/>
      <c r="AB31" s="6"/>
      <c r="AC31" s="6"/>
      <c r="AD31" s="6"/>
      <c r="AE31" s="6"/>
      <c r="AF31" s="6"/>
      <c r="AG31" s="6"/>
    </row>
    <row r="32" ht="14.25" customHeight="1">
      <c r="A32" s="12"/>
      <c r="B32" s="6"/>
      <c r="C32" s="6">
        <v>25.0</v>
      </c>
      <c r="D32" s="6"/>
      <c r="E32" s="6">
        <v>1.0359489076800985E7</v>
      </c>
      <c r="F32" s="6">
        <v>446.67867300486444</v>
      </c>
      <c r="G32" s="6">
        <v>5.3567778479764865</v>
      </c>
      <c r="H32" s="6">
        <v>1.0186398443533503E7</v>
      </c>
      <c r="I32" s="6">
        <v>442.0099807649383</v>
      </c>
      <c r="J32" s="6">
        <v>3.6797736539784727</v>
      </c>
      <c r="K32" s="6"/>
      <c r="L32" s="6"/>
      <c r="M32" s="6"/>
      <c r="N32" s="6">
        <f t="shared" ref="N32:P32" si="35">IF(LEN($C32)&gt;0,H32-E32,"")</f>
        <v>-173090.6333</v>
      </c>
      <c r="O32" s="6">
        <f t="shared" si="35"/>
        <v>-4.66869224</v>
      </c>
      <c r="P32" s="6">
        <f t="shared" si="35"/>
        <v>-1.677004194</v>
      </c>
      <c r="Q32" s="6"/>
      <c r="R32" s="6"/>
      <c r="S32" s="6"/>
      <c r="T32" s="6"/>
      <c r="U32" s="6"/>
      <c r="V32" s="6"/>
      <c r="W32" s="6"/>
      <c r="X32" s="6"/>
      <c r="Y32" s="6"/>
      <c r="Z32" s="6"/>
      <c r="AA32" s="6"/>
      <c r="AB32" s="6"/>
      <c r="AC32" s="6"/>
      <c r="AD32" s="6"/>
      <c r="AE32" s="6"/>
      <c r="AF32" s="6"/>
      <c r="AG32" s="6"/>
    </row>
    <row r="33" ht="14.25" customHeight="1">
      <c r="A33" s="12"/>
      <c r="B33" s="6"/>
      <c r="C33" s="6">
        <v>26.0</v>
      </c>
      <c r="D33" s="6"/>
      <c r="E33" s="6">
        <v>1.0761108239064677E7</v>
      </c>
      <c r="F33" s="6">
        <v>487.5595792720689</v>
      </c>
      <c r="G33" s="6">
        <v>4.637770876806449</v>
      </c>
      <c r="H33" s="6">
        <v>1.0711651610614877E7</v>
      </c>
      <c r="I33" s="6">
        <v>485.48951935900106</v>
      </c>
      <c r="J33" s="6">
        <v>4.034855871740052</v>
      </c>
      <c r="K33" s="6"/>
      <c r="L33" s="6"/>
      <c r="M33" s="6"/>
      <c r="N33" s="6">
        <f t="shared" ref="N33:P33" si="36">IF(LEN($C33)&gt;0,H33-E33,"")</f>
        <v>-49456.62845</v>
      </c>
      <c r="O33" s="6">
        <f t="shared" si="36"/>
        <v>-2.070059913</v>
      </c>
      <c r="P33" s="6">
        <f t="shared" si="36"/>
        <v>-0.6029150051</v>
      </c>
      <c r="Q33" s="6"/>
      <c r="R33" s="6"/>
      <c r="S33" s="6"/>
      <c r="T33" s="6"/>
      <c r="U33" s="6"/>
      <c r="V33" s="6"/>
      <c r="W33" s="6"/>
      <c r="X33" s="6"/>
      <c r="Y33" s="6"/>
      <c r="Z33" s="6"/>
      <c r="AA33" s="6"/>
      <c r="AB33" s="6"/>
      <c r="AC33" s="6"/>
      <c r="AD33" s="6"/>
      <c r="AE33" s="6"/>
      <c r="AF33" s="6"/>
      <c r="AG33" s="6"/>
    </row>
    <row r="34" ht="14.25" customHeight="1">
      <c r="A34" s="12"/>
      <c r="B34" s="6"/>
      <c r="C34" s="6">
        <v>27.0</v>
      </c>
      <c r="D34" s="6"/>
      <c r="E34" s="6">
        <v>7591081.226611108</v>
      </c>
      <c r="F34" s="6">
        <v>475.39600022421143</v>
      </c>
      <c r="G34" s="6">
        <v>6.226318075800815</v>
      </c>
      <c r="H34" s="6">
        <v>7470099.074615811</v>
      </c>
      <c r="I34" s="6">
        <v>470.9038620925117</v>
      </c>
      <c r="J34" s="6">
        <v>4.193277556009235</v>
      </c>
      <c r="K34" s="6"/>
      <c r="L34" s="6"/>
      <c r="M34" s="6"/>
      <c r="N34" s="6">
        <f t="shared" ref="N34:P34" si="37">IF(LEN($C34)&gt;0,H34-E34,"")</f>
        <v>-120982.152</v>
      </c>
      <c r="O34" s="6">
        <f t="shared" si="37"/>
        <v>-4.492138132</v>
      </c>
      <c r="P34" s="6">
        <f t="shared" si="37"/>
        <v>-2.03304052</v>
      </c>
      <c r="Q34" s="6"/>
      <c r="R34" s="6"/>
      <c r="S34" s="6"/>
      <c r="T34" s="6"/>
      <c r="U34" s="6"/>
      <c r="V34" s="6"/>
      <c r="W34" s="6"/>
      <c r="X34" s="6"/>
      <c r="Y34" s="6"/>
      <c r="Z34" s="6"/>
      <c r="AA34" s="6"/>
      <c r="AB34" s="6"/>
      <c r="AC34" s="6"/>
      <c r="AD34" s="6"/>
      <c r="AE34" s="6"/>
      <c r="AF34" s="6"/>
      <c r="AG34" s="6"/>
    </row>
    <row r="35" ht="14.25" customHeight="1">
      <c r="A35" s="12"/>
      <c r="B35" s="6"/>
      <c r="C35" s="6">
        <v>28.0</v>
      </c>
      <c r="D35" s="6"/>
      <c r="E35" s="6">
        <v>7171525.863622603</v>
      </c>
      <c r="F35" s="6">
        <v>443.7910152576281</v>
      </c>
      <c r="G35" s="6">
        <v>5.993666202434026</v>
      </c>
      <c r="H35" s="6">
        <v>7067928.458616791</v>
      </c>
      <c r="I35" s="6">
        <v>441.4204311782015</v>
      </c>
      <c r="J35" s="6">
        <v>4.174778250956678</v>
      </c>
      <c r="K35" s="6"/>
      <c r="L35" s="6"/>
      <c r="M35" s="6"/>
      <c r="N35" s="6">
        <f t="shared" ref="N35:P35" si="38">IF(LEN($C35)&gt;0,H35-E35,"")</f>
        <v>-103597.405</v>
      </c>
      <c r="O35" s="6">
        <f t="shared" si="38"/>
        <v>-2.370584079</v>
      </c>
      <c r="P35" s="6">
        <f t="shared" si="38"/>
        <v>-1.818887951</v>
      </c>
      <c r="Q35" s="6"/>
      <c r="R35" s="6"/>
      <c r="S35" s="6"/>
      <c r="T35" s="6"/>
      <c r="U35" s="6"/>
      <c r="V35" s="6"/>
      <c r="W35" s="6"/>
      <c r="X35" s="6"/>
      <c r="Y35" s="6"/>
      <c r="Z35" s="6"/>
      <c r="AA35" s="6"/>
      <c r="AB35" s="6"/>
      <c r="AC35" s="6"/>
      <c r="AD35" s="6"/>
      <c r="AE35" s="6"/>
      <c r="AF35" s="6"/>
      <c r="AG35" s="6"/>
    </row>
    <row r="36" ht="14.25" customHeight="1">
      <c r="A36" s="12"/>
      <c r="B36" s="6"/>
      <c r="C36" s="6">
        <v>29.0</v>
      </c>
      <c r="D36" s="6"/>
      <c r="E36" s="6">
        <v>6578650.713727706</v>
      </c>
      <c r="F36" s="6">
        <v>482.1728355283639</v>
      </c>
      <c r="G36" s="6">
        <v>4.901930662858284</v>
      </c>
      <c r="H36" s="6">
        <v>6502839.11727921</v>
      </c>
      <c r="I36" s="6">
        <v>479.9312704956831</v>
      </c>
      <c r="J36" s="6">
        <v>3.2065850332837895</v>
      </c>
      <c r="K36" s="6"/>
      <c r="L36" s="6"/>
      <c r="M36" s="6"/>
      <c r="N36" s="6">
        <f t="shared" ref="N36:P36" si="39">IF(LEN($C36)&gt;0,H36-E36,"")</f>
        <v>-75811.59645</v>
      </c>
      <c r="O36" s="6">
        <f t="shared" si="39"/>
        <v>-2.241565033</v>
      </c>
      <c r="P36" s="6">
        <f t="shared" si="39"/>
        <v>-1.69534563</v>
      </c>
      <c r="Q36" s="6"/>
      <c r="R36" s="6"/>
      <c r="S36" s="6"/>
      <c r="T36" s="6"/>
      <c r="U36" s="6"/>
      <c r="V36" s="6"/>
      <c r="W36" s="6"/>
      <c r="X36" s="6"/>
      <c r="Y36" s="6"/>
      <c r="Z36" s="6"/>
      <c r="AA36" s="6"/>
      <c r="AB36" s="6"/>
      <c r="AC36" s="6"/>
      <c r="AD36" s="6"/>
      <c r="AE36" s="6"/>
      <c r="AF36" s="6"/>
      <c r="AG36" s="6"/>
    </row>
    <row r="37" ht="14.25" customHeight="1">
      <c r="A37" s="12"/>
      <c r="B37" s="6"/>
      <c r="C37" s="6">
        <v>30.0</v>
      </c>
      <c r="D37" s="6"/>
      <c r="E37" s="6">
        <v>7977130.871795413</v>
      </c>
      <c r="F37" s="6">
        <v>478.0513401043153</v>
      </c>
      <c r="G37" s="6">
        <v>5.6702220342282885</v>
      </c>
      <c r="H37" s="6">
        <v>7846386.790923563</v>
      </c>
      <c r="I37" s="6">
        <v>472.4326481530403</v>
      </c>
      <c r="J37" s="6">
        <v>4.338157225451747</v>
      </c>
      <c r="K37" s="6"/>
      <c r="L37" s="6"/>
      <c r="M37" s="6"/>
      <c r="N37" s="6">
        <f t="shared" ref="N37:P37" si="40">IF(LEN($C37)&gt;0,H37-E37,"")</f>
        <v>-130744.0809</v>
      </c>
      <c r="O37" s="6">
        <f t="shared" si="40"/>
        <v>-5.618691951</v>
      </c>
      <c r="P37" s="6">
        <f t="shared" si="40"/>
        <v>-1.332064809</v>
      </c>
      <c r="Q37" s="6"/>
      <c r="R37" s="6"/>
      <c r="S37" s="6"/>
      <c r="T37" s="6"/>
      <c r="U37" s="6"/>
      <c r="V37" s="6"/>
      <c r="W37" s="6"/>
      <c r="X37" s="6"/>
      <c r="Y37" s="6"/>
      <c r="Z37" s="6"/>
      <c r="AA37" s="6"/>
      <c r="AB37" s="6"/>
      <c r="AC37" s="6"/>
      <c r="AD37" s="6"/>
      <c r="AE37" s="6"/>
      <c r="AF37" s="6"/>
      <c r="AG37" s="6"/>
    </row>
    <row r="38" ht="14.25" customHeight="1">
      <c r="A38" s="12"/>
      <c r="B38" s="6"/>
      <c r="C38" s="6">
        <v>31.0</v>
      </c>
      <c r="D38" s="6"/>
      <c r="E38" s="6">
        <v>7610645.264699969</v>
      </c>
      <c r="F38" s="6">
        <v>470.9163971963796</v>
      </c>
      <c r="G38" s="6">
        <v>4.457883610858803</v>
      </c>
      <c r="H38" s="6">
        <v>7522249.685044153</v>
      </c>
      <c r="I38" s="6">
        <v>466.2342927474229</v>
      </c>
      <c r="J38" s="6">
        <v>3.1774503957538536</v>
      </c>
      <c r="K38" s="6"/>
      <c r="L38" s="6"/>
      <c r="M38" s="6"/>
      <c r="N38" s="6">
        <f t="shared" ref="N38:P38" si="41">IF(LEN($C38)&gt;0,H38-E38,"")</f>
        <v>-88395.57966</v>
      </c>
      <c r="O38" s="6">
        <f t="shared" si="41"/>
        <v>-4.682104449</v>
      </c>
      <c r="P38" s="6">
        <f t="shared" si="41"/>
        <v>-1.280433215</v>
      </c>
      <c r="Q38" s="6"/>
      <c r="R38" s="6"/>
      <c r="S38" s="6"/>
      <c r="T38" s="6"/>
      <c r="U38" s="6"/>
      <c r="V38" s="6"/>
      <c r="W38" s="6"/>
      <c r="X38" s="6"/>
      <c r="Y38" s="6"/>
      <c r="Z38" s="6"/>
      <c r="AA38" s="6"/>
      <c r="AB38" s="6"/>
      <c r="AC38" s="6"/>
      <c r="AD38" s="6"/>
      <c r="AE38" s="6"/>
      <c r="AF38" s="6"/>
      <c r="AG38" s="6"/>
    </row>
    <row r="39" ht="14.25" customHeight="1">
      <c r="A39" s="12"/>
      <c r="B39" s="6"/>
      <c r="C39" s="6">
        <v>32.0</v>
      </c>
      <c r="D39" s="6"/>
      <c r="E39" s="6">
        <v>6572126.328346018</v>
      </c>
      <c r="F39" s="6">
        <v>456.5258130707068</v>
      </c>
      <c r="G39" s="6">
        <v>6.3099828978104995</v>
      </c>
      <c r="H39" s="6">
        <v>6474773.997935137</v>
      </c>
      <c r="I39" s="6">
        <v>452.4576155861967</v>
      </c>
      <c r="J39" s="6">
        <v>4.624824588155324</v>
      </c>
      <c r="K39" s="6"/>
      <c r="L39" s="6"/>
      <c r="M39" s="6"/>
      <c r="N39" s="6">
        <f t="shared" ref="N39:P39" si="42">IF(LEN($C39)&gt;0,H39-E39,"")</f>
        <v>-97352.33041</v>
      </c>
      <c r="O39" s="6">
        <f t="shared" si="42"/>
        <v>-4.068197485</v>
      </c>
      <c r="P39" s="6">
        <f t="shared" si="42"/>
        <v>-1.68515831</v>
      </c>
      <c r="Q39" s="6"/>
      <c r="R39" s="6"/>
      <c r="S39" s="6"/>
      <c r="T39" s="6"/>
      <c r="U39" s="6"/>
      <c r="V39" s="6"/>
      <c r="W39" s="6"/>
      <c r="X39" s="6"/>
      <c r="Y39" s="6"/>
      <c r="Z39" s="6"/>
      <c r="AA39" s="6"/>
      <c r="AB39" s="6"/>
      <c r="AC39" s="6"/>
      <c r="AD39" s="6"/>
      <c r="AE39" s="6"/>
      <c r="AF39" s="6"/>
      <c r="AG39" s="6"/>
    </row>
    <row r="40" ht="14.25" customHeight="1">
      <c r="A40" s="12"/>
      <c r="B40" s="6"/>
      <c r="C40" s="6">
        <v>33.0</v>
      </c>
      <c r="D40" s="6"/>
      <c r="E40" s="6">
        <v>7459315.109551436</v>
      </c>
      <c r="F40" s="6">
        <v>493.83288384984934</v>
      </c>
      <c r="G40" s="6">
        <v>4.28432813856869</v>
      </c>
      <c r="H40" s="6">
        <v>7405254.72676368</v>
      </c>
      <c r="I40" s="6">
        <v>491.5509616525793</v>
      </c>
      <c r="J40" s="6">
        <v>3.6336089867157026</v>
      </c>
      <c r="K40" s="6"/>
      <c r="L40" s="6"/>
      <c r="M40" s="6"/>
      <c r="N40" s="6">
        <f t="shared" ref="N40:P40" si="43">IF(LEN($C40)&gt;0,H40-E40,"")</f>
        <v>-54060.38279</v>
      </c>
      <c r="O40" s="6">
        <f t="shared" si="43"/>
        <v>-2.281922197</v>
      </c>
      <c r="P40" s="6">
        <f t="shared" si="43"/>
        <v>-0.6507191519</v>
      </c>
      <c r="Q40" s="6"/>
      <c r="R40" s="6"/>
      <c r="S40" s="6"/>
      <c r="T40" s="6"/>
      <c r="U40" s="6"/>
      <c r="V40" s="6"/>
      <c r="W40" s="6"/>
      <c r="X40" s="6"/>
      <c r="Y40" s="6"/>
      <c r="Z40" s="6"/>
      <c r="AA40" s="6"/>
      <c r="AB40" s="6"/>
      <c r="AC40" s="6"/>
      <c r="AD40" s="6"/>
      <c r="AE40" s="6"/>
      <c r="AF40" s="6"/>
      <c r="AG40" s="6"/>
    </row>
    <row r="41" ht="14.25" customHeight="1">
      <c r="A41" s="6"/>
      <c r="B41" s="6"/>
      <c r="C41" s="6">
        <v>34.0</v>
      </c>
      <c r="D41" s="6"/>
      <c r="E41" s="6">
        <v>5970284.439435288</v>
      </c>
      <c r="F41" s="6">
        <v>464.6864100872783</v>
      </c>
      <c r="G41" s="6">
        <v>5.320948309753952</v>
      </c>
      <c r="H41" s="6">
        <v>5883203.124162549</v>
      </c>
      <c r="I41" s="6">
        <v>462.61212594308284</v>
      </c>
      <c r="J41" s="6">
        <v>3.8804101577692625</v>
      </c>
      <c r="K41" s="6"/>
      <c r="L41" s="6"/>
      <c r="M41" s="6"/>
      <c r="N41" s="6">
        <f t="shared" ref="N41:P41" si="44">IF(LEN($C41)&gt;0,H41-E41,"")</f>
        <v>-87081.31527</v>
      </c>
      <c r="O41" s="6">
        <f t="shared" si="44"/>
        <v>-2.074284144</v>
      </c>
      <c r="P41" s="6">
        <f t="shared" si="44"/>
        <v>-1.440538152</v>
      </c>
      <c r="Q41" s="6"/>
      <c r="R41" s="6"/>
      <c r="S41" s="6"/>
      <c r="T41" s="6"/>
      <c r="U41" s="6"/>
      <c r="V41" s="6"/>
      <c r="W41" s="6"/>
      <c r="X41" s="6"/>
      <c r="Y41" s="6"/>
      <c r="Z41" s="6"/>
      <c r="AA41" s="6"/>
      <c r="AB41" s="6"/>
      <c r="AC41" s="6"/>
      <c r="AD41" s="6"/>
      <c r="AE41" s="6"/>
      <c r="AF41" s="6"/>
      <c r="AG41" s="6"/>
    </row>
    <row r="42" ht="14.25" customHeight="1">
      <c r="A42" s="6"/>
      <c r="B42" s="6"/>
      <c r="C42" s="6">
        <v>35.0</v>
      </c>
      <c r="D42" s="6"/>
      <c r="E42" s="6">
        <v>7145586.794843073</v>
      </c>
      <c r="F42" s="6">
        <v>498.47612481410727</v>
      </c>
      <c r="G42" s="6">
        <v>6.032591934682097</v>
      </c>
      <c r="H42" s="6">
        <v>7031317.176063621</v>
      </c>
      <c r="I42" s="6">
        <v>494.1725103435561</v>
      </c>
      <c r="J42" s="6">
        <v>4.277025343047563</v>
      </c>
      <c r="K42" s="6"/>
      <c r="L42" s="6"/>
      <c r="M42" s="6"/>
      <c r="N42" s="6">
        <f t="shared" ref="N42:P42" si="45">IF(LEN($C42)&gt;0,H42-E42,"")</f>
        <v>-114269.6188</v>
      </c>
      <c r="O42" s="6">
        <f t="shared" si="45"/>
        <v>-4.303614471</v>
      </c>
      <c r="P42" s="6">
        <f t="shared" si="45"/>
        <v>-1.755566592</v>
      </c>
      <c r="Q42" s="6"/>
      <c r="R42" s="6"/>
      <c r="S42" s="6"/>
      <c r="T42" s="6"/>
      <c r="U42" s="6"/>
      <c r="V42" s="6"/>
      <c r="W42" s="6"/>
      <c r="X42" s="6"/>
      <c r="Y42" s="6"/>
      <c r="Z42" s="6"/>
      <c r="AA42" s="6"/>
      <c r="AB42" s="6"/>
      <c r="AC42" s="6"/>
      <c r="AD42" s="6"/>
      <c r="AE42" s="6"/>
      <c r="AF42" s="6"/>
      <c r="AG42" s="6"/>
    </row>
    <row r="43" ht="14.25" customHeight="1">
      <c r="A43" s="6"/>
      <c r="B43" s="6"/>
      <c r="C43" s="6">
        <v>36.0</v>
      </c>
      <c r="D43" s="6"/>
      <c r="E43" s="6">
        <v>7301631.746413039</v>
      </c>
      <c r="F43" s="6">
        <v>501.6726150889533</v>
      </c>
      <c r="G43" s="6">
        <v>6.239771373408196</v>
      </c>
      <c r="H43" s="6">
        <v>7170602.169175999</v>
      </c>
      <c r="I43" s="6">
        <v>498.5638721121584</v>
      </c>
      <c r="J43" s="6">
        <v>4.480355522615581</v>
      </c>
      <c r="K43" s="6"/>
      <c r="L43" s="6"/>
      <c r="M43" s="6"/>
      <c r="N43" s="6">
        <f t="shared" ref="N43:P43" si="46">IF(LEN($C43)&gt;0,H43-E43,"")</f>
        <v>-131029.5772</v>
      </c>
      <c r="O43" s="6">
        <f t="shared" si="46"/>
        <v>-3.108742977</v>
      </c>
      <c r="P43" s="6">
        <f t="shared" si="46"/>
        <v>-1.759415851</v>
      </c>
      <c r="Q43" s="6"/>
      <c r="R43" s="6"/>
      <c r="S43" s="6"/>
      <c r="T43" s="6"/>
      <c r="U43" s="6"/>
      <c r="V43" s="6"/>
      <c r="W43" s="6"/>
      <c r="X43" s="6"/>
      <c r="Y43" s="6"/>
      <c r="Z43" s="6"/>
      <c r="AA43" s="6"/>
      <c r="AB43" s="6"/>
      <c r="AC43" s="6"/>
      <c r="AD43" s="6"/>
      <c r="AE43" s="6"/>
      <c r="AF43" s="6"/>
      <c r="AG43" s="6"/>
    </row>
    <row r="44" ht="14.25" customHeight="1">
      <c r="A44" s="6"/>
      <c r="B44" s="6"/>
      <c r="C44" s="6">
        <v>37.0</v>
      </c>
      <c r="D44" s="6"/>
      <c r="E44" s="6">
        <v>7177597.244363077</v>
      </c>
      <c r="F44" s="6">
        <v>456.0952298126758</v>
      </c>
      <c r="G44" s="6">
        <v>5.426714509363524</v>
      </c>
      <c r="H44" s="6">
        <v>7040194.963136352</v>
      </c>
      <c r="I44" s="6">
        <v>449.54644902166586</v>
      </c>
      <c r="J44" s="6">
        <v>3.9954213898845268</v>
      </c>
      <c r="K44" s="6"/>
      <c r="L44" s="6"/>
      <c r="M44" s="6"/>
      <c r="N44" s="6">
        <f t="shared" ref="N44:P44" si="47">IF(LEN($C44)&gt;0,H44-E44,"")</f>
        <v>-137402.2812</v>
      </c>
      <c r="O44" s="6">
        <f t="shared" si="47"/>
        <v>-6.548780791</v>
      </c>
      <c r="P44" s="6">
        <f t="shared" si="47"/>
        <v>-1.431293119</v>
      </c>
      <c r="Q44" s="6"/>
      <c r="R44" s="6"/>
      <c r="S44" s="6"/>
      <c r="T44" s="6"/>
      <c r="U44" s="6"/>
      <c r="V44" s="6"/>
      <c r="W44" s="6"/>
      <c r="X44" s="6"/>
      <c r="Y44" s="6"/>
      <c r="Z44" s="6"/>
      <c r="AA44" s="6"/>
      <c r="AB44" s="6"/>
      <c r="AC44" s="6"/>
      <c r="AD44" s="6"/>
      <c r="AE44" s="6"/>
      <c r="AF44" s="6"/>
      <c r="AG44" s="6"/>
    </row>
    <row r="45" ht="14.25" customHeight="1">
      <c r="A45" s="6"/>
      <c r="B45" s="6"/>
      <c r="C45" s="6">
        <v>38.0</v>
      </c>
      <c r="D45" s="6"/>
      <c r="E45" s="6">
        <v>7287361.12155564</v>
      </c>
      <c r="F45" s="6">
        <v>494.60768712169596</v>
      </c>
      <c r="G45" s="6">
        <v>4.560545231609957</v>
      </c>
      <c r="H45" s="6">
        <v>7169454.479864965</v>
      </c>
      <c r="I45" s="6">
        <v>489.63681376895113</v>
      </c>
      <c r="J45" s="6">
        <v>3.415452225632282</v>
      </c>
      <c r="K45" s="6"/>
      <c r="L45" s="6"/>
      <c r="M45" s="6"/>
      <c r="N45" s="6">
        <f t="shared" ref="N45:P45" si="48">IF(LEN($C45)&gt;0,H45-E45,"")</f>
        <v>-117906.6417</v>
      </c>
      <c r="O45" s="6">
        <f t="shared" si="48"/>
        <v>-4.970873353</v>
      </c>
      <c r="P45" s="6">
        <f t="shared" si="48"/>
        <v>-1.145093006</v>
      </c>
      <c r="Q45" s="6"/>
      <c r="R45" s="6"/>
      <c r="S45" s="6"/>
      <c r="T45" s="6"/>
      <c r="U45" s="6"/>
      <c r="V45" s="6"/>
      <c r="W45" s="6"/>
      <c r="X45" s="6"/>
      <c r="Y45" s="6"/>
      <c r="Z45" s="6"/>
      <c r="AA45" s="6"/>
      <c r="AB45" s="6"/>
      <c r="AC45" s="6"/>
      <c r="AD45" s="6"/>
      <c r="AE45" s="6"/>
      <c r="AF45" s="6"/>
      <c r="AG45" s="6"/>
    </row>
    <row r="46" ht="14.25" customHeight="1">
      <c r="A46" s="6"/>
      <c r="B46" s="6"/>
      <c r="C46" s="6">
        <v>39.0</v>
      </c>
      <c r="D46" s="6"/>
      <c r="E46" s="6">
        <v>7598881.231347261</v>
      </c>
      <c r="F46" s="6">
        <v>445.0650307109556</v>
      </c>
      <c r="G46" s="6">
        <v>4.566989639767131</v>
      </c>
      <c r="H46" s="6">
        <v>7504687.316080123</v>
      </c>
      <c r="I46" s="6">
        <v>440.6163900257678</v>
      </c>
      <c r="J46" s="6">
        <v>3.658868859349698</v>
      </c>
      <c r="K46" s="6"/>
      <c r="L46" s="6"/>
      <c r="M46" s="6"/>
      <c r="N46" s="6">
        <f t="shared" ref="N46:P46" si="49">IF(LEN($C46)&gt;0,H46-E46,"")</f>
        <v>-94193.91527</v>
      </c>
      <c r="O46" s="6">
        <f t="shared" si="49"/>
        <v>-4.448640685</v>
      </c>
      <c r="P46" s="6">
        <f t="shared" si="49"/>
        <v>-0.9081207804</v>
      </c>
      <c r="Q46" s="6"/>
      <c r="R46" s="6"/>
      <c r="S46" s="6"/>
      <c r="T46" s="6"/>
      <c r="U46" s="6"/>
      <c r="V46" s="6"/>
      <c r="W46" s="6"/>
      <c r="X46" s="6"/>
      <c r="Y46" s="6"/>
      <c r="Z46" s="6"/>
      <c r="AA46" s="6"/>
      <c r="AB46" s="6"/>
      <c r="AC46" s="6"/>
      <c r="AD46" s="6"/>
      <c r="AE46" s="6"/>
      <c r="AF46" s="6"/>
      <c r="AG46" s="6"/>
    </row>
    <row r="47" ht="14.25" customHeight="1">
      <c r="A47" s="6"/>
      <c r="B47" s="6"/>
      <c r="C47" s="6">
        <v>40.0</v>
      </c>
      <c r="D47" s="6"/>
      <c r="E47" s="6">
        <v>7262028.151747219</v>
      </c>
      <c r="F47" s="6">
        <v>431.42890223848474</v>
      </c>
      <c r="G47" s="6">
        <v>5.330969021455591</v>
      </c>
      <c r="H47" s="6">
        <v>7157910.448424507</v>
      </c>
      <c r="I47" s="6">
        <v>427.8216897279552</v>
      </c>
      <c r="J47" s="6">
        <v>3.7925276706458755</v>
      </c>
      <c r="K47" s="6"/>
      <c r="L47" s="6"/>
      <c r="M47" s="6"/>
      <c r="N47" s="6">
        <f t="shared" ref="N47:P47" si="50">IF(LEN($C47)&gt;0,H47-E47,"")</f>
        <v>-104117.7033</v>
      </c>
      <c r="O47" s="6">
        <f t="shared" si="50"/>
        <v>-3.607212511</v>
      </c>
      <c r="P47" s="6">
        <f t="shared" si="50"/>
        <v>-1.538441351</v>
      </c>
      <c r="Q47" s="6"/>
      <c r="R47" s="6"/>
      <c r="S47" s="6"/>
      <c r="T47" s="6"/>
      <c r="U47" s="6"/>
      <c r="V47" s="6"/>
      <c r="W47" s="6"/>
      <c r="X47" s="6"/>
      <c r="Y47" s="6"/>
      <c r="Z47" s="6"/>
      <c r="AA47" s="6"/>
      <c r="AB47" s="6"/>
      <c r="AC47" s="6"/>
      <c r="AD47" s="6"/>
      <c r="AE47" s="6"/>
      <c r="AF47" s="6"/>
      <c r="AG47" s="6"/>
    </row>
    <row r="48" ht="14.25" customHeight="1">
      <c r="A48" s="6"/>
      <c r="B48" s="6"/>
      <c r="C48" s="6">
        <v>41.0</v>
      </c>
      <c r="D48" s="6"/>
      <c r="E48" s="6">
        <v>8632349.423047684</v>
      </c>
      <c r="F48" s="6">
        <v>444.25585666167524</v>
      </c>
      <c r="G48" s="6">
        <v>5.4769643001047665</v>
      </c>
      <c r="H48" s="6">
        <v>8503876.3616873</v>
      </c>
      <c r="I48" s="6">
        <v>439.71074142188746</v>
      </c>
      <c r="J48" s="6">
        <v>4.073029720368484</v>
      </c>
      <c r="K48" s="6"/>
      <c r="L48" s="6"/>
      <c r="M48" s="6"/>
      <c r="N48" s="6">
        <f t="shared" ref="N48:P48" si="51">IF(LEN($C48)&gt;0,H48-E48,"")</f>
        <v>-128473.0614</v>
      </c>
      <c r="O48" s="6">
        <f t="shared" si="51"/>
        <v>-4.54511524</v>
      </c>
      <c r="P48" s="6">
        <f t="shared" si="51"/>
        <v>-1.40393458</v>
      </c>
      <c r="Q48" s="6"/>
      <c r="R48" s="6"/>
      <c r="S48" s="6"/>
      <c r="T48" s="6"/>
      <c r="U48" s="6"/>
      <c r="V48" s="6"/>
      <c r="W48" s="6"/>
      <c r="X48" s="6"/>
      <c r="Y48" s="6"/>
      <c r="Z48" s="6"/>
      <c r="AA48" s="6"/>
      <c r="AB48" s="6"/>
      <c r="AC48" s="6"/>
      <c r="AD48" s="6"/>
      <c r="AE48" s="6"/>
      <c r="AF48" s="6"/>
      <c r="AG48" s="6"/>
    </row>
    <row r="49" ht="14.25" customHeight="1">
      <c r="A49" s="6"/>
      <c r="B49" s="6"/>
      <c r="C49" s="6">
        <v>42.0</v>
      </c>
      <c r="D49" s="6"/>
      <c r="E49" s="6">
        <v>8116170.338970687</v>
      </c>
      <c r="F49" s="6">
        <v>496.35063274764013</v>
      </c>
      <c r="G49" s="6">
        <v>6.212505091389637</v>
      </c>
      <c r="H49" s="6">
        <v>7904380.6731462795</v>
      </c>
      <c r="I49" s="6">
        <v>488.19273804064784</v>
      </c>
      <c r="J49" s="6">
        <v>4.585928438581366</v>
      </c>
      <c r="K49" s="6"/>
      <c r="L49" s="6"/>
      <c r="M49" s="6"/>
      <c r="N49" s="6">
        <f t="shared" ref="N49:P49" si="52">IF(LEN($C49)&gt;0,H49-E49,"")</f>
        <v>-211789.6658</v>
      </c>
      <c r="O49" s="6">
        <f t="shared" si="52"/>
        <v>-8.157894707</v>
      </c>
      <c r="P49" s="6">
        <f t="shared" si="52"/>
        <v>-1.626576653</v>
      </c>
      <c r="Q49" s="6"/>
      <c r="R49" s="6"/>
      <c r="S49" s="6"/>
      <c r="T49" s="6"/>
      <c r="U49" s="6"/>
      <c r="V49" s="6"/>
      <c r="W49" s="6"/>
      <c r="X49" s="6"/>
      <c r="Y49" s="6"/>
      <c r="Z49" s="6"/>
      <c r="AA49" s="6"/>
      <c r="AB49" s="6"/>
      <c r="AC49" s="6"/>
      <c r="AD49" s="6"/>
      <c r="AE49" s="6"/>
      <c r="AF49" s="6"/>
      <c r="AG49" s="6"/>
    </row>
    <row r="50" ht="14.25" customHeight="1">
      <c r="A50" s="6"/>
      <c r="B50" s="6"/>
      <c r="C50" s="6">
        <v>43.0</v>
      </c>
      <c r="D50" s="6"/>
      <c r="E50" s="6">
        <v>5738480.290461204</v>
      </c>
      <c r="F50" s="6">
        <v>477.13647023813604</v>
      </c>
      <c r="G50" s="6">
        <v>4.571853171653448</v>
      </c>
      <c r="H50" s="6">
        <v>5692369.459133837</v>
      </c>
      <c r="I50" s="6">
        <v>475.56868954406536</v>
      </c>
      <c r="J50" s="6">
        <v>3.837371107337137</v>
      </c>
      <c r="K50" s="6"/>
      <c r="L50" s="6"/>
      <c r="M50" s="6"/>
      <c r="N50" s="6">
        <f t="shared" ref="N50:P50" si="53">IF(LEN($C50)&gt;0,H50-E50,"")</f>
        <v>-46110.83133</v>
      </c>
      <c r="O50" s="6">
        <f t="shared" si="53"/>
        <v>-1.567780694</v>
      </c>
      <c r="P50" s="6">
        <f t="shared" si="53"/>
        <v>-0.7344820643</v>
      </c>
      <c r="Q50" s="6"/>
      <c r="R50" s="6"/>
      <c r="S50" s="6"/>
      <c r="T50" s="6"/>
      <c r="U50" s="6"/>
      <c r="V50" s="6"/>
      <c r="W50" s="6"/>
      <c r="X50" s="6"/>
      <c r="Y50" s="6"/>
      <c r="Z50" s="6"/>
      <c r="AA50" s="6"/>
      <c r="AB50" s="6"/>
      <c r="AC50" s="6"/>
      <c r="AD50" s="6"/>
      <c r="AE50" s="6"/>
      <c r="AF50" s="6"/>
      <c r="AG50" s="6"/>
    </row>
    <row r="51" ht="14.25" customHeight="1">
      <c r="A51" s="6"/>
      <c r="B51" s="6"/>
      <c r="C51" s="6">
        <v>44.0</v>
      </c>
      <c r="D51" s="6"/>
      <c r="E51" s="6">
        <v>5892639.494219969</v>
      </c>
      <c r="F51" s="6">
        <v>469.61625331292527</v>
      </c>
      <c r="G51" s="6">
        <v>5.111057234492206</v>
      </c>
      <c r="H51" s="6">
        <v>5801894.224623672</v>
      </c>
      <c r="I51" s="6">
        <v>466.56105178989407</v>
      </c>
      <c r="J51" s="6">
        <v>4.19157215200009</v>
      </c>
      <c r="K51" s="6"/>
      <c r="L51" s="6"/>
      <c r="M51" s="6"/>
      <c r="N51" s="6">
        <f t="shared" ref="N51:P51" si="54">IF(LEN($C51)&gt;0,H51-E51,"")</f>
        <v>-90745.2696</v>
      </c>
      <c r="O51" s="6">
        <f t="shared" si="54"/>
        <v>-3.055201523</v>
      </c>
      <c r="P51" s="6">
        <f t="shared" si="54"/>
        <v>-0.9194850825</v>
      </c>
      <c r="Q51" s="6"/>
      <c r="R51" s="6"/>
      <c r="S51" s="6"/>
      <c r="T51" s="6"/>
      <c r="U51" s="6"/>
      <c r="V51" s="6"/>
      <c r="W51" s="6"/>
      <c r="X51" s="6"/>
      <c r="Y51" s="6"/>
      <c r="Z51" s="6"/>
      <c r="AA51" s="6"/>
      <c r="AB51" s="6"/>
      <c r="AC51" s="6"/>
      <c r="AD51" s="6"/>
      <c r="AE51" s="6"/>
      <c r="AF51" s="6"/>
      <c r="AG51" s="6"/>
    </row>
    <row r="52" ht="14.25" customHeight="1">
      <c r="A52" s="6"/>
      <c r="B52" s="6"/>
      <c r="C52" s="6">
        <v>45.0</v>
      </c>
      <c r="D52" s="6"/>
      <c r="E52" s="6">
        <v>1.0414523802444635E7</v>
      </c>
      <c r="F52" s="6">
        <v>452.2139042103876</v>
      </c>
      <c r="G52" s="6">
        <v>5.207965556852024</v>
      </c>
      <c r="H52" s="6">
        <v>1.023497895594948E7</v>
      </c>
      <c r="I52" s="6">
        <v>444.9155292388572</v>
      </c>
      <c r="J52" s="6">
        <v>3.655068609413228</v>
      </c>
      <c r="K52" s="6"/>
      <c r="L52" s="6"/>
      <c r="M52" s="6"/>
      <c r="N52" s="6">
        <f t="shared" ref="N52:P52" si="55">IF(LEN($C52)&gt;0,H52-E52,"")</f>
        <v>-179544.8465</v>
      </c>
      <c r="O52" s="6">
        <f t="shared" si="55"/>
        <v>-7.298374972</v>
      </c>
      <c r="P52" s="6">
        <f t="shared" si="55"/>
        <v>-1.552896947</v>
      </c>
      <c r="Q52" s="6"/>
      <c r="R52" s="6"/>
      <c r="S52" s="6"/>
      <c r="T52" s="6"/>
      <c r="U52" s="6"/>
      <c r="V52" s="6"/>
      <c r="W52" s="6"/>
      <c r="X52" s="6"/>
      <c r="Y52" s="6"/>
      <c r="Z52" s="6"/>
      <c r="AA52" s="6"/>
      <c r="AB52" s="6"/>
      <c r="AC52" s="6"/>
      <c r="AD52" s="6"/>
      <c r="AE52" s="6"/>
      <c r="AF52" s="6"/>
      <c r="AG52" s="6"/>
    </row>
    <row r="53" ht="14.25" customHeight="1">
      <c r="A53" s="6"/>
      <c r="B53" s="6"/>
      <c r="C53" s="6">
        <v>46.0</v>
      </c>
      <c r="D53" s="6"/>
      <c r="E53" s="6">
        <v>6484532.702497118</v>
      </c>
      <c r="F53" s="6">
        <v>494.2965546532667</v>
      </c>
      <c r="G53" s="6">
        <v>5.653270984364038</v>
      </c>
      <c r="H53" s="6">
        <v>6400480.750110924</v>
      </c>
      <c r="I53" s="6">
        <v>492.0346136526012</v>
      </c>
      <c r="J53" s="6">
        <v>4.700518147240412</v>
      </c>
      <c r="K53" s="6"/>
      <c r="L53" s="6"/>
      <c r="M53" s="6"/>
      <c r="N53" s="6">
        <f t="shared" ref="N53:P53" si="56">IF(LEN($C53)&gt;0,H53-E53,"")</f>
        <v>-84051.95239</v>
      </c>
      <c r="O53" s="6">
        <f t="shared" si="56"/>
        <v>-2.261941001</v>
      </c>
      <c r="P53" s="6">
        <f t="shared" si="56"/>
        <v>-0.9527528371</v>
      </c>
      <c r="Q53" s="6"/>
      <c r="R53" s="6"/>
      <c r="S53" s="6"/>
      <c r="T53" s="6"/>
      <c r="U53" s="6"/>
      <c r="V53" s="6"/>
      <c r="W53" s="6"/>
      <c r="X53" s="6"/>
      <c r="Y53" s="6"/>
      <c r="Z53" s="6"/>
      <c r="AA53" s="6"/>
      <c r="AB53" s="6"/>
      <c r="AC53" s="6"/>
      <c r="AD53" s="6"/>
      <c r="AE53" s="6"/>
      <c r="AF53" s="6"/>
      <c r="AG53" s="6"/>
    </row>
    <row r="54" ht="14.25" customHeight="1">
      <c r="A54" s="6"/>
      <c r="B54" s="6"/>
      <c r="C54" s="6">
        <v>47.0</v>
      </c>
      <c r="D54" s="6"/>
      <c r="E54" s="6">
        <v>6946208.159294919</v>
      </c>
      <c r="F54" s="6">
        <v>485.6972640055851</v>
      </c>
      <c r="G54" s="6">
        <v>6.719768349026008</v>
      </c>
      <c r="H54" s="6">
        <v>6876060.39536279</v>
      </c>
      <c r="I54" s="6">
        <v>482.63340943804116</v>
      </c>
      <c r="J54" s="6">
        <v>5.5669828046143595</v>
      </c>
      <c r="K54" s="6"/>
      <c r="L54" s="6"/>
      <c r="M54" s="6"/>
      <c r="N54" s="6">
        <f t="shared" ref="N54:P54" si="57">IF(LEN($C54)&gt;0,H54-E54,"")</f>
        <v>-70147.76393</v>
      </c>
      <c r="O54" s="6">
        <f t="shared" si="57"/>
        <v>-3.063854568</v>
      </c>
      <c r="P54" s="6">
        <f t="shared" si="57"/>
        <v>-1.152785544</v>
      </c>
      <c r="Q54" s="6"/>
      <c r="R54" s="6"/>
      <c r="S54" s="6"/>
      <c r="T54" s="6"/>
      <c r="U54" s="6"/>
      <c r="V54" s="6"/>
      <c r="W54" s="6"/>
      <c r="X54" s="6"/>
      <c r="Y54" s="6"/>
      <c r="Z54" s="6"/>
      <c r="AA54" s="6"/>
      <c r="AB54" s="6"/>
      <c r="AC54" s="6"/>
      <c r="AD54" s="6"/>
      <c r="AE54" s="6"/>
      <c r="AF54" s="6"/>
      <c r="AG54" s="6"/>
    </row>
    <row r="55" ht="14.25" customHeight="1">
      <c r="A55" s="6"/>
      <c r="B55" s="6"/>
      <c r="C55" s="6">
        <v>48.0</v>
      </c>
      <c r="D55" s="6"/>
      <c r="E55" s="6">
        <v>7094589.871615806</v>
      </c>
      <c r="F55" s="6">
        <v>457.18716366046203</v>
      </c>
      <c r="G55" s="6">
        <v>4.987942184500772</v>
      </c>
      <c r="H55" s="6">
        <v>6997049.33314536</v>
      </c>
      <c r="I55" s="6">
        <v>453.7159995766021</v>
      </c>
      <c r="J55" s="6">
        <v>4.197335485656844</v>
      </c>
      <c r="K55" s="6"/>
      <c r="L55" s="6"/>
      <c r="M55" s="6"/>
      <c r="N55" s="6">
        <f t="shared" ref="N55:P55" si="58">IF(LEN($C55)&gt;0,H55-E55,"")</f>
        <v>-97540.53847</v>
      </c>
      <c r="O55" s="6">
        <f t="shared" si="58"/>
        <v>-3.471164084</v>
      </c>
      <c r="P55" s="6">
        <f t="shared" si="58"/>
        <v>-0.7906066988</v>
      </c>
      <c r="Q55" s="6"/>
      <c r="R55" s="6"/>
      <c r="S55" s="6"/>
      <c r="T55" s="6"/>
      <c r="U55" s="6"/>
      <c r="V55" s="6"/>
      <c r="W55" s="6"/>
      <c r="X55" s="6"/>
      <c r="Y55" s="6"/>
      <c r="Z55" s="6"/>
      <c r="AA55" s="6"/>
      <c r="AB55" s="6"/>
      <c r="AC55" s="6"/>
      <c r="AD55" s="6"/>
      <c r="AE55" s="6"/>
      <c r="AF55" s="6"/>
      <c r="AG55" s="6"/>
    </row>
    <row r="56" ht="14.25" customHeight="1">
      <c r="A56" s="6"/>
      <c r="B56" s="6"/>
      <c r="C56" s="6">
        <v>49.0</v>
      </c>
      <c r="D56" s="6"/>
      <c r="E56" s="6">
        <v>8562684.029161833</v>
      </c>
      <c r="F56" s="6">
        <v>483.7844710875689</v>
      </c>
      <c r="G56" s="6">
        <v>5.420250790354906</v>
      </c>
      <c r="H56" s="6">
        <v>8431810.090740846</v>
      </c>
      <c r="I56" s="6">
        <v>479.67332362818934</v>
      </c>
      <c r="J56" s="6">
        <v>3.5832259242171425</v>
      </c>
      <c r="K56" s="6"/>
      <c r="L56" s="6"/>
      <c r="M56" s="6"/>
      <c r="N56" s="6">
        <f t="shared" ref="N56:P56" si="59">IF(LEN($C56)&gt;0,H56-E56,"")</f>
        <v>-130873.9384</v>
      </c>
      <c r="O56" s="6">
        <f t="shared" si="59"/>
        <v>-4.111147459</v>
      </c>
      <c r="P56" s="6">
        <f t="shared" si="59"/>
        <v>-1.837024866</v>
      </c>
      <c r="Q56" s="6"/>
      <c r="R56" s="6"/>
      <c r="S56" s="6"/>
      <c r="T56" s="6"/>
      <c r="U56" s="6"/>
      <c r="V56" s="6"/>
      <c r="W56" s="6"/>
      <c r="X56" s="6"/>
      <c r="Y56" s="6"/>
      <c r="Z56" s="6"/>
      <c r="AA56" s="6"/>
      <c r="AB56" s="6"/>
      <c r="AC56" s="6"/>
      <c r="AD56" s="6"/>
      <c r="AE56" s="6"/>
      <c r="AF56" s="6"/>
      <c r="AG56" s="6"/>
    </row>
    <row r="57" ht="14.25" customHeight="1">
      <c r="A57" s="6"/>
      <c r="B57" s="6"/>
      <c r="C57" s="6">
        <v>50.0</v>
      </c>
      <c r="D57" s="6"/>
      <c r="E57" s="6">
        <v>9019952.256924335</v>
      </c>
      <c r="F57" s="6">
        <v>518.4377109384596</v>
      </c>
      <c r="G57" s="6">
        <v>5.2955112517442835</v>
      </c>
      <c r="H57" s="6">
        <v>8872505.139086582</v>
      </c>
      <c r="I57" s="6">
        <v>512.4321472757642</v>
      </c>
      <c r="J57" s="6">
        <v>4.279008188444855</v>
      </c>
      <c r="K57" s="6"/>
      <c r="L57" s="6"/>
      <c r="M57" s="6"/>
      <c r="N57" s="6">
        <f t="shared" ref="N57:P57" si="60">IF(LEN($C57)&gt;0,H57-E57,"")</f>
        <v>-147447.1178</v>
      </c>
      <c r="O57" s="6">
        <f t="shared" si="60"/>
        <v>-6.005563663</v>
      </c>
      <c r="P57" s="6">
        <f t="shared" si="60"/>
        <v>-1.016503063</v>
      </c>
      <c r="Q57" s="6"/>
      <c r="R57" s="6"/>
      <c r="S57" s="6"/>
      <c r="T57" s="6"/>
      <c r="U57" s="6"/>
      <c r="V57" s="6"/>
      <c r="W57" s="6"/>
      <c r="X57" s="6"/>
      <c r="Y57" s="6"/>
      <c r="Z57" s="6"/>
      <c r="AA57" s="6"/>
      <c r="AB57" s="6"/>
      <c r="AC57" s="6"/>
      <c r="AD57" s="6"/>
      <c r="AE57" s="6"/>
      <c r="AF57" s="6"/>
      <c r="AG57" s="6"/>
    </row>
    <row r="58" ht="14.25" customHeight="1">
      <c r="A58" s="6"/>
      <c r="B58" s="6"/>
      <c r="C58" s="6">
        <v>51.0</v>
      </c>
      <c r="D58" s="6"/>
      <c r="E58" s="6">
        <v>6660778.92678213</v>
      </c>
      <c r="F58" s="6">
        <v>471.4354368030973</v>
      </c>
      <c r="G58" s="6">
        <v>5.161368536796905</v>
      </c>
      <c r="H58" s="6">
        <v>6559309.29115267</v>
      </c>
      <c r="I58" s="6">
        <v>468.05249082516815</v>
      </c>
      <c r="J58" s="6">
        <v>3.6370586043762825</v>
      </c>
      <c r="K58" s="6"/>
      <c r="L58" s="6"/>
      <c r="M58" s="6"/>
      <c r="N58" s="6">
        <f t="shared" ref="N58:P58" si="61">IF(LEN($C58)&gt;0,H58-E58,"")</f>
        <v>-101469.6356</v>
      </c>
      <c r="O58" s="6">
        <f t="shared" si="61"/>
        <v>-3.382945978</v>
      </c>
      <c r="P58" s="6">
        <f t="shared" si="61"/>
        <v>-1.524309932</v>
      </c>
      <c r="Q58" s="6"/>
      <c r="R58" s="6"/>
      <c r="S58" s="6"/>
      <c r="T58" s="6"/>
      <c r="U58" s="6"/>
      <c r="V58" s="6"/>
      <c r="W58" s="6"/>
      <c r="X58" s="6"/>
      <c r="Y58" s="6"/>
      <c r="Z58" s="6"/>
      <c r="AA58" s="6"/>
      <c r="AB58" s="6"/>
      <c r="AC58" s="6"/>
      <c r="AD58" s="6"/>
      <c r="AE58" s="6"/>
      <c r="AF58" s="6"/>
      <c r="AG58" s="6"/>
    </row>
    <row r="59" ht="14.25" customHeight="1">
      <c r="A59" s="6"/>
      <c r="B59" s="6"/>
      <c r="C59" s="6">
        <v>52.0</v>
      </c>
      <c r="D59" s="6"/>
      <c r="E59" s="6">
        <v>6303528.789548999</v>
      </c>
      <c r="F59" s="6">
        <v>439.3762402857583</v>
      </c>
      <c r="G59" s="6">
        <v>4.209768213229544</v>
      </c>
      <c r="H59" s="6">
        <v>6248576.402180636</v>
      </c>
      <c r="I59" s="6">
        <v>436.6089426808598</v>
      </c>
      <c r="J59" s="6">
        <v>3.150604752218569</v>
      </c>
      <c r="K59" s="6"/>
      <c r="L59" s="6"/>
      <c r="M59" s="6"/>
      <c r="N59" s="6">
        <f t="shared" ref="N59:P59" si="62">IF(LEN($C59)&gt;0,H59-E59,"")</f>
        <v>-54952.38737</v>
      </c>
      <c r="O59" s="6">
        <f t="shared" si="62"/>
        <v>-2.767297605</v>
      </c>
      <c r="P59" s="6">
        <f t="shared" si="62"/>
        <v>-1.059163461</v>
      </c>
      <c r="Q59" s="6"/>
      <c r="R59" s="6"/>
      <c r="S59" s="6"/>
      <c r="T59" s="6"/>
      <c r="U59" s="6"/>
      <c r="V59" s="6"/>
      <c r="W59" s="6"/>
      <c r="X59" s="6"/>
      <c r="Y59" s="6"/>
      <c r="Z59" s="6"/>
      <c r="AA59" s="6"/>
      <c r="AB59" s="6"/>
      <c r="AC59" s="6"/>
      <c r="AD59" s="6"/>
      <c r="AE59" s="6"/>
      <c r="AF59" s="6"/>
      <c r="AG59" s="6"/>
    </row>
    <row r="60" ht="14.25" customHeight="1">
      <c r="A60" s="6"/>
      <c r="B60" s="6"/>
      <c r="C60" s="6">
        <v>53.0</v>
      </c>
      <c r="D60" s="6"/>
      <c r="E60" s="6">
        <v>6879778.301359704</v>
      </c>
      <c r="F60" s="6">
        <v>475.3321354312357</v>
      </c>
      <c r="G60" s="6">
        <v>5.844710787921755</v>
      </c>
      <c r="H60" s="6">
        <v>6815263.308664128</v>
      </c>
      <c r="I60" s="6">
        <v>472.70107532396605</v>
      </c>
      <c r="J60" s="6">
        <v>4.50093197811958</v>
      </c>
      <c r="K60" s="6"/>
      <c r="L60" s="6"/>
      <c r="M60" s="6"/>
      <c r="N60" s="6">
        <f t="shared" ref="N60:P60" si="63">IF(LEN($C60)&gt;0,H60-E60,"")</f>
        <v>-64514.9927</v>
      </c>
      <c r="O60" s="6">
        <f t="shared" si="63"/>
        <v>-2.631060107</v>
      </c>
      <c r="P60" s="6">
        <f t="shared" si="63"/>
        <v>-1.34377881</v>
      </c>
      <c r="Q60" s="6"/>
      <c r="R60" s="6"/>
      <c r="S60" s="6"/>
      <c r="T60" s="6"/>
      <c r="U60" s="6"/>
      <c r="V60" s="6"/>
      <c r="W60" s="6"/>
      <c r="X60" s="6"/>
      <c r="Y60" s="6"/>
      <c r="Z60" s="6"/>
      <c r="AA60" s="6"/>
      <c r="AB60" s="6"/>
      <c r="AC60" s="6"/>
      <c r="AD60" s="6"/>
      <c r="AE60" s="6"/>
      <c r="AF60" s="6"/>
      <c r="AG60" s="6"/>
    </row>
    <row r="61" ht="14.25" customHeight="1">
      <c r="A61" s="6"/>
      <c r="B61" s="6"/>
      <c r="C61" s="6">
        <v>54.0</v>
      </c>
      <c r="D61" s="6"/>
      <c r="E61" s="6">
        <v>9190741.229494879</v>
      </c>
      <c r="F61" s="6">
        <v>446.33572250350085</v>
      </c>
      <c r="G61" s="6">
        <v>3.991249944092573</v>
      </c>
      <c r="H61" s="6">
        <v>9108410.992699655</v>
      </c>
      <c r="I61" s="6">
        <v>443.3259149568037</v>
      </c>
      <c r="J61" s="6">
        <v>2.9376629600559183</v>
      </c>
      <c r="K61" s="6"/>
      <c r="L61" s="6"/>
      <c r="M61" s="6"/>
      <c r="N61" s="6">
        <f t="shared" ref="N61:P61" si="64">IF(LEN($C61)&gt;0,H61-E61,"")</f>
        <v>-82330.2368</v>
      </c>
      <c r="O61" s="6">
        <f t="shared" si="64"/>
        <v>-3.009807547</v>
      </c>
      <c r="P61" s="6">
        <f t="shared" si="64"/>
        <v>-1.053586984</v>
      </c>
      <c r="Q61" s="6"/>
      <c r="R61" s="6"/>
      <c r="S61" s="6"/>
      <c r="T61" s="6"/>
      <c r="U61" s="6"/>
      <c r="V61" s="6"/>
      <c r="W61" s="6"/>
      <c r="X61" s="6"/>
      <c r="Y61" s="6"/>
      <c r="Z61" s="6"/>
      <c r="AA61" s="6"/>
      <c r="AB61" s="6"/>
      <c r="AC61" s="6"/>
      <c r="AD61" s="6"/>
      <c r="AE61" s="6"/>
      <c r="AF61" s="6"/>
      <c r="AG61" s="6"/>
    </row>
    <row r="62" ht="14.25" customHeight="1">
      <c r="A62" s="6"/>
      <c r="B62" s="6"/>
      <c r="C62" s="6">
        <v>55.0</v>
      </c>
      <c r="D62" s="6"/>
      <c r="E62" s="6">
        <v>7489945.976905248</v>
      </c>
      <c r="F62" s="6">
        <v>496.2278498311297</v>
      </c>
      <c r="G62" s="6">
        <v>3.691890834969902</v>
      </c>
      <c r="H62" s="6">
        <v>7393844.394212662</v>
      </c>
      <c r="I62" s="6">
        <v>491.3367628448867</v>
      </c>
      <c r="J62" s="6">
        <v>2.9376873946957422</v>
      </c>
      <c r="K62" s="6"/>
      <c r="L62" s="6"/>
      <c r="M62" s="6"/>
      <c r="N62" s="6">
        <f t="shared" ref="N62:P62" si="65">IF(LEN($C62)&gt;0,H62-E62,"")</f>
        <v>-96101.58269</v>
      </c>
      <c r="O62" s="6">
        <f t="shared" si="65"/>
        <v>-4.891086986</v>
      </c>
      <c r="P62" s="6">
        <f t="shared" si="65"/>
        <v>-0.7542034403</v>
      </c>
      <c r="Q62" s="6"/>
      <c r="R62" s="6"/>
      <c r="S62" s="6"/>
      <c r="T62" s="6"/>
      <c r="U62" s="6"/>
      <c r="V62" s="6"/>
      <c r="W62" s="6"/>
      <c r="X62" s="6"/>
      <c r="Y62" s="6"/>
      <c r="Z62" s="6"/>
      <c r="AA62" s="6"/>
      <c r="AB62" s="6"/>
      <c r="AC62" s="6"/>
      <c r="AD62" s="6"/>
      <c r="AE62" s="6"/>
      <c r="AF62" s="6"/>
      <c r="AG62" s="6"/>
    </row>
    <row r="63" ht="14.25" customHeight="1">
      <c r="A63" s="6"/>
      <c r="B63" s="6"/>
      <c r="C63" s="6">
        <v>56.0</v>
      </c>
      <c r="D63" s="6"/>
      <c r="E63" s="6">
        <v>6178509.219320578</v>
      </c>
      <c r="F63" s="6">
        <v>480.9916062174591</v>
      </c>
      <c r="G63" s="6">
        <v>5.214004154702032</v>
      </c>
      <c r="H63" s="6">
        <v>6081757.747611552</v>
      </c>
      <c r="I63" s="6">
        <v>477.58324988051675</v>
      </c>
      <c r="J63" s="6">
        <v>3.3645241460689332</v>
      </c>
      <c r="K63" s="6"/>
      <c r="L63" s="6"/>
      <c r="M63" s="6"/>
      <c r="N63" s="6">
        <f t="shared" ref="N63:P63" si="66">IF(LEN($C63)&gt;0,H63-E63,"")</f>
        <v>-96751.47171</v>
      </c>
      <c r="O63" s="6">
        <f t="shared" si="66"/>
        <v>-3.408356337</v>
      </c>
      <c r="P63" s="6">
        <f t="shared" si="66"/>
        <v>-1.849480009</v>
      </c>
      <c r="Q63" s="6"/>
      <c r="R63" s="6"/>
      <c r="S63" s="6"/>
      <c r="T63" s="6"/>
      <c r="U63" s="6"/>
      <c r="V63" s="6"/>
      <c r="W63" s="6"/>
      <c r="X63" s="6"/>
      <c r="Y63" s="6"/>
      <c r="Z63" s="6"/>
      <c r="AA63" s="6"/>
      <c r="AB63" s="6"/>
      <c r="AC63" s="6"/>
      <c r="AD63" s="6"/>
      <c r="AE63" s="6"/>
      <c r="AF63" s="6"/>
      <c r="AG63" s="6"/>
    </row>
    <row r="64" ht="14.25" customHeight="1">
      <c r="A64" s="6"/>
      <c r="B64" s="6"/>
      <c r="C64" s="6">
        <v>57.0</v>
      </c>
      <c r="D64" s="6"/>
      <c r="E64" s="6">
        <v>7401720.530036852</v>
      </c>
      <c r="F64" s="6">
        <v>474.88434209321895</v>
      </c>
      <c r="G64" s="6">
        <v>5.398030903017719</v>
      </c>
      <c r="H64" s="6">
        <v>7301179.773597136</v>
      </c>
      <c r="I64" s="6">
        <v>470.1954917822956</v>
      </c>
      <c r="J64" s="6">
        <v>4.468771239820548</v>
      </c>
      <c r="K64" s="6"/>
      <c r="L64" s="6"/>
      <c r="M64" s="6"/>
      <c r="N64" s="6">
        <f t="shared" ref="N64:P64" si="67">IF(LEN($C64)&gt;0,H64-E64,"")</f>
        <v>-100540.7564</v>
      </c>
      <c r="O64" s="6">
        <f t="shared" si="67"/>
        <v>-4.688850311</v>
      </c>
      <c r="P64" s="6">
        <f t="shared" si="67"/>
        <v>-0.9292596632</v>
      </c>
      <c r="Q64" s="6"/>
      <c r="R64" s="6"/>
      <c r="S64" s="6"/>
      <c r="T64" s="6"/>
      <c r="U64" s="6"/>
      <c r="V64" s="6"/>
      <c r="W64" s="6"/>
      <c r="X64" s="6"/>
      <c r="Y64" s="6"/>
      <c r="Z64" s="6"/>
      <c r="AA64" s="6"/>
      <c r="AB64" s="6"/>
      <c r="AC64" s="6"/>
      <c r="AD64" s="6"/>
      <c r="AE64" s="6"/>
      <c r="AF64" s="6"/>
      <c r="AG64" s="6"/>
    </row>
    <row r="65" ht="14.25" customHeight="1">
      <c r="A65" s="6"/>
      <c r="B65" s="6"/>
      <c r="C65" s="6">
        <v>58.0</v>
      </c>
      <c r="D65" s="6"/>
      <c r="E65" s="6">
        <v>7111614.743127299</v>
      </c>
      <c r="F65" s="6">
        <v>499.13593125741625</v>
      </c>
      <c r="G65" s="6">
        <v>4.486673721540372</v>
      </c>
      <c r="H65" s="6">
        <v>6864522.70852506</v>
      </c>
      <c r="I65" s="6">
        <v>487.10092540908704</v>
      </c>
      <c r="J65" s="6">
        <v>3.1579580455245417</v>
      </c>
      <c r="K65" s="6"/>
      <c r="L65" s="6"/>
      <c r="M65" s="6"/>
      <c r="N65" s="6">
        <f t="shared" ref="N65:P65" si="68">IF(LEN($C65)&gt;0,H65-E65,"")</f>
        <v>-247092.0346</v>
      </c>
      <c r="O65" s="6">
        <f t="shared" si="68"/>
        <v>-12.03500585</v>
      </c>
      <c r="P65" s="6">
        <f t="shared" si="68"/>
        <v>-1.328715676</v>
      </c>
      <c r="Q65" s="6"/>
      <c r="R65" s="6"/>
      <c r="S65" s="6"/>
      <c r="T65" s="6"/>
      <c r="U65" s="6"/>
      <c r="V65" s="6"/>
      <c r="W65" s="6"/>
      <c r="X65" s="6"/>
      <c r="Y65" s="6"/>
      <c r="Z65" s="6"/>
      <c r="AA65" s="6"/>
      <c r="AB65" s="6"/>
      <c r="AC65" s="6"/>
      <c r="AD65" s="6"/>
      <c r="AE65" s="6"/>
      <c r="AF65" s="6"/>
      <c r="AG65" s="6"/>
    </row>
    <row r="66" ht="14.25" customHeight="1">
      <c r="A66" s="6"/>
      <c r="B66" s="6"/>
      <c r="C66" s="6">
        <v>59.0</v>
      </c>
      <c r="D66" s="6"/>
      <c r="E66" s="6">
        <v>8552320.789145563</v>
      </c>
      <c r="F66" s="6">
        <v>435.99476249894167</v>
      </c>
      <c r="G66" s="6">
        <v>4.874264942891862</v>
      </c>
      <c r="H66" s="6">
        <v>8414398.375501288</v>
      </c>
      <c r="I66" s="6">
        <v>432.0288865196438</v>
      </c>
      <c r="J66" s="6">
        <v>3.6305242561010154</v>
      </c>
      <c r="K66" s="6"/>
      <c r="L66" s="6"/>
      <c r="M66" s="6"/>
      <c r="N66" s="6">
        <f t="shared" ref="N66:P66" si="69">IF(LEN($C66)&gt;0,H66-E66,"")</f>
        <v>-137922.4136</v>
      </c>
      <c r="O66" s="6">
        <f t="shared" si="69"/>
        <v>-3.965875979</v>
      </c>
      <c r="P66" s="6">
        <f t="shared" si="69"/>
        <v>-1.243740687</v>
      </c>
      <c r="Q66" s="6"/>
      <c r="R66" s="6"/>
      <c r="S66" s="6"/>
      <c r="T66" s="6"/>
      <c r="U66" s="6"/>
      <c r="V66" s="6"/>
      <c r="W66" s="6"/>
      <c r="X66" s="6"/>
      <c r="Y66" s="6"/>
      <c r="Z66" s="6"/>
      <c r="AA66" s="6"/>
      <c r="AB66" s="6"/>
      <c r="AC66" s="6"/>
      <c r="AD66" s="6"/>
      <c r="AE66" s="6"/>
      <c r="AF66" s="6"/>
      <c r="AG66" s="6"/>
    </row>
    <row r="67" ht="14.25" customHeight="1">
      <c r="A67" s="6"/>
      <c r="B67" s="6"/>
      <c r="C67" s="6">
        <v>60.0</v>
      </c>
      <c r="D67" s="6"/>
      <c r="E67" s="6">
        <v>7508560.800419458</v>
      </c>
      <c r="F67" s="6">
        <v>500.0271175831101</v>
      </c>
      <c r="G67" s="6">
        <v>4.419569555058102</v>
      </c>
      <c r="H67" s="6">
        <v>7374063.111176499</v>
      </c>
      <c r="I67" s="6">
        <v>495.4275299029724</v>
      </c>
      <c r="J67" s="6">
        <v>2.8552645752644508</v>
      </c>
      <c r="K67" s="6"/>
      <c r="L67" s="6"/>
      <c r="M67" s="6"/>
      <c r="N67" s="6">
        <f t="shared" ref="N67:P67" si="70">IF(LEN($C67)&gt;0,H67-E67,"")</f>
        <v>-134497.6892</v>
      </c>
      <c r="O67" s="6">
        <f t="shared" si="70"/>
        <v>-4.59958768</v>
      </c>
      <c r="P67" s="6">
        <f t="shared" si="70"/>
        <v>-1.56430498</v>
      </c>
      <c r="Q67" s="6"/>
      <c r="R67" s="6"/>
      <c r="S67" s="6"/>
      <c r="T67" s="6"/>
      <c r="U67" s="6"/>
      <c r="V67" s="6"/>
      <c r="W67" s="6"/>
      <c r="X67" s="6"/>
      <c r="Y67" s="6"/>
      <c r="Z67" s="6"/>
      <c r="AA67" s="6"/>
      <c r="AB67" s="6"/>
      <c r="AC67" s="6"/>
      <c r="AD67" s="6"/>
      <c r="AE67" s="6"/>
      <c r="AF67" s="6"/>
      <c r="AG67" s="6"/>
    </row>
    <row r="68" ht="14.25" customHeight="1">
      <c r="A68" s="6"/>
      <c r="B68" s="6"/>
      <c r="C68" s="6">
        <v>61.0</v>
      </c>
      <c r="D68" s="6"/>
      <c r="E68" s="6">
        <v>6844752.3481847495</v>
      </c>
      <c r="F68" s="6">
        <v>461.0388855656314</v>
      </c>
      <c r="G68" s="6">
        <v>4.5364605058514735</v>
      </c>
      <c r="H68" s="6">
        <v>6763578.8361716755</v>
      </c>
      <c r="I68" s="6">
        <v>456.530839095561</v>
      </c>
      <c r="J68" s="6">
        <v>3.820846352560601</v>
      </c>
      <c r="K68" s="6"/>
      <c r="L68" s="6"/>
      <c r="M68" s="6"/>
      <c r="N68" s="6">
        <f t="shared" ref="N68:P68" si="71">IF(LEN($C68)&gt;0,H68-E68,"")</f>
        <v>-81173.51201</v>
      </c>
      <c r="O68" s="6">
        <f t="shared" si="71"/>
        <v>-4.50804647</v>
      </c>
      <c r="P68" s="6">
        <f t="shared" si="71"/>
        <v>-0.7156141533</v>
      </c>
      <c r="Q68" s="6"/>
      <c r="R68" s="6"/>
      <c r="S68" s="6"/>
      <c r="T68" s="6"/>
      <c r="U68" s="6"/>
      <c r="V68" s="6"/>
      <c r="W68" s="6"/>
      <c r="X68" s="6"/>
      <c r="Y68" s="6"/>
      <c r="Z68" s="6"/>
      <c r="AA68" s="6"/>
      <c r="AB68" s="6"/>
      <c r="AC68" s="6"/>
      <c r="AD68" s="6"/>
      <c r="AE68" s="6"/>
      <c r="AF68" s="6"/>
      <c r="AG68" s="6"/>
    </row>
    <row r="69" ht="14.25" customHeight="1">
      <c r="A69" s="6"/>
      <c r="B69" s="6"/>
      <c r="C69" s="6">
        <v>62.0</v>
      </c>
      <c r="D69" s="6"/>
      <c r="E69" s="6">
        <v>7748251.394021634</v>
      </c>
      <c r="F69" s="6">
        <v>466.94627311677294</v>
      </c>
      <c r="G69" s="6">
        <v>3.5034936285014924</v>
      </c>
      <c r="H69" s="6">
        <v>7693501.546148832</v>
      </c>
      <c r="I69" s="6">
        <v>464.90381350167144</v>
      </c>
      <c r="J69" s="6">
        <v>2.933378604232505</v>
      </c>
      <c r="K69" s="6"/>
      <c r="L69" s="6"/>
      <c r="M69" s="6"/>
      <c r="N69" s="6">
        <f t="shared" ref="N69:P69" si="72">IF(LEN($C69)&gt;0,H69-E69,"")</f>
        <v>-54749.84787</v>
      </c>
      <c r="O69" s="6">
        <f t="shared" si="72"/>
        <v>-2.042459615</v>
      </c>
      <c r="P69" s="6">
        <f t="shared" si="72"/>
        <v>-0.5701150243</v>
      </c>
      <c r="Q69" s="6"/>
      <c r="R69" s="6"/>
      <c r="S69" s="6"/>
      <c r="T69" s="6"/>
      <c r="U69" s="6"/>
      <c r="V69" s="6"/>
      <c r="W69" s="6"/>
      <c r="X69" s="6"/>
      <c r="Y69" s="6"/>
      <c r="Z69" s="6"/>
      <c r="AA69" s="6"/>
      <c r="AB69" s="6"/>
      <c r="AC69" s="6"/>
      <c r="AD69" s="6"/>
      <c r="AE69" s="6"/>
      <c r="AF69" s="6"/>
      <c r="AG69" s="6"/>
    </row>
    <row r="70" ht="14.25" customHeight="1">
      <c r="A70" s="6"/>
      <c r="B70" s="6"/>
      <c r="C70" s="6">
        <v>63.0</v>
      </c>
      <c r="D70" s="6"/>
      <c r="E70" s="6">
        <v>1.019126720641185E7</v>
      </c>
      <c r="F70" s="6">
        <v>492.3654969667849</v>
      </c>
      <c r="G70" s="6">
        <v>3.776880395815722</v>
      </c>
      <c r="H70" s="6">
        <v>1.0099414111467822E7</v>
      </c>
      <c r="I70" s="6">
        <v>488.6595353994376</v>
      </c>
      <c r="J70" s="6">
        <v>2.9353052190606763</v>
      </c>
      <c r="K70" s="6"/>
      <c r="L70" s="6"/>
      <c r="M70" s="6"/>
      <c r="N70" s="6">
        <f t="shared" ref="N70:P70" si="73">IF(LEN($C70)&gt;0,H70-E70,"")</f>
        <v>-91853.09494</v>
      </c>
      <c r="O70" s="6">
        <f t="shared" si="73"/>
        <v>-3.705961567</v>
      </c>
      <c r="P70" s="6">
        <f t="shared" si="73"/>
        <v>-0.8415751768</v>
      </c>
      <c r="Q70" s="6"/>
      <c r="R70" s="6"/>
      <c r="S70" s="6"/>
      <c r="T70" s="6"/>
      <c r="U70" s="6"/>
      <c r="V70" s="6"/>
      <c r="W70" s="6"/>
      <c r="X70" s="6"/>
      <c r="Y70" s="6"/>
      <c r="Z70" s="6"/>
      <c r="AA70" s="6"/>
      <c r="AB70" s="6"/>
      <c r="AC70" s="6"/>
      <c r="AD70" s="6"/>
      <c r="AE70" s="6"/>
      <c r="AF70" s="6"/>
      <c r="AG70" s="6"/>
    </row>
    <row r="71" ht="14.25" customHeight="1">
      <c r="A71" s="6"/>
      <c r="B71" s="6"/>
      <c r="C71" s="6">
        <v>64.0</v>
      </c>
      <c r="D71" s="6"/>
      <c r="E71" s="6">
        <v>6035189.9834421575</v>
      </c>
      <c r="F71" s="6">
        <v>462.1645760390341</v>
      </c>
      <c r="G71" s="6">
        <v>6.006054402461896</v>
      </c>
      <c r="H71" s="6">
        <v>5939691.144219352</v>
      </c>
      <c r="I71" s="6">
        <v>457.2559190927031</v>
      </c>
      <c r="J71" s="6">
        <v>4.346951600243608</v>
      </c>
      <c r="K71" s="6"/>
      <c r="L71" s="6"/>
      <c r="M71" s="6"/>
      <c r="N71" s="6">
        <f t="shared" ref="N71:P71" si="74">IF(LEN($C71)&gt;0,H71-E71,"")</f>
        <v>-95498.83922</v>
      </c>
      <c r="O71" s="6">
        <f t="shared" si="74"/>
        <v>-4.908656946</v>
      </c>
      <c r="P71" s="6">
        <f t="shared" si="74"/>
        <v>-1.659102802</v>
      </c>
      <c r="Q71" s="6"/>
      <c r="R71" s="6"/>
      <c r="S71" s="6"/>
      <c r="T71" s="6"/>
      <c r="U71" s="6"/>
      <c r="V71" s="6"/>
      <c r="W71" s="6"/>
      <c r="X71" s="6"/>
      <c r="Y71" s="6"/>
      <c r="Z71" s="6"/>
      <c r="AA71" s="6"/>
      <c r="AB71" s="6"/>
      <c r="AC71" s="6"/>
      <c r="AD71" s="6"/>
      <c r="AE71" s="6"/>
      <c r="AF71" s="6"/>
      <c r="AG71" s="6"/>
    </row>
    <row r="72" ht="14.25" customHeight="1">
      <c r="A72" s="6"/>
      <c r="B72" s="6"/>
      <c r="C72" s="6">
        <v>65.0</v>
      </c>
      <c r="D72" s="6"/>
      <c r="E72" s="6">
        <v>8761601.14959</v>
      </c>
      <c r="F72" s="6">
        <v>485.08511707802376</v>
      </c>
      <c r="G72" s="6">
        <v>4.857274392395172</v>
      </c>
      <c r="H72" s="6">
        <v>8545182.892393786</v>
      </c>
      <c r="I72" s="6">
        <v>476.6573672874605</v>
      </c>
      <c r="J72" s="6">
        <v>3.3276670415835006</v>
      </c>
      <c r="K72" s="6"/>
      <c r="L72" s="6"/>
      <c r="M72" s="6"/>
      <c r="N72" s="6">
        <f t="shared" ref="N72:P72" si="75">IF(LEN($C72)&gt;0,H72-E72,"")</f>
        <v>-216418.2572</v>
      </c>
      <c r="O72" s="6">
        <f t="shared" si="75"/>
        <v>-8.427749791</v>
      </c>
      <c r="P72" s="6">
        <f t="shared" si="75"/>
        <v>-1.529607351</v>
      </c>
      <c r="Q72" s="6"/>
      <c r="R72" s="6"/>
      <c r="S72" s="6"/>
      <c r="T72" s="6"/>
      <c r="U72" s="6"/>
      <c r="V72" s="6"/>
      <c r="W72" s="6"/>
      <c r="X72" s="6"/>
      <c r="Y72" s="6"/>
      <c r="Z72" s="6"/>
      <c r="AA72" s="6"/>
      <c r="AB72" s="6"/>
      <c r="AC72" s="6"/>
      <c r="AD72" s="6"/>
      <c r="AE72" s="6"/>
      <c r="AF72" s="6"/>
      <c r="AG72" s="6"/>
    </row>
    <row r="73" ht="14.25" customHeight="1">
      <c r="A73" s="6"/>
      <c r="B73" s="6"/>
      <c r="C73" s="6">
        <v>66.0</v>
      </c>
      <c r="D73" s="6"/>
      <c r="E73" s="6">
        <v>6151130.16511007</v>
      </c>
      <c r="F73" s="6">
        <v>478.13478309242436</v>
      </c>
      <c r="G73" s="6">
        <v>5.747258099911931</v>
      </c>
      <c r="H73" s="6">
        <v>6072420.640572039</v>
      </c>
      <c r="I73" s="6">
        <v>474.5869287282686</v>
      </c>
      <c r="J73" s="6">
        <v>4.205682250178212</v>
      </c>
      <c r="K73" s="6"/>
      <c r="L73" s="6"/>
      <c r="M73" s="6"/>
      <c r="N73" s="6">
        <f t="shared" ref="N73:P73" si="76">IF(LEN($C73)&gt;0,H73-E73,"")</f>
        <v>-78709.52454</v>
      </c>
      <c r="O73" s="6">
        <f t="shared" si="76"/>
        <v>-3.547854364</v>
      </c>
      <c r="P73" s="6">
        <f t="shared" si="76"/>
        <v>-1.54157585</v>
      </c>
      <c r="Q73" s="6"/>
      <c r="R73" s="6"/>
      <c r="S73" s="6"/>
      <c r="T73" s="6"/>
      <c r="U73" s="6"/>
      <c r="V73" s="6"/>
      <c r="W73" s="6"/>
      <c r="X73" s="6"/>
      <c r="Y73" s="6"/>
      <c r="Z73" s="6"/>
      <c r="AA73" s="6"/>
      <c r="AB73" s="6"/>
      <c r="AC73" s="6"/>
      <c r="AD73" s="6"/>
      <c r="AE73" s="6"/>
      <c r="AF73" s="6"/>
      <c r="AG73" s="6"/>
    </row>
    <row r="74" ht="14.25" customHeight="1">
      <c r="A74" s="6"/>
      <c r="B74" s="6"/>
      <c r="C74" s="6">
        <v>67.0</v>
      </c>
      <c r="D74" s="6"/>
      <c r="E74" s="6">
        <v>7796547.468011179</v>
      </c>
      <c r="F74" s="6">
        <v>491.354056067637</v>
      </c>
      <c r="G74" s="6">
        <v>4.954675124982546</v>
      </c>
      <c r="H74" s="6">
        <v>7719250.048448817</v>
      </c>
      <c r="I74" s="6">
        <v>487.2748090169372</v>
      </c>
      <c r="J74" s="6">
        <v>4.098502030366927</v>
      </c>
      <c r="K74" s="6"/>
      <c r="L74" s="6"/>
      <c r="M74" s="6"/>
      <c r="N74" s="6">
        <f t="shared" ref="N74:P74" si="77">IF(LEN($C74)&gt;0,H74-E74,"")</f>
        <v>-77297.41956</v>
      </c>
      <c r="O74" s="6">
        <f t="shared" si="77"/>
        <v>-4.079247051</v>
      </c>
      <c r="P74" s="6">
        <f t="shared" si="77"/>
        <v>-0.8561730946</v>
      </c>
      <c r="Q74" s="6"/>
      <c r="R74" s="6"/>
      <c r="S74" s="6"/>
      <c r="T74" s="6"/>
      <c r="U74" s="6"/>
      <c r="V74" s="6"/>
      <c r="W74" s="6"/>
      <c r="X74" s="6"/>
      <c r="Y74" s="6"/>
      <c r="Z74" s="6"/>
      <c r="AA74" s="6"/>
      <c r="AB74" s="6"/>
      <c r="AC74" s="6"/>
      <c r="AD74" s="6"/>
      <c r="AE74" s="6"/>
      <c r="AF74" s="6"/>
      <c r="AG74" s="6"/>
    </row>
    <row r="75" ht="14.25" customHeight="1">
      <c r="A75" s="6"/>
      <c r="B75" s="6"/>
      <c r="C75" s="6">
        <v>68.0</v>
      </c>
      <c r="D75" s="6"/>
      <c r="E75" s="6">
        <v>6241498.3856027</v>
      </c>
      <c r="F75" s="6">
        <v>436.4152965391212</v>
      </c>
      <c r="G75" s="6">
        <v>4.269712132043124</v>
      </c>
      <c r="H75" s="6">
        <v>6173226.382051014</v>
      </c>
      <c r="I75" s="6">
        <v>433.22631185720496</v>
      </c>
      <c r="J75" s="6">
        <v>2.8744128998477727</v>
      </c>
      <c r="K75" s="6"/>
      <c r="L75" s="6"/>
      <c r="M75" s="6"/>
      <c r="N75" s="6">
        <f t="shared" ref="N75:P75" si="78">IF(LEN($C75)&gt;0,H75-E75,"")</f>
        <v>-68272.00355</v>
      </c>
      <c r="O75" s="6">
        <f t="shared" si="78"/>
        <v>-3.188984682</v>
      </c>
      <c r="P75" s="6">
        <f t="shared" si="78"/>
        <v>-1.395299232</v>
      </c>
      <c r="Q75" s="6"/>
      <c r="R75" s="6"/>
      <c r="S75" s="6"/>
      <c r="T75" s="6"/>
      <c r="U75" s="6"/>
      <c r="V75" s="6"/>
      <c r="W75" s="6"/>
      <c r="X75" s="6"/>
      <c r="Y75" s="6"/>
      <c r="Z75" s="6"/>
      <c r="AA75" s="6"/>
      <c r="AB75" s="6"/>
      <c r="AC75" s="6"/>
      <c r="AD75" s="6"/>
      <c r="AE75" s="6"/>
      <c r="AF75" s="6"/>
      <c r="AG75" s="6"/>
    </row>
    <row r="76" ht="14.25" customHeight="1">
      <c r="A76" s="6"/>
      <c r="B76" s="6"/>
      <c r="C76" s="6">
        <v>69.0</v>
      </c>
      <c r="D76" s="6"/>
      <c r="E76" s="6">
        <v>8929416.146084253</v>
      </c>
      <c r="F76" s="6">
        <v>450.9840260747146</v>
      </c>
      <c r="G76" s="6">
        <v>4.6783775014603535</v>
      </c>
      <c r="H76" s="6">
        <v>8757801.153383685</v>
      </c>
      <c r="I76" s="6">
        <v>443.52195694726186</v>
      </c>
      <c r="J76" s="6">
        <v>3.291948282110602</v>
      </c>
      <c r="K76" s="6"/>
      <c r="L76" s="6"/>
      <c r="M76" s="6"/>
      <c r="N76" s="6">
        <f t="shared" ref="N76:P76" si="79">IF(LEN($C76)&gt;0,H76-E76,"")</f>
        <v>-171614.9927</v>
      </c>
      <c r="O76" s="6">
        <f t="shared" si="79"/>
        <v>-7.462069127</v>
      </c>
      <c r="P76" s="6">
        <f t="shared" si="79"/>
        <v>-1.386429219</v>
      </c>
      <c r="Q76" s="6"/>
      <c r="R76" s="6"/>
      <c r="S76" s="6"/>
      <c r="T76" s="6"/>
      <c r="U76" s="6"/>
      <c r="V76" s="6"/>
      <c r="W76" s="6"/>
      <c r="X76" s="6"/>
      <c r="Y76" s="6"/>
      <c r="Z76" s="6"/>
      <c r="AA76" s="6"/>
      <c r="AB76" s="6"/>
      <c r="AC76" s="6"/>
      <c r="AD76" s="6"/>
      <c r="AE76" s="6"/>
      <c r="AF76" s="6"/>
      <c r="AG76" s="6"/>
    </row>
    <row r="77" ht="14.25" customHeight="1">
      <c r="A77" s="6"/>
      <c r="B77" s="6"/>
      <c r="C77" s="6">
        <v>70.0</v>
      </c>
      <c r="D77" s="6"/>
      <c r="E77" s="6">
        <v>6158616.840263488</v>
      </c>
      <c r="F77" s="6">
        <v>464.2127085439581</v>
      </c>
      <c r="G77" s="6">
        <v>5.477335747696474</v>
      </c>
      <c r="H77" s="6">
        <v>6054003.198701457</v>
      </c>
      <c r="I77" s="6">
        <v>459.31176422985993</v>
      </c>
      <c r="J77" s="6">
        <v>3.178983547885078</v>
      </c>
      <c r="K77" s="6"/>
      <c r="L77" s="6"/>
      <c r="M77" s="6"/>
      <c r="N77" s="6">
        <f t="shared" ref="N77:P77" si="80">IF(LEN($C77)&gt;0,H77-E77,"")</f>
        <v>-104613.6416</v>
      </c>
      <c r="O77" s="6">
        <f t="shared" si="80"/>
        <v>-4.900944314</v>
      </c>
      <c r="P77" s="6">
        <f t="shared" si="80"/>
        <v>-2.2983522</v>
      </c>
      <c r="Q77" s="6"/>
      <c r="R77" s="6"/>
      <c r="S77" s="6"/>
      <c r="T77" s="6"/>
      <c r="U77" s="6"/>
      <c r="V77" s="6"/>
      <c r="W77" s="6"/>
      <c r="X77" s="6"/>
      <c r="Y77" s="6"/>
      <c r="Z77" s="6"/>
      <c r="AA77" s="6"/>
      <c r="AB77" s="6"/>
      <c r="AC77" s="6"/>
      <c r="AD77" s="6"/>
      <c r="AE77" s="6"/>
      <c r="AF77" s="6"/>
      <c r="AG77" s="6"/>
    </row>
    <row r="78" ht="14.25" customHeight="1">
      <c r="A78" s="6"/>
      <c r="B78" s="6"/>
      <c r="C78" s="6">
        <v>71.0</v>
      </c>
      <c r="D78" s="6"/>
      <c r="E78" s="6">
        <v>5754069.514160713</v>
      </c>
      <c r="F78" s="6">
        <v>441.5913589564557</v>
      </c>
      <c r="G78" s="6">
        <v>5.194614840578713</v>
      </c>
      <c r="H78" s="6">
        <v>5683488.707252883</v>
      </c>
      <c r="I78" s="6">
        <v>438.9174917759132</v>
      </c>
      <c r="J78" s="6">
        <v>4.23009404805681</v>
      </c>
      <c r="K78" s="6"/>
      <c r="L78" s="6"/>
      <c r="M78" s="6"/>
      <c r="N78" s="6">
        <f t="shared" ref="N78:P78" si="81">IF(LEN($C78)&gt;0,H78-E78,"")</f>
        <v>-70580.80691</v>
      </c>
      <c r="O78" s="6">
        <f t="shared" si="81"/>
        <v>-2.673867181</v>
      </c>
      <c r="P78" s="6">
        <f t="shared" si="81"/>
        <v>-0.9645207925</v>
      </c>
      <c r="Q78" s="6"/>
      <c r="R78" s="6"/>
      <c r="S78" s="6"/>
      <c r="T78" s="6"/>
      <c r="U78" s="6"/>
      <c r="V78" s="6"/>
      <c r="W78" s="6"/>
      <c r="X78" s="6"/>
      <c r="Y78" s="6"/>
      <c r="Z78" s="6"/>
      <c r="AA78" s="6"/>
      <c r="AB78" s="6"/>
      <c r="AC78" s="6"/>
      <c r="AD78" s="6"/>
      <c r="AE78" s="6"/>
      <c r="AF78" s="6"/>
      <c r="AG78" s="6"/>
    </row>
    <row r="79" ht="14.25" customHeight="1">
      <c r="A79" s="6"/>
      <c r="B79" s="6"/>
      <c r="C79" s="6">
        <v>72.0</v>
      </c>
      <c r="D79" s="6"/>
      <c r="E79" s="6">
        <v>6824562.079316225</v>
      </c>
      <c r="F79" s="6">
        <v>438.4203527396816</v>
      </c>
      <c r="G79" s="6">
        <v>5.483221103116067</v>
      </c>
      <c r="H79" s="6">
        <v>6739033.053086125</v>
      </c>
      <c r="I79" s="6">
        <v>435.97901582234346</v>
      </c>
      <c r="J79" s="6">
        <v>4.184948561714786</v>
      </c>
      <c r="K79" s="6"/>
      <c r="L79" s="6"/>
      <c r="M79" s="6"/>
      <c r="N79" s="6">
        <f t="shared" ref="N79:P79" si="82">IF(LEN($C79)&gt;0,H79-E79,"")</f>
        <v>-85529.02623</v>
      </c>
      <c r="O79" s="6">
        <f t="shared" si="82"/>
        <v>-2.441336917</v>
      </c>
      <c r="P79" s="6">
        <f t="shared" si="82"/>
        <v>-1.298272541</v>
      </c>
      <c r="Q79" s="6"/>
      <c r="R79" s="6"/>
      <c r="S79" s="6"/>
      <c r="T79" s="6"/>
      <c r="U79" s="6"/>
      <c r="V79" s="6"/>
      <c r="W79" s="6"/>
      <c r="X79" s="6"/>
      <c r="Y79" s="6"/>
      <c r="Z79" s="6"/>
      <c r="AA79" s="6"/>
      <c r="AB79" s="6"/>
      <c r="AC79" s="6"/>
      <c r="AD79" s="6"/>
      <c r="AE79" s="6"/>
      <c r="AF79" s="6"/>
      <c r="AG79" s="6"/>
    </row>
    <row r="80" ht="14.25" customHeight="1">
      <c r="A80" s="6"/>
      <c r="B80" s="6"/>
      <c r="C80" s="6">
        <v>73.0</v>
      </c>
      <c r="D80" s="6"/>
      <c r="E80" s="6">
        <v>7308717.656445131</v>
      </c>
      <c r="F80" s="6">
        <v>504.7454840137356</v>
      </c>
      <c r="G80" s="6">
        <v>6.6495029719009136</v>
      </c>
      <c r="H80" s="6">
        <v>7140660.344408008</v>
      </c>
      <c r="I80" s="6">
        <v>497.0790828358055</v>
      </c>
      <c r="J80" s="6">
        <v>4.448841950217231</v>
      </c>
      <c r="K80" s="6"/>
      <c r="L80" s="6"/>
      <c r="M80" s="6"/>
      <c r="N80" s="6">
        <f t="shared" ref="N80:P80" si="83">IF(LEN($C80)&gt;0,H80-E80,"")</f>
        <v>-168057.312</v>
      </c>
      <c r="O80" s="6">
        <f t="shared" si="83"/>
        <v>-7.666401178</v>
      </c>
      <c r="P80" s="6">
        <f t="shared" si="83"/>
        <v>-2.200661022</v>
      </c>
      <c r="Q80" s="6"/>
      <c r="R80" s="6"/>
      <c r="S80" s="6"/>
      <c r="T80" s="6"/>
      <c r="U80" s="6"/>
      <c r="V80" s="6"/>
      <c r="W80" s="6"/>
      <c r="X80" s="6"/>
      <c r="Y80" s="6"/>
      <c r="Z80" s="6"/>
      <c r="AA80" s="6"/>
      <c r="AB80" s="6"/>
      <c r="AC80" s="6"/>
      <c r="AD80" s="6"/>
      <c r="AE80" s="6"/>
      <c r="AF80" s="6"/>
      <c r="AG80" s="6"/>
    </row>
    <row r="81" ht="14.25" customHeight="1">
      <c r="A81" s="6"/>
      <c r="B81" s="6"/>
      <c r="C81" s="6">
        <v>74.0</v>
      </c>
      <c r="D81" s="6"/>
      <c r="E81" s="6">
        <v>6162091.877430839</v>
      </c>
      <c r="F81" s="6">
        <v>453.6466636932083</v>
      </c>
      <c r="G81" s="6">
        <v>5.841544650165801</v>
      </c>
      <c r="H81" s="6">
        <v>6069106.09933191</v>
      </c>
      <c r="I81" s="6">
        <v>450.6564682882942</v>
      </c>
      <c r="J81" s="6">
        <v>3.8748041362147236</v>
      </c>
      <c r="K81" s="6"/>
      <c r="L81" s="6"/>
      <c r="M81" s="6"/>
      <c r="N81" s="6">
        <f t="shared" ref="N81:P81" si="84">IF(LEN($C81)&gt;0,H81-E81,"")</f>
        <v>-92985.7781</v>
      </c>
      <c r="O81" s="6">
        <f t="shared" si="84"/>
        <v>-2.990195405</v>
      </c>
      <c r="P81" s="6">
        <f t="shared" si="84"/>
        <v>-1.966740514</v>
      </c>
      <c r="Q81" s="6"/>
      <c r="R81" s="6"/>
      <c r="S81" s="6"/>
      <c r="T81" s="6"/>
      <c r="U81" s="6"/>
      <c r="V81" s="6"/>
      <c r="W81" s="6"/>
      <c r="X81" s="6"/>
      <c r="Y81" s="6"/>
      <c r="Z81" s="6"/>
      <c r="AA81" s="6"/>
      <c r="AB81" s="6"/>
      <c r="AC81" s="6"/>
      <c r="AD81" s="6"/>
      <c r="AE81" s="6"/>
      <c r="AF81" s="6"/>
      <c r="AG81" s="6"/>
    </row>
    <row r="82" ht="14.25" customHeight="1">
      <c r="A82" s="6"/>
      <c r="B82" s="6"/>
      <c r="C82" s="6">
        <v>75.0</v>
      </c>
      <c r="D82" s="6"/>
      <c r="E82" s="6">
        <v>7846021.519632575</v>
      </c>
      <c r="F82" s="6">
        <v>442.6551091285354</v>
      </c>
      <c r="G82" s="6">
        <v>5.245427732655405</v>
      </c>
      <c r="H82" s="6">
        <v>7745664.68399507</v>
      </c>
      <c r="I82" s="6">
        <v>439.9745785120356</v>
      </c>
      <c r="J82" s="6">
        <v>4.008624675414531</v>
      </c>
      <c r="K82" s="6"/>
      <c r="L82" s="6"/>
      <c r="M82" s="6"/>
      <c r="N82" s="6">
        <f t="shared" ref="N82:P82" si="85">IF(LEN($C82)&gt;0,H82-E82,"")</f>
        <v>-100356.8356</v>
      </c>
      <c r="O82" s="6">
        <f t="shared" si="85"/>
        <v>-2.680530616</v>
      </c>
      <c r="P82" s="6">
        <f t="shared" si="85"/>
        <v>-1.236803057</v>
      </c>
      <c r="Q82" s="6"/>
      <c r="R82" s="6"/>
      <c r="S82" s="6"/>
      <c r="T82" s="6"/>
      <c r="U82" s="6"/>
      <c r="V82" s="6"/>
      <c r="W82" s="6"/>
      <c r="X82" s="6"/>
      <c r="Y82" s="6"/>
      <c r="Z82" s="6"/>
      <c r="AA82" s="6"/>
      <c r="AB82" s="6"/>
      <c r="AC82" s="6"/>
      <c r="AD82" s="6"/>
      <c r="AE82" s="6"/>
      <c r="AF82" s="6"/>
      <c r="AG82" s="6"/>
    </row>
    <row r="83" ht="14.25" customHeight="1">
      <c r="A83" s="6"/>
      <c r="B83" s="6"/>
      <c r="C83" s="6">
        <v>76.0</v>
      </c>
      <c r="D83" s="6"/>
      <c r="E83" s="6">
        <v>5547510.846613156</v>
      </c>
      <c r="F83" s="6">
        <v>463.95107472191074</v>
      </c>
      <c r="G83" s="6">
        <v>4.87096294566244</v>
      </c>
      <c r="H83" s="6">
        <v>5466983.24169263</v>
      </c>
      <c r="I83" s="6">
        <v>461.6246267691033</v>
      </c>
      <c r="J83" s="6">
        <v>3.604556515001195</v>
      </c>
      <c r="K83" s="6"/>
      <c r="L83" s="6"/>
      <c r="M83" s="6"/>
      <c r="N83" s="6">
        <f t="shared" ref="N83:P83" si="86">IF(LEN($C83)&gt;0,H83-E83,"")</f>
        <v>-80527.60492</v>
      </c>
      <c r="O83" s="6">
        <f t="shared" si="86"/>
        <v>-2.326447953</v>
      </c>
      <c r="P83" s="6">
        <f t="shared" si="86"/>
        <v>-1.266406431</v>
      </c>
      <c r="Q83" s="6"/>
      <c r="R83" s="6"/>
      <c r="S83" s="6"/>
      <c r="T83" s="6"/>
      <c r="U83" s="6"/>
      <c r="V83" s="6"/>
      <c r="W83" s="6"/>
      <c r="X83" s="6"/>
      <c r="Y83" s="6"/>
      <c r="Z83" s="6"/>
      <c r="AA83" s="6"/>
      <c r="AB83" s="6"/>
      <c r="AC83" s="6"/>
      <c r="AD83" s="6"/>
      <c r="AE83" s="6"/>
      <c r="AF83" s="6"/>
      <c r="AG83" s="6"/>
    </row>
    <row r="84" ht="14.25" customHeight="1">
      <c r="A84" s="6"/>
      <c r="B84" s="6"/>
      <c r="C84" s="6">
        <v>77.0</v>
      </c>
      <c r="D84" s="6"/>
      <c r="E84" s="6">
        <v>6775158.530338373</v>
      </c>
      <c r="F84" s="6">
        <v>474.3656578924788</v>
      </c>
      <c r="G84" s="6">
        <v>4.779761585822458</v>
      </c>
      <c r="H84" s="6">
        <v>6706459.116801312</v>
      </c>
      <c r="I84" s="6">
        <v>472.1425679456306</v>
      </c>
      <c r="J84" s="6">
        <v>3.8929355627554934</v>
      </c>
      <c r="K84" s="6"/>
      <c r="L84" s="6"/>
      <c r="M84" s="6"/>
      <c r="N84" s="6">
        <f t="shared" ref="N84:P84" si="87">IF(LEN($C84)&gt;0,H84-E84,"")</f>
        <v>-68699.41354</v>
      </c>
      <c r="O84" s="6">
        <f t="shared" si="87"/>
        <v>-2.223089947</v>
      </c>
      <c r="P84" s="6">
        <f t="shared" si="87"/>
        <v>-0.8868260231</v>
      </c>
      <c r="Q84" s="6"/>
      <c r="R84" s="6"/>
      <c r="S84" s="6"/>
      <c r="T84" s="6"/>
      <c r="U84" s="6"/>
      <c r="V84" s="6"/>
      <c r="W84" s="6"/>
      <c r="X84" s="6"/>
      <c r="Y84" s="6"/>
      <c r="Z84" s="6"/>
      <c r="AA84" s="6"/>
      <c r="AB84" s="6"/>
      <c r="AC84" s="6"/>
      <c r="AD84" s="6"/>
      <c r="AE84" s="6"/>
      <c r="AF84" s="6"/>
      <c r="AG84" s="6"/>
    </row>
    <row r="85" ht="14.25" customHeight="1">
      <c r="A85" s="6"/>
      <c r="B85" s="6"/>
      <c r="C85" s="6">
        <v>78.0</v>
      </c>
      <c r="D85" s="6"/>
      <c r="E85" s="6">
        <v>7212584.858354244</v>
      </c>
      <c r="F85" s="6">
        <v>473.7930699391767</v>
      </c>
      <c r="G85" s="6">
        <v>4.429580799924898</v>
      </c>
      <c r="H85" s="6">
        <v>7111565.551471057</v>
      </c>
      <c r="I85" s="6">
        <v>468.27767395854664</v>
      </c>
      <c r="J85" s="6">
        <v>3.2364984331041162</v>
      </c>
      <c r="K85" s="6"/>
      <c r="L85" s="6"/>
      <c r="M85" s="6"/>
      <c r="N85" s="6">
        <f t="shared" ref="N85:P85" si="88">IF(LEN($C85)&gt;0,H85-E85,"")</f>
        <v>-101019.3069</v>
      </c>
      <c r="O85" s="6">
        <f t="shared" si="88"/>
        <v>-5.515395981</v>
      </c>
      <c r="P85" s="6">
        <f t="shared" si="88"/>
        <v>-1.193082367</v>
      </c>
      <c r="Q85" s="6"/>
      <c r="R85" s="6"/>
      <c r="S85" s="6"/>
      <c r="T85" s="6"/>
      <c r="U85" s="6"/>
      <c r="V85" s="6"/>
      <c r="W85" s="6"/>
      <c r="X85" s="6"/>
      <c r="Y85" s="6"/>
      <c r="Z85" s="6"/>
      <c r="AA85" s="6"/>
      <c r="AB85" s="6"/>
      <c r="AC85" s="6"/>
      <c r="AD85" s="6"/>
      <c r="AE85" s="6"/>
      <c r="AF85" s="6"/>
      <c r="AG85" s="6"/>
    </row>
    <row r="86" ht="14.25" customHeight="1">
      <c r="A86" s="6"/>
      <c r="B86" s="6"/>
      <c r="C86" s="6">
        <v>79.0</v>
      </c>
      <c r="D86" s="6"/>
      <c r="E86" s="6">
        <v>6902653.105979669</v>
      </c>
      <c r="F86" s="6">
        <v>466.665053238634</v>
      </c>
      <c r="G86" s="6">
        <v>5.691218856888612</v>
      </c>
      <c r="H86" s="6">
        <v>6760733.808673007</v>
      </c>
      <c r="I86" s="6">
        <v>460.1362790510326</v>
      </c>
      <c r="J86" s="6">
        <v>4.221382110594339</v>
      </c>
      <c r="K86" s="6"/>
      <c r="L86" s="6"/>
      <c r="M86" s="6"/>
      <c r="N86" s="6">
        <f t="shared" ref="N86:P86" si="89">IF(LEN($C86)&gt;0,H86-E86,"")</f>
        <v>-141919.2973</v>
      </c>
      <c r="O86" s="6">
        <f t="shared" si="89"/>
        <v>-6.528774188</v>
      </c>
      <c r="P86" s="6">
        <f t="shared" si="89"/>
        <v>-1.469836746</v>
      </c>
      <c r="Q86" s="6"/>
      <c r="R86" s="6"/>
      <c r="S86" s="6"/>
      <c r="T86" s="6"/>
      <c r="U86" s="6"/>
      <c r="V86" s="6"/>
      <c r="W86" s="6"/>
      <c r="X86" s="6"/>
      <c r="Y86" s="6"/>
      <c r="Z86" s="6"/>
      <c r="AA86" s="6"/>
      <c r="AB86" s="6"/>
      <c r="AC86" s="6"/>
      <c r="AD86" s="6"/>
      <c r="AE86" s="6"/>
      <c r="AF86" s="6"/>
      <c r="AG86" s="6"/>
    </row>
    <row r="87" ht="14.25" customHeight="1">
      <c r="A87" s="6"/>
      <c r="B87" s="6"/>
      <c r="C87" s="6">
        <v>80.0</v>
      </c>
      <c r="D87" s="6"/>
      <c r="E87" s="6">
        <v>6683488.2311301185</v>
      </c>
      <c r="F87" s="6">
        <v>493.1998239618617</v>
      </c>
      <c r="G87" s="6">
        <v>5.1949797573052265</v>
      </c>
      <c r="H87" s="6">
        <v>6592519.0395441735</v>
      </c>
      <c r="I87" s="6">
        <v>490.1967909423503</v>
      </c>
      <c r="J87" s="6">
        <v>3.8782579851917207</v>
      </c>
      <c r="K87" s="6"/>
      <c r="L87" s="6"/>
      <c r="M87" s="6"/>
      <c r="N87" s="6">
        <f t="shared" ref="N87:P87" si="90">IF(LEN($C87)&gt;0,H87-E87,"")</f>
        <v>-90969.19159</v>
      </c>
      <c r="O87" s="6">
        <f t="shared" si="90"/>
        <v>-3.00303302</v>
      </c>
      <c r="P87" s="6">
        <f t="shared" si="90"/>
        <v>-1.316721772</v>
      </c>
      <c r="Q87" s="6"/>
      <c r="R87" s="6"/>
      <c r="S87" s="6"/>
      <c r="T87" s="6"/>
      <c r="U87" s="6"/>
      <c r="V87" s="6"/>
      <c r="W87" s="6"/>
      <c r="X87" s="6"/>
      <c r="Y87" s="6"/>
      <c r="Z87" s="6"/>
      <c r="AA87" s="6"/>
      <c r="AB87" s="6"/>
      <c r="AC87" s="6"/>
      <c r="AD87" s="6"/>
      <c r="AE87" s="6"/>
      <c r="AF87" s="6"/>
      <c r="AG87" s="6"/>
    </row>
    <row r="88" ht="14.25" customHeight="1">
      <c r="A88" s="6"/>
      <c r="B88" s="6"/>
      <c r="C88" s="6">
        <v>81.0</v>
      </c>
      <c r="D88" s="6"/>
      <c r="E88" s="6">
        <v>6301449.78910174</v>
      </c>
      <c r="F88" s="6">
        <v>444.580551013691</v>
      </c>
      <c r="G88" s="6">
        <v>6.196540979141102</v>
      </c>
      <c r="H88" s="6">
        <v>6210877.619091773</v>
      </c>
      <c r="I88" s="6">
        <v>441.11309847020925</v>
      </c>
      <c r="J88" s="6">
        <v>5.236853023781121</v>
      </c>
      <c r="K88" s="6"/>
      <c r="L88" s="6"/>
      <c r="M88" s="6"/>
      <c r="N88" s="6">
        <f t="shared" ref="N88:P88" si="91">IF(LEN($C88)&gt;0,H88-E88,"")</f>
        <v>-90572.17001</v>
      </c>
      <c r="O88" s="6">
        <f t="shared" si="91"/>
        <v>-3.467452543</v>
      </c>
      <c r="P88" s="6">
        <f t="shared" si="91"/>
        <v>-0.9596879554</v>
      </c>
      <c r="Q88" s="6"/>
      <c r="R88" s="6"/>
      <c r="S88" s="6"/>
      <c r="T88" s="6"/>
      <c r="U88" s="6"/>
      <c r="V88" s="6"/>
      <c r="W88" s="6"/>
      <c r="X88" s="6"/>
      <c r="Y88" s="6"/>
      <c r="Z88" s="6"/>
      <c r="AA88" s="6"/>
      <c r="AB88" s="6"/>
      <c r="AC88" s="6"/>
      <c r="AD88" s="6"/>
      <c r="AE88" s="6"/>
      <c r="AF88" s="6"/>
      <c r="AG88" s="6"/>
    </row>
    <row r="89" ht="14.25" customHeight="1">
      <c r="A89" s="6"/>
      <c r="B89" s="6"/>
      <c r="C89" s="6">
        <v>82.0</v>
      </c>
      <c r="D89" s="6"/>
      <c r="E89" s="6">
        <v>9831456.024767969</v>
      </c>
      <c r="F89" s="6">
        <v>499.6670400800933</v>
      </c>
      <c r="G89" s="6">
        <v>5.274672613833886</v>
      </c>
      <c r="H89" s="6">
        <v>9751545.132066876</v>
      </c>
      <c r="I89" s="6">
        <v>496.57201952784493</v>
      </c>
      <c r="J89" s="6">
        <v>4.508983650754876</v>
      </c>
      <c r="K89" s="6"/>
      <c r="L89" s="6"/>
      <c r="M89" s="6"/>
      <c r="N89" s="6">
        <f t="shared" ref="N89:P89" si="92">IF(LEN($C89)&gt;0,H89-E89,"")</f>
        <v>-79910.8927</v>
      </c>
      <c r="O89" s="6">
        <f t="shared" si="92"/>
        <v>-3.095020552</v>
      </c>
      <c r="P89" s="6">
        <f t="shared" si="92"/>
        <v>-0.7656889631</v>
      </c>
      <c r="Q89" s="6"/>
      <c r="R89" s="6"/>
      <c r="S89" s="6"/>
      <c r="T89" s="6"/>
      <c r="U89" s="6"/>
      <c r="V89" s="6"/>
      <c r="W89" s="6"/>
      <c r="X89" s="6"/>
      <c r="Y89" s="6"/>
      <c r="Z89" s="6"/>
      <c r="AA89" s="6"/>
      <c r="AB89" s="6"/>
      <c r="AC89" s="6"/>
      <c r="AD89" s="6"/>
      <c r="AE89" s="6"/>
      <c r="AF89" s="6"/>
      <c r="AG89" s="6"/>
    </row>
    <row r="90" ht="14.25" customHeight="1">
      <c r="A90" s="6"/>
      <c r="B90" s="6"/>
      <c r="C90" s="6">
        <v>83.0</v>
      </c>
      <c r="D90" s="6"/>
      <c r="E90" s="6">
        <v>7925115.314949158</v>
      </c>
      <c r="F90" s="6">
        <v>484.1043638410608</v>
      </c>
      <c r="G90" s="6">
        <v>3.949555584556681</v>
      </c>
      <c r="H90" s="6">
        <v>7827404.463295097</v>
      </c>
      <c r="I90" s="6">
        <v>480.16405055569777</v>
      </c>
      <c r="J90" s="6">
        <v>3.344848072997994</v>
      </c>
      <c r="K90" s="6"/>
      <c r="L90" s="6"/>
      <c r="M90" s="6"/>
      <c r="N90" s="6">
        <f t="shared" ref="N90:P90" si="93">IF(LEN($C90)&gt;0,H90-E90,"")</f>
        <v>-97710.85165</v>
      </c>
      <c r="O90" s="6">
        <f t="shared" si="93"/>
        <v>-3.940313285</v>
      </c>
      <c r="P90" s="6">
        <f t="shared" si="93"/>
        <v>-0.6047075116</v>
      </c>
      <c r="Q90" s="6"/>
      <c r="R90" s="6"/>
      <c r="S90" s="6"/>
      <c r="T90" s="6"/>
      <c r="U90" s="6"/>
      <c r="V90" s="6"/>
      <c r="W90" s="6"/>
      <c r="X90" s="6"/>
      <c r="Y90" s="6"/>
      <c r="Z90" s="6"/>
      <c r="AA90" s="6"/>
      <c r="AB90" s="6"/>
      <c r="AC90" s="6"/>
      <c r="AD90" s="6"/>
      <c r="AE90" s="6"/>
      <c r="AF90" s="6"/>
      <c r="AG90" s="6"/>
    </row>
    <row r="91" ht="14.25" customHeight="1">
      <c r="A91" s="6"/>
      <c r="B91" s="6"/>
      <c r="C91" s="6">
        <v>84.0</v>
      </c>
      <c r="D91" s="6"/>
      <c r="E91" s="6">
        <v>5118629.264647629</v>
      </c>
      <c r="F91" s="6">
        <v>468.67045005647316</v>
      </c>
      <c r="G91" s="6">
        <v>5.299659661855284</v>
      </c>
      <c r="H91" s="6">
        <v>5037852.804591747</v>
      </c>
      <c r="I91" s="6">
        <v>465.64712433189374</v>
      </c>
      <c r="J91" s="6">
        <v>4.297667472969501</v>
      </c>
      <c r="K91" s="6"/>
      <c r="L91" s="6"/>
      <c r="M91" s="6"/>
      <c r="N91" s="6">
        <f t="shared" ref="N91:P91" si="94">IF(LEN($C91)&gt;0,H91-E91,"")</f>
        <v>-80776.46006</v>
      </c>
      <c r="O91" s="6">
        <f t="shared" si="94"/>
        <v>-3.023325725</v>
      </c>
      <c r="P91" s="6">
        <f t="shared" si="94"/>
        <v>-1.001992189</v>
      </c>
      <c r="Q91" s="6"/>
      <c r="R91" s="6"/>
      <c r="S91" s="6"/>
      <c r="T91" s="6"/>
      <c r="U91" s="6"/>
      <c r="V91" s="6"/>
      <c r="W91" s="6"/>
      <c r="X91" s="6"/>
      <c r="Y91" s="6"/>
      <c r="Z91" s="6"/>
      <c r="AA91" s="6"/>
      <c r="AB91" s="6"/>
      <c r="AC91" s="6"/>
      <c r="AD91" s="6"/>
      <c r="AE91" s="6"/>
      <c r="AF91" s="6"/>
      <c r="AG91" s="6"/>
    </row>
    <row r="92" ht="14.25" customHeight="1">
      <c r="A92" s="6"/>
      <c r="B92" s="6"/>
      <c r="C92" s="6">
        <v>85.0</v>
      </c>
      <c r="D92" s="6"/>
      <c r="E92" s="6">
        <v>6430083.908935743</v>
      </c>
      <c r="F92" s="6">
        <v>485.6281855386053</v>
      </c>
      <c r="G92" s="6">
        <v>5.301138214346979</v>
      </c>
      <c r="H92" s="6">
        <v>6375671.924387702</v>
      </c>
      <c r="I92" s="6">
        <v>484.09634143253083</v>
      </c>
      <c r="J92" s="6">
        <v>4.624951310724768</v>
      </c>
      <c r="K92" s="6"/>
      <c r="L92" s="6"/>
      <c r="M92" s="6"/>
      <c r="N92" s="6">
        <f t="shared" ref="N92:P92" si="95">IF(LEN($C92)&gt;0,H92-E92,"")</f>
        <v>-54411.98455</v>
      </c>
      <c r="O92" s="6">
        <f t="shared" si="95"/>
        <v>-1.531844106</v>
      </c>
      <c r="P92" s="6">
        <f t="shared" si="95"/>
        <v>-0.6761869036</v>
      </c>
      <c r="Q92" s="6"/>
      <c r="R92" s="6"/>
      <c r="S92" s="6"/>
      <c r="T92" s="6"/>
      <c r="U92" s="6"/>
      <c r="V92" s="6"/>
      <c r="W92" s="6"/>
      <c r="X92" s="6"/>
      <c r="Y92" s="6"/>
      <c r="Z92" s="6"/>
      <c r="AA92" s="6"/>
      <c r="AB92" s="6"/>
      <c r="AC92" s="6"/>
      <c r="AD92" s="6"/>
      <c r="AE92" s="6"/>
      <c r="AF92" s="6"/>
      <c r="AG92" s="6"/>
    </row>
    <row r="93" ht="14.25" customHeight="1">
      <c r="A93" s="6"/>
      <c r="B93" s="6"/>
      <c r="C93" s="6">
        <v>86.0</v>
      </c>
      <c r="D93" s="6"/>
      <c r="E93" s="6">
        <v>7709548.080503891</v>
      </c>
      <c r="F93" s="6">
        <v>435.4634803100525</v>
      </c>
      <c r="G93" s="6">
        <v>5.579927317939432</v>
      </c>
      <c r="H93" s="6">
        <v>7626261.73074788</v>
      </c>
      <c r="I93" s="6">
        <v>432.9395180137979</v>
      </c>
      <c r="J93" s="6">
        <v>4.615537262708476</v>
      </c>
      <c r="K93" s="6"/>
      <c r="L93" s="6"/>
      <c r="M93" s="6"/>
      <c r="N93" s="6">
        <f t="shared" ref="N93:P93" si="96">IF(LEN($C93)&gt;0,H93-E93,"")</f>
        <v>-83286.34976</v>
      </c>
      <c r="O93" s="6">
        <f t="shared" si="96"/>
        <v>-2.523962296</v>
      </c>
      <c r="P93" s="6">
        <f t="shared" si="96"/>
        <v>-0.9643900552</v>
      </c>
      <c r="Q93" s="6"/>
      <c r="R93" s="6"/>
      <c r="S93" s="6"/>
      <c r="T93" s="6"/>
      <c r="U93" s="6"/>
      <c r="V93" s="6"/>
      <c r="W93" s="6"/>
      <c r="X93" s="6"/>
      <c r="Y93" s="6"/>
      <c r="Z93" s="6"/>
      <c r="AA93" s="6"/>
      <c r="AB93" s="6"/>
      <c r="AC93" s="6"/>
      <c r="AD93" s="6"/>
      <c r="AE93" s="6"/>
      <c r="AF93" s="6"/>
      <c r="AG93" s="6"/>
    </row>
    <row r="94" ht="14.25" customHeight="1">
      <c r="A94" s="6"/>
      <c r="B94" s="6"/>
      <c r="C94" s="6">
        <v>87.0</v>
      </c>
      <c r="D94" s="6"/>
      <c r="E94" s="6">
        <v>8332576.689919679</v>
      </c>
      <c r="F94" s="6">
        <v>486.5064989328946</v>
      </c>
      <c r="G94" s="6">
        <v>5.272957770893129</v>
      </c>
      <c r="H94" s="6">
        <v>8242717.301447679</v>
      </c>
      <c r="I94" s="6">
        <v>483.43795963985974</v>
      </c>
      <c r="J94" s="6">
        <v>4.181880736775267</v>
      </c>
      <c r="K94" s="6"/>
      <c r="L94" s="6"/>
      <c r="M94" s="6"/>
      <c r="N94" s="6">
        <f t="shared" ref="N94:P94" si="97">IF(LEN($C94)&gt;0,H94-E94,"")</f>
        <v>-89859.38847</v>
      </c>
      <c r="O94" s="6">
        <f t="shared" si="97"/>
        <v>-3.068539293</v>
      </c>
      <c r="P94" s="6">
        <f t="shared" si="97"/>
        <v>-1.091077034</v>
      </c>
      <c r="Q94" s="6"/>
      <c r="R94" s="6"/>
      <c r="S94" s="6"/>
      <c r="T94" s="6"/>
      <c r="U94" s="6"/>
      <c r="V94" s="6"/>
      <c r="W94" s="6"/>
      <c r="X94" s="6"/>
      <c r="Y94" s="6"/>
      <c r="Z94" s="6"/>
      <c r="AA94" s="6"/>
      <c r="AB94" s="6"/>
      <c r="AC94" s="6"/>
      <c r="AD94" s="6"/>
      <c r="AE94" s="6"/>
      <c r="AF94" s="6"/>
      <c r="AG94" s="6"/>
    </row>
    <row r="95" ht="14.25" customHeight="1">
      <c r="A95" s="6"/>
      <c r="B95" s="6"/>
      <c r="C95" s="6">
        <v>88.0</v>
      </c>
      <c r="D95" s="6"/>
      <c r="E95" s="6">
        <v>1.017607440431304E7</v>
      </c>
      <c r="F95" s="6">
        <v>489.3592039928337</v>
      </c>
      <c r="G95" s="6">
        <v>3.8233929284903088</v>
      </c>
      <c r="H95" s="6">
        <v>1.0092734834217701E7</v>
      </c>
      <c r="I95" s="6">
        <v>485.75173175297317</v>
      </c>
      <c r="J95" s="6">
        <v>3.038330226606492</v>
      </c>
      <c r="K95" s="6"/>
      <c r="L95" s="6"/>
      <c r="M95" s="6"/>
      <c r="N95" s="6">
        <f t="shared" ref="N95:P95" si="98">IF(LEN($C95)&gt;0,H95-E95,"")</f>
        <v>-83339.5701</v>
      </c>
      <c r="O95" s="6">
        <f t="shared" si="98"/>
        <v>-3.60747224</v>
      </c>
      <c r="P95" s="6">
        <f t="shared" si="98"/>
        <v>-0.7850627019</v>
      </c>
      <c r="Q95" s="6"/>
      <c r="R95" s="6"/>
      <c r="S95" s="6"/>
      <c r="T95" s="6"/>
      <c r="U95" s="6"/>
      <c r="V95" s="6"/>
      <c r="W95" s="6"/>
      <c r="X95" s="6"/>
      <c r="Y95" s="6"/>
      <c r="Z95" s="6"/>
      <c r="AA95" s="6"/>
      <c r="AB95" s="6"/>
      <c r="AC95" s="6"/>
      <c r="AD95" s="6"/>
      <c r="AE95" s="6"/>
      <c r="AF95" s="6"/>
      <c r="AG95" s="6"/>
    </row>
    <row r="96" ht="14.25" customHeight="1">
      <c r="A96" s="6"/>
      <c r="B96" s="6"/>
      <c r="C96" s="6">
        <v>89.0</v>
      </c>
      <c r="D96" s="6"/>
      <c r="E96" s="6">
        <v>7428933.210140291</v>
      </c>
      <c r="F96" s="6">
        <v>457.24431673457514</v>
      </c>
      <c r="G96" s="6">
        <v>4.974384634604416</v>
      </c>
      <c r="H96" s="6">
        <v>7363477.923064882</v>
      </c>
      <c r="I96" s="6">
        <v>453.89587791633346</v>
      </c>
      <c r="J96" s="6">
        <v>4.072053764510361</v>
      </c>
      <c r="K96" s="6"/>
      <c r="L96" s="6"/>
      <c r="M96" s="6"/>
      <c r="N96" s="6">
        <f t="shared" ref="N96:P96" si="99">IF(LEN($C96)&gt;0,H96-E96,"")</f>
        <v>-65455.28708</v>
      </c>
      <c r="O96" s="6">
        <f t="shared" si="99"/>
        <v>-3.348438818</v>
      </c>
      <c r="P96" s="6">
        <f t="shared" si="99"/>
        <v>-0.9023308701</v>
      </c>
      <c r="Q96" s="6"/>
      <c r="R96" s="6"/>
      <c r="S96" s="6"/>
      <c r="T96" s="6"/>
      <c r="U96" s="6"/>
      <c r="V96" s="6"/>
      <c r="W96" s="6"/>
      <c r="X96" s="6"/>
      <c r="Y96" s="6"/>
      <c r="Z96" s="6"/>
      <c r="AA96" s="6"/>
      <c r="AB96" s="6"/>
      <c r="AC96" s="6"/>
      <c r="AD96" s="6"/>
      <c r="AE96" s="6"/>
      <c r="AF96" s="6"/>
      <c r="AG96" s="6"/>
    </row>
    <row r="97" ht="14.25" customHeight="1">
      <c r="A97" s="6"/>
      <c r="B97" s="6"/>
      <c r="C97" s="6">
        <v>90.0</v>
      </c>
      <c r="D97" s="6"/>
      <c r="E97" s="6">
        <v>8012150.175748169</v>
      </c>
      <c r="F97" s="6">
        <v>489.87272469534213</v>
      </c>
      <c r="G97" s="6">
        <v>5.626454127075253</v>
      </c>
      <c r="H97" s="6">
        <v>7881761.4971405</v>
      </c>
      <c r="I97" s="6">
        <v>484.6875501545541</v>
      </c>
      <c r="J97" s="6">
        <v>4.403141684540346</v>
      </c>
      <c r="K97" s="6"/>
      <c r="L97" s="6"/>
      <c r="M97" s="6"/>
      <c r="N97" s="6">
        <f t="shared" ref="N97:P97" si="100">IF(LEN($C97)&gt;0,H97-E97,"")</f>
        <v>-130388.6786</v>
      </c>
      <c r="O97" s="6">
        <f t="shared" si="100"/>
        <v>-5.185174541</v>
      </c>
      <c r="P97" s="6">
        <f t="shared" si="100"/>
        <v>-1.223312443</v>
      </c>
      <c r="Q97" s="6"/>
      <c r="R97" s="6"/>
      <c r="S97" s="6"/>
      <c r="T97" s="6"/>
      <c r="U97" s="6"/>
      <c r="V97" s="6"/>
      <c r="W97" s="6"/>
      <c r="X97" s="6"/>
      <c r="Y97" s="6"/>
      <c r="Z97" s="6"/>
      <c r="AA97" s="6"/>
      <c r="AB97" s="6"/>
      <c r="AC97" s="6"/>
      <c r="AD97" s="6"/>
      <c r="AE97" s="6"/>
      <c r="AF97" s="6"/>
      <c r="AG97" s="6"/>
    </row>
    <row r="98" ht="14.25" customHeight="1">
      <c r="A98" s="6"/>
      <c r="B98" s="6"/>
      <c r="C98" s="6">
        <v>91.0</v>
      </c>
      <c r="D98" s="6"/>
      <c r="E98" s="6">
        <v>9774589.463962855</v>
      </c>
      <c r="F98" s="6">
        <v>491.8322065408552</v>
      </c>
      <c r="G98" s="6">
        <v>4.998584515870873</v>
      </c>
      <c r="H98" s="6">
        <v>9580667.212542247</v>
      </c>
      <c r="I98" s="6">
        <v>482.73947270878114</v>
      </c>
      <c r="J98" s="6">
        <v>3.1857491495394266</v>
      </c>
      <c r="K98" s="6"/>
      <c r="L98" s="6"/>
      <c r="M98" s="6"/>
      <c r="N98" s="6">
        <f t="shared" ref="N98:P98" si="101">IF(LEN($C98)&gt;0,H98-E98,"")</f>
        <v>-193922.2514</v>
      </c>
      <c r="O98" s="6">
        <f t="shared" si="101"/>
        <v>-9.092733832</v>
      </c>
      <c r="P98" s="6">
        <f t="shared" si="101"/>
        <v>-1.812835366</v>
      </c>
      <c r="Q98" s="6"/>
      <c r="R98" s="6"/>
      <c r="S98" s="6"/>
      <c r="T98" s="6"/>
      <c r="U98" s="6"/>
      <c r="V98" s="6"/>
      <c r="W98" s="6"/>
      <c r="X98" s="6"/>
      <c r="Y98" s="6"/>
      <c r="Z98" s="6"/>
      <c r="AA98" s="6"/>
      <c r="AB98" s="6"/>
      <c r="AC98" s="6"/>
      <c r="AD98" s="6"/>
      <c r="AE98" s="6"/>
      <c r="AF98" s="6"/>
      <c r="AG98" s="6"/>
    </row>
    <row r="99" ht="14.25" customHeight="1">
      <c r="A99" s="6"/>
      <c r="B99" s="6"/>
      <c r="C99" s="6">
        <v>92.0</v>
      </c>
      <c r="D99" s="6"/>
      <c r="E99" s="6">
        <v>9104500.590488417</v>
      </c>
      <c r="F99" s="6">
        <v>478.75421818931886</v>
      </c>
      <c r="G99" s="6">
        <v>4.7269033847803765</v>
      </c>
      <c r="H99" s="6">
        <v>9011902.216832237</v>
      </c>
      <c r="I99" s="6">
        <v>475.30754013539456</v>
      </c>
      <c r="J99" s="6">
        <v>3.999770315409035</v>
      </c>
      <c r="K99" s="6"/>
      <c r="L99" s="6"/>
      <c r="M99" s="6"/>
      <c r="N99" s="6">
        <f t="shared" ref="N99:P99" si="102">IF(LEN($C99)&gt;0,H99-E99,"")</f>
        <v>-92598.37366</v>
      </c>
      <c r="O99" s="6">
        <f t="shared" si="102"/>
        <v>-3.446678054</v>
      </c>
      <c r="P99" s="6">
        <f t="shared" si="102"/>
        <v>-0.7271330694</v>
      </c>
      <c r="Q99" s="6"/>
      <c r="R99" s="6"/>
      <c r="S99" s="6"/>
      <c r="T99" s="6"/>
      <c r="U99" s="6"/>
      <c r="V99" s="6"/>
      <c r="W99" s="6"/>
      <c r="X99" s="6"/>
      <c r="Y99" s="6"/>
      <c r="Z99" s="6"/>
      <c r="AA99" s="6"/>
      <c r="AB99" s="6"/>
      <c r="AC99" s="6"/>
      <c r="AD99" s="6"/>
      <c r="AE99" s="6"/>
      <c r="AF99" s="6"/>
      <c r="AG99" s="6"/>
    </row>
    <row r="100" ht="14.25" customHeight="1">
      <c r="A100" s="6"/>
      <c r="B100" s="6"/>
      <c r="C100" s="6">
        <v>93.0</v>
      </c>
      <c r="D100" s="6"/>
      <c r="E100" s="6">
        <v>6610733.159148112</v>
      </c>
      <c r="F100" s="6">
        <v>449.301060713948</v>
      </c>
      <c r="G100" s="6">
        <v>5.197564505534958</v>
      </c>
      <c r="H100" s="6">
        <v>6565323.136035908</v>
      </c>
      <c r="I100" s="6">
        <v>447.47736221892904</v>
      </c>
      <c r="J100" s="6">
        <v>4.13756162236988</v>
      </c>
      <c r="K100" s="6"/>
      <c r="L100" s="6"/>
      <c r="M100" s="6"/>
      <c r="N100" s="6">
        <f t="shared" ref="N100:P100" si="103">IF(LEN($C100)&gt;0,H100-E100,"")</f>
        <v>-45410.02311</v>
      </c>
      <c r="O100" s="6">
        <f t="shared" si="103"/>
        <v>-1.823698495</v>
      </c>
      <c r="P100" s="6">
        <f t="shared" si="103"/>
        <v>-1.060002883</v>
      </c>
      <c r="Q100" s="6"/>
      <c r="R100" s="6"/>
      <c r="S100" s="6"/>
      <c r="T100" s="6"/>
      <c r="U100" s="6"/>
      <c r="V100" s="6"/>
      <c r="W100" s="6"/>
      <c r="X100" s="6"/>
      <c r="Y100" s="6"/>
      <c r="Z100" s="6"/>
      <c r="AA100" s="6"/>
      <c r="AB100" s="6"/>
      <c r="AC100" s="6"/>
      <c r="AD100" s="6"/>
      <c r="AE100" s="6"/>
      <c r="AF100" s="6"/>
      <c r="AG100" s="6"/>
    </row>
    <row r="101" ht="14.25" customHeight="1">
      <c r="A101" s="6"/>
      <c r="B101" s="6"/>
      <c r="C101" s="6">
        <v>94.0</v>
      </c>
      <c r="D101" s="6"/>
      <c r="E101" s="6">
        <v>8261418.979730825</v>
      </c>
      <c r="F101" s="6">
        <v>450.7162263797236</v>
      </c>
      <c r="G101" s="6">
        <v>4.829754108022386</v>
      </c>
      <c r="H101" s="6">
        <v>8077900.3655424565</v>
      </c>
      <c r="I101" s="6">
        <v>443.0929832445636</v>
      </c>
      <c r="J101" s="6">
        <v>3.2952307534563694</v>
      </c>
      <c r="K101" s="6"/>
      <c r="L101" s="6"/>
      <c r="M101" s="6"/>
      <c r="N101" s="6">
        <f t="shared" ref="N101:P101" si="104">IF(LEN($C101)&gt;0,H101-E101,"")</f>
        <v>-183518.6142</v>
      </c>
      <c r="O101" s="6">
        <f t="shared" si="104"/>
        <v>-7.623243135</v>
      </c>
      <c r="P101" s="6">
        <f t="shared" si="104"/>
        <v>-1.534523355</v>
      </c>
      <c r="Q101" s="6"/>
      <c r="R101" s="6"/>
      <c r="S101" s="6"/>
      <c r="T101" s="6"/>
      <c r="U101" s="6"/>
      <c r="V101" s="6"/>
      <c r="W101" s="6"/>
      <c r="X101" s="6"/>
      <c r="Y101" s="6"/>
      <c r="Z101" s="6"/>
      <c r="AA101" s="6"/>
      <c r="AB101" s="6"/>
      <c r="AC101" s="6"/>
      <c r="AD101" s="6"/>
      <c r="AE101" s="6"/>
      <c r="AF101" s="6"/>
      <c r="AG101" s="6"/>
    </row>
    <row r="102" ht="14.25" customHeight="1">
      <c r="A102" s="6"/>
      <c r="B102" s="6"/>
      <c r="C102" s="6">
        <v>95.0</v>
      </c>
      <c r="D102" s="6"/>
      <c r="E102" s="6">
        <v>6495676.660264955</v>
      </c>
      <c r="F102" s="6">
        <v>470.1943456224757</v>
      </c>
      <c r="G102" s="6">
        <v>5.220052422729978</v>
      </c>
      <c r="H102" s="6">
        <v>6457835.872757703</v>
      </c>
      <c r="I102" s="6">
        <v>468.5549892206671</v>
      </c>
      <c r="J102" s="6">
        <v>4.587067522472585</v>
      </c>
      <c r="K102" s="6"/>
      <c r="L102" s="6"/>
      <c r="M102" s="6"/>
      <c r="N102" s="6">
        <f t="shared" ref="N102:P102" si="105">IF(LEN($C102)&gt;0,H102-E102,"")</f>
        <v>-37840.78751</v>
      </c>
      <c r="O102" s="6">
        <f t="shared" si="105"/>
        <v>-1.639356402</v>
      </c>
      <c r="P102" s="6">
        <f t="shared" si="105"/>
        <v>-0.6329849003</v>
      </c>
      <c r="Q102" s="6"/>
      <c r="R102" s="6"/>
      <c r="S102" s="6"/>
      <c r="T102" s="6"/>
      <c r="U102" s="6"/>
      <c r="V102" s="6"/>
      <c r="W102" s="6"/>
      <c r="X102" s="6"/>
      <c r="Y102" s="6"/>
      <c r="Z102" s="6"/>
      <c r="AA102" s="6"/>
      <c r="AB102" s="6"/>
      <c r="AC102" s="6"/>
      <c r="AD102" s="6"/>
      <c r="AE102" s="6"/>
      <c r="AF102" s="6"/>
      <c r="AG102" s="6"/>
    </row>
    <row r="103" ht="14.25" customHeight="1">
      <c r="A103" s="6"/>
      <c r="B103" s="6"/>
      <c r="C103" s="6">
        <v>96.0</v>
      </c>
      <c r="D103" s="6"/>
      <c r="E103" s="6">
        <v>9840560.285402505</v>
      </c>
      <c r="F103" s="6">
        <v>465.6254874994384</v>
      </c>
      <c r="G103" s="6">
        <v>5.257457302028932</v>
      </c>
      <c r="H103" s="6">
        <v>9704766.185582338</v>
      </c>
      <c r="I103" s="6">
        <v>460.2642225491426</v>
      </c>
      <c r="J103" s="6">
        <v>3.554568117858656</v>
      </c>
      <c r="K103" s="6"/>
      <c r="L103" s="6"/>
      <c r="M103" s="6"/>
      <c r="N103" s="6">
        <f t="shared" ref="N103:P103" si="106">IF(LEN($C103)&gt;0,H103-E103,"")</f>
        <v>-135794.0998</v>
      </c>
      <c r="O103" s="6">
        <f t="shared" si="106"/>
        <v>-5.36126495</v>
      </c>
      <c r="P103" s="6">
        <f t="shared" si="106"/>
        <v>-1.702889184</v>
      </c>
      <c r="Q103" s="6"/>
      <c r="R103" s="6"/>
      <c r="S103" s="6"/>
      <c r="T103" s="6"/>
      <c r="U103" s="6"/>
      <c r="V103" s="6"/>
      <c r="W103" s="6"/>
      <c r="X103" s="6"/>
      <c r="Y103" s="6"/>
      <c r="Z103" s="6"/>
      <c r="AA103" s="6"/>
      <c r="AB103" s="6"/>
      <c r="AC103" s="6"/>
      <c r="AD103" s="6"/>
      <c r="AE103" s="6"/>
      <c r="AF103" s="6"/>
      <c r="AG103" s="6"/>
    </row>
    <row r="104" ht="14.25" customHeight="1">
      <c r="A104" s="6"/>
      <c r="B104" s="6"/>
      <c r="C104" s="6">
        <v>97.0</v>
      </c>
      <c r="D104" s="6"/>
      <c r="E104" s="6">
        <v>7306279.877014114</v>
      </c>
      <c r="F104" s="6">
        <v>483.1163900753951</v>
      </c>
      <c r="G104" s="6">
        <v>4.297729477376694</v>
      </c>
      <c r="H104" s="6">
        <v>7216827.825985664</v>
      </c>
      <c r="I104" s="6">
        <v>480.24681040662324</v>
      </c>
      <c r="J104" s="6">
        <v>2.9128739259395666</v>
      </c>
      <c r="K104" s="6"/>
      <c r="L104" s="6"/>
      <c r="M104" s="6"/>
      <c r="N104" s="6">
        <f t="shared" ref="N104:P104" si="107">IF(LEN($C104)&gt;0,H104-E104,"")</f>
        <v>-89452.05103</v>
      </c>
      <c r="O104" s="6">
        <f t="shared" si="107"/>
        <v>-2.869579669</v>
      </c>
      <c r="P104" s="6">
        <f t="shared" si="107"/>
        <v>-1.384855551</v>
      </c>
      <c r="Q104" s="6"/>
      <c r="R104" s="6"/>
      <c r="S104" s="6"/>
      <c r="T104" s="6"/>
      <c r="U104" s="6"/>
      <c r="V104" s="6"/>
      <c r="W104" s="6"/>
      <c r="X104" s="6"/>
      <c r="Y104" s="6"/>
      <c r="Z104" s="6"/>
      <c r="AA104" s="6"/>
      <c r="AB104" s="6"/>
      <c r="AC104" s="6"/>
      <c r="AD104" s="6"/>
      <c r="AE104" s="6"/>
      <c r="AF104" s="6"/>
      <c r="AG104" s="6"/>
    </row>
    <row r="105" ht="14.25" customHeight="1">
      <c r="A105" s="6"/>
      <c r="B105" s="6"/>
      <c r="C105" s="6">
        <v>98.0</v>
      </c>
      <c r="D105" s="6"/>
      <c r="E105" s="6">
        <v>7483477.49581228</v>
      </c>
      <c r="F105" s="6">
        <v>491.2310721819806</v>
      </c>
      <c r="G105" s="6">
        <v>4.420939693272254</v>
      </c>
      <c r="H105" s="6">
        <v>7338321.91045184</v>
      </c>
      <c r="I105" s="6">
        <v>485.92504168046776</v>
      </c>
      <c r="J105" s="6">
        <v>3.0014321664886623</v>
      </c>
      <c r="K105" s="6"/>
      <c r="L105" s="6"/>
      <c r="M105" s="6"/>
      <c r="N105" s="6">
        <f t="shared" ref="N105:P105" si="108">IF(LEN($C105)&gt;0,H105-E105,"")</f>
        <v>-145155.5854</v>
      </c>
      <c r="O105" s="6">
        <f t="shared" si="108"/>
        <v>-5.306030502</v>
      </c>
      <c r="P105" s="6">
        <f t="shared" si="108"/>
        <v>-1.419507527</v>
      </c>
      <c r="Q105" s="6"/>
      <c r="R105" s="6"/>
      <c r="S105" s="6"/>
      <c r="T105" s="6"/>
      <c r="U105" s="6"/>
      <c r="V105" s="6"/>
      <c r="W105" s="6"/>
      <c r="X105" s="6"/>
      <c r="Y105" s="6"/>
      <c r="Z105" s="6"/>
      <c r="AA105" s="6"/>
      <c r="AB105" s="6"/>
      <c r="AC105" s="6"/>
      <c r="AD105" s="6"/>
      <c r="AE105" s="6"/>
      <c r="AF105" s="6"/>
      <c r="AG105" s="6"/>
    </row>
    <row r="106" ht="14.25" customHeight="1">
      <c r="A106" s="6"/>
      <c r="B106" s="6"/>
      <c r="C106" s="6">
        <v>99.0</v>
      </c>
      <c r="D106" s="6"/>
      <c r="E106" s="6">
        <v>8455151.395613186</v>
      </c>
      <c r="F106" s="6">
        <v>511.0869797238964</v>
      </c>
      <c r="G106" s="6">
        <v>6.323635747426915</v>
      </c>
      <c r="H106" s="6">
        <v>8237971.167961271</v>
      </c>
      <c r="I106" s="6">
        <v>498.4753398866914</v>
      </c>
      <c r="J106" s="6">
        <v>4.292070643757936</v>
      </c>
      <c r="K106" s="6"/>
      <c r="L106" s="6"/>
      <c r="M106" s="6"/>
      <c r="N106" s="6">
        <f t="shared" ref="N106:P106" si="109">IF(LEN($C106)&gt;0,H106-E106,"")</f>
        <v>-217180.2277</v>
      </c>
      <c r="O106" s="6">
        <f t="shared" si="109"/>
        <v>-12.61163984</v>
      </c>
      <c r="P106" s="6">
        <f t="shared" si="109"/>
        <v>-2.031565104</v>
      </c>
      <c r="Q106" s="6"/>
      <c r="R106" s="6"/>
      <c r="S106" s="6"/>
      <c r="T106" s="6"/>
      <c r="U106" s="6"/>
      <c r="V106" s="6"/>
      <c r="W106" s="6"/>
      <c r="X106" s="6"/>
      <c r="Y106" s="6"/>
      <c r="Z106" s="6"/>
      <c r="AA106" s="6"/>
      <c r="AB106" s="6"/>
      <c r="AC106" s="6"/>
      <c r="AD106" s="6"/>
      <c r="AE106" s="6"/>
      <c r="AF106" s="6"/>
      <c r="AG106" s="6"/>
    </row>
    <row r="107" ht="14.25" customHeight="1">
      <c r="A107" s="6"/>
      <c r="B107" s="6"/>
      <c r="C107" s="6">
        <v>100.0</v>
      </c>
      <c r="D107" s="6"/>
      <c r="E107" s="6">
        <v>5913573.241165993</v>
      </c>
      <c r="F107" s="6">
        <v>489.095242915932</v>
      </c>
      <c r="G107" s="6">
        <v>4.684064031588339</v>
      </c>
      <c r="H107" s="6">
        <v>5777959.341610594</v>
      </c>
      <c r="I107" s="6">
        <v>483.8578452945048</v>
      </c>
      <c r="J107" s="6">
        <v>3.458288729445073</v>
      </c>
      <c r="K107" s="6"/>
      <c r="L107" s="6"/>
      <c r="M107" s="6"/>
      <c r="N107" s="6">
        <f t="shared" ref="N107:P107" si="110">IF(LEN($C107)&gt;0,H107-E107,"")</f>
        <v>-135613.8996</v>
      </c>
      <c r="O107" s="6">
        <f t="shared" si="110"/>
        <v>-5.237397621</v>
      </c>
      <c r="P107" s="6">
        <f t="shared" si="110"/>
        <v>-1.225775302</v>
      </c>
      <c r="Q107" s="6"/>
      <c r="R107" s="6"/>
      <c r="S107" s="6"/>
      <c r="T107" s="6"/>
      <c r="U107" s="6"/>
      <c r="V107" s="6"/>
      <c r="W107" s="6"/>
      <c r="X107" s="6"/>
      <c r="Y107" s="6"/>
      <c r="Z107" s="6"/>
      <c r="AA107" s="6"/>
      <c r="AB107" s="6"/>
      <c r="AC107" s="6"/>
      <c r="AD107" s="6"/>
      <c r="AE107" s="6"/>
      <c r="AF107" s="6"/>
      <c r="AG107" s="6"/>
    </row>
    <row r="108" ht="14.25" customHeight="1">
      <c r="A108" s="6"/>
      <c r="B108" s="6"/>
      <c r="C108" s="6">
        <v>101.0</v>
      </c>
      <c r="D108" s="6"/>
      <c r="E108" s="6">
        <v>7788231.757537504</v>
      </c>
      <c r="F108" s="6">
        <v>484.8637976221405</v>
      </c>
      <c r="G108" s="6">
        <v>5.124859629005067</v>
      </c>
      <c r="H108" s="6">
        <v>7674609.960366915</v>
      </c>
      <c r="I108" s="6">
        <v>479.6762163488514</v>
      </c>
      <c r="J108" s="6">
        <v>3.862634179375351</v>
      </c>
      <c r="K108" s="6"/>
      <c r="L108" s="6"/>
      <c r="M108" s="6"/>
      <c r="N108" s="6">
        <f t="shared" ref="N108:P108" si="111">IF(LEN($C108)&gt;0,H108-E108,"")</f>
        <v>-113621.7972</v>
      </c>
      <c r="O108" s="6">
        <f t="shared" si="111"/>
        <v>-5.187581273</v>
      </c>
      <c r="P108" s="6">
        <f t="shared" si="111"/>
        <v>-1.26222545</v>
      </c>
      <c r="Q108" s="6"/>
      <c r="R108" s="6"/>
      <c r="S108" s="6"/>
      <c r="T108" s="6"/>
      <c r="U108" s="6"/>
      <c r="V108" s="6"/>
      <c r="W108" s="6"/>
      <c r="X108" s="6"/>
      <c r="Y108" s="6"/>
      <c r="Z108" s="6"/>
      <c r="AA108" s="6"/>
      <c r="AB108" s="6"/>
      <c r="AC108" s="6"/>
      <c r="AD108" s="6"/>
      <c r="AE108" s="6"/>
      <c r="AF108" s="6"/>
      <c r="AG108" s="6"/>
    </row>
    <row r="109" ht="14.25" customHeight="1">
      <c r="A109" s="6"/>
      <c r="B109" s="6"/>
      <c r="C109" s="6">
        <v>102.0</v>
      </c>
      <c r="D109" s="6"/>
      <c r="E109" s="6">
        <v>5565598.070784819</v>
      </c>
      <c r="F109" s="6">
        <v>492.18763454579477</v>
      </c>
      <c r="G109" s="6">
        <v>6.721231565115353</v>
      </c>
      <c r="H109" s="6">
        <v>5498420.105722701</v>
      </c>
      <c r="I109" s="6">
        <v>489.4842771493149</v>
      </c>
      <c r="J109" s="6">
        <v>5.585424924042161</v>
      </c>
      <c r="K109" s="6"/>
      <c r="L109" s="6"/>
      <c r="M109" s="6"/>
      <c r="N109" s="6">
        <f t="shared" ref="N109:P109" si="112">IF(LEN($C109)&gt;0,H109-E109,"")</f>
        <v>-67177.96506</v>
      </c>
      <c r="O109" s="6">
        <f t="shared" si="112"/>
        <v>-2.703357396</v>
      </c>
      <c r="P109" s="6">
        <f t="shared" si="112"/>
        <v>-1.135806641</v>
      </c>
      <c r="Q109" s="6"/>
      <c r="R109" s="6"/>
      <c r="S109" s="6"/>
      <c r="T109" s="6"/>
      <c r="U109" s="6"/>
      <c r="V109" s="6"/>
      <c r="W109" s="6"/>
      <c r="X109" s="6"/>
      <c r="Y109" s="6"/>
      <c r="Z109" s="6"/>
      <c r="AA109" s="6"/>
      <c r="AB109" s="6"/>
      <c r="AC109" s="6"/>
      <c r="AD109" s="6"/>
      <c r="AE109" s="6"/>
      <c r="AF109" s="6"/>
      <c r="AG109" s="6"/>
    </row>
    <row r="110" ht="14.25" customHeight="1">
      <c r="A110" s="6"/>
      <c r="B110" s="6"/>
      <c r="C110" s="6">
        <v>103.0</v>
      </c>
      <c r="D110" s="6"/>
      <c r="E110" s="6">
        <v>7034817.30540668</v>
      </c>
      <c r="F110" s="6">
        <v>469.42124725194054</v>
      </c>
      <c r="G110" s="6">
        <v>6.24497816761109</v>
      </c>
      <c r="H110" s="6">
        <v>6948617.324517415</v>
      </c>
      <c r="I110" s="6">
        <v>467.4188816081864</v>
      </c>
      <c r="J110" s="6">
        <v>4.426201400379049</v>
      </c>
      <c r="K110" s="6"/>
      <c r="L110" s="6"/>
      <c r="M110" s="6"/>
      <c r="N110" s="6">
        <f t="shared" ref="N110:P110" si="113">IF(LEN($C110)&gt;0,H110-E110,"")</f>
        <v>-86199.98089</v>
      </c>
      <c r="O110" s="6">
        <f t="shared" si="113"/>
        <v>-2.002365644</v>
      </c>
      <c r="P110" s="6">
        <f t="shared" si="113"/>
        <v>-1.818776767</v>
      </c>
      <c r="Q110" s="6"/>
      <c r="R110" s="6"/>
      <c r="S110" s="6"/>
      <c r="T110" s="6"/>
      <c r="U110" s="6"/>
      <c r="V110" s="6"/>
      <c r="W110" s="6"/>
      <c r="X110" s="6"/>
      <c r="Y110" s="6"/>
      <c r="Z110" s="6"/>
      <c r="AA110" s="6"/>
      <c r="AB110" s="6"/>
      <c r="AC110" s="6"/>
      <c r="AD110" s="6"/>
      <c r="AE110" s="6"/>
      <c r="AF110" s="6"/>
      <c r="AG110" s="6"/>
    </row>
    <row r="111" ht="14.25" customHeight="1">
      <c r="A111" s="6"/>
      <c r="B111" s="6"/>
      <c r="C111" s="6">
        <v>104.0</v>
      </c>
      <c r="D111" s="6"/>
      <c r="E111" s="6">
        <v>7716986.486256166</v>
      </c>
      <c r="F111" s="6">
        <v>437.30216795793604</v>
      </c>
      <c r="G111" s="6">
        <v>4.227124002535891</v>
      </c>
      <c r="H111" s="6">
        <v>7625114.3226549765</v>
      </c>
      <c r="I111" s="6">
        <v>433.4777288821552</v>
      </c>
      <c r="J111" s="6">
        <v>2.9889359820638157</v>
      </c>
      <c r="K111" s="6"/>
      <c r="L111" s="6"/>
      <c r="M111" s="6"/>
      <c r="N111" s="6">
        <f t="shared" ref="N111:P111" si="114">IF(LEN($C111)&gt;0,H111-E111,"")</f>
        <v>-91872.1636</v>
      </c>
      <c r="O111" s="6">
        <f t="shared" si="114"/>
        <v>-3.824439076</v>
      </c>
      <c r="P111" s="6">
        <f t="shared" si="114"/>
        <v>-1.23818802</v>
      </c>
      <c r="Q111" s="6"/>
      <c r="R111" s="6"/>
      <c r="S111" s="6"/>
      <c r="T111" s="6"/>
      <c r="U111" s="6"/>
      <c r="V111" s="6"/>
      <c r="W111" s="6"/>
      <c r="X111" s="6"/>
      <c r="Y111" s="6"/>
      <c r="Z111" s="6"/>
      <c r="AA111" s="6"/>
      <c r="AB111" s="6"/>
      <c r="AC111" s="6"/>
      <c r="AD111" s="6"/>
      <c r="AE111" s="6"/>
      <c r="AF111" s="6"/>
      <c r="AG111" s="6"/>
    </row>
    <row r="112" ht="14.25" customHeight="1">
      <c r="A112" s="6"/>
      <c r="B112" s="6"/>
      <c r="C112" s="6">
        <v>105.0</v>
      </c>
      <c r="D112" s="6"/>
      <c r="E112" s="6">
        <v>7163629.637768198</v>
      </c>
      <c r="F112" s="6">
        <v>487.9639381540171</v>
      </c>
      <c r="G112" s="6">
        <v>4.603265492921093</v>
      </c>
      <c r="H112" s="6">
        <v>7087966.005093015</v>
      </c>
      <c r="I112" s="6">
        <v>484.7754461467228</v>
      </c>
      <c r="J112" s="6">
        <v>3.959330342521671</v>
      </c>
      <c r="K112" s="6"/>
      <c r="L112" s="6"/>
      <c r="M112" s="6"/>
      <c r="N112" s="6">
        <f t="shared" ref="N112:P112" si="115">IF(LEN($C112)&gt;0,H112-E112,"")</f>
        <v>-75663.63268</v>
      </c>
      <c r="O112" s="6">
        <f t="shared" si="115"/>
        <v>-3.188492007</v>
      </c>
      <c r="P112" s="6">
        <f t="shared" si="115"/>
        <v>-0.6439351504</v>
      </c>
      <c r="Q112" s="6"/>
      <c r="R112" s="6"/>
      <c r="S112" s="6"/>
      <c r="T112" s="6"/>
      <c r="U112" s="6"/>
      <c r="V112" s="6"/>
      <c r="W112" s="6"/>
      <c r="X112" s="6"/>
      <c r="Y112" s="6"/>
      <c r="Z112" s="6"/>
      <c r="AA112" s="6"/>
      <c r="AB112" s="6"/>
      <c r="AC112" s="6"/>
      <c r="AD112" s="6"/>
      <c r="AE112" s="6"/>
      <c r="AF112" s="6"/>
      <c r="AG112" s="6"/>
    </row>
    <row r="113" ht="14.25" customHeight="1">
      <c r="A113" s="6"/>
      <c r="B113" s="6"/>
      <c r="C113" s="6">
        <v>106.0</v>
      </c>
      <c r="D113" s="6"/>
      <c r="E113" s="6">
        <v>7813618.178519113</v>
      </c>
      <c r="F113" s="6">
        <v>492.78607538229267</v>
      </c>
      <c r="G113" s="6">
        <v>5.56826916558817</v>
      </c>
      <c r="H113" s="6">
        <v>7730303.778117021</v>
      </c>
      <c r="I113" s="6">
        <v>489.2449077693349</v>
      </c>
      <c r="J113" s="6">
        <v>4.644060969131493</v>
      </c>
      <c r="K113" s="6"/>
      <c r="L113" s="6"/>
      <c r="M113" s="6"/>
      <c r="N113" s="6">
        <f t="shared" ref="N113:P113" si="116">IF(LEN($C113)&gt;0,H113-E113,"")</f>
        <v>-83314.4004</v>
      </c>
      <c r="O113" s="6">
        <f t="shared" si="116"/>
        <v>-3.541167613</v>
      </c>
      <c r="P113" s="6">
        <f t="shared" si="116"/>
        <v>-0.9242081965</v>
      </c>
      <c r="Q113" s="6"/>
      <c r="R113" s="6"/>
      <c r="S113" s="6"/>
      <c r="T113" s="6"/>
      <c r="U113" s="6"/>
      <c r="V113" s="6"/>
      <c r="W113" s="6"/>
      <c r="X113" s="6"/>
      <c r="Y113" s="6"/>
      <c r="Z113" s="6"/>
      <c r="AA113" s="6"/>
      <c r="AB113" s="6"/>
      <c r="AC113" s="6"/>
      <c r="AD113" s="6"/>
      <c r="AE113" s="6"/>
      <c r="AF113" s="6"/>
      <c r="AG113" s="6"/>
    </row>
    <row r="114" ht="14.25" customHeight="1">
      <c r="A114" s="6"/>
      <c r="B114" s="6"/>
      <c r="C114" s="6">
        <v>107.0</v>
      </c>
      <c r="D114" s="6"/>
      <c r="E114" s="6">
        <v>8719648.095626034</v>
      </c>
      <c r="F114" s="6">
        <v>464.65803319951533</v>
      </c>
      <c r="G114" s="6">
        <v>5.059109072345686</v>
      </c>
      <c r="H114" s="6">
        <v>8619406.976751678</v>
      </c>
      <c r="I114" s="6">
        <v>461.3029484287243</v>
      </c>
      <c r="J114" s="6">
        <v>3.73716949236102</v>
      </c>
      <c r="K114" s="6"/>
      <c r="L114" s="6"/>
      <c r="M114" s="6"/>
      <c r="N114" s="6">
        <f t="shared" ref="N114:P114" si="117">IF(LEN($C114)&gt;0,H114-E114,"")</f>
        <v>-100241.1189</v>
      </c>
      <c r="O114" s="6">
        <f t="shared" si="117"/>
        <v>-3.355084771</v>
      </c>
      <c r="P114" s="6">
        <f t="shared" si="117"/>
        <v>-1.32193958</v>
      </c>
      <c r="Q114" s="6"/>
      <c r="R114" s="6"/>
      <c r="S114" s="6"/>
      <c r="T114" s="6"/>
      <c r="U114" s="6"/>
      <c r="V114" s="6"/>
      <c r="W114" s="6"/>
      <c r="X114" s="6"/>
      <c r="Y114" s="6"/>
      <c r="Z114" s="6"/>
      <c r="AA114" s="6"/>
      <c r="AB114" s="6"/>
      <c r="AC114" s="6"/>
      <c r="AD114" s="6"/>
      <c r="AE114" s="6"/>
      <c r="AF114" s="6"/>
      <c r="AG114" s="6"/>
    </row>
    <row r="115" ht="14.25" customHeight="1">
      <c r="A115" s="6"/>
      <c r="B115" s="6"/>
      <c r="C115" s="6">
        <v>108.0</v>
      </c>
      <c r="D115" s="6"/>
      <c r="E115" s="6">
        <v>9263050.466837853</v>
      </c>
      <c r="F115" s="6">
        <v>474.9371822298446</v>
      </c>
      <c r="G115" s="6">
        <v>3.8255193875869504</v>
      </c>
      <c r="H115" s="6">
        <v>9107527.732058922</v>
      </c>
      <c r="I115" s="6">
        <v>467.59028476371947</v>
      </c>
      <c r="J115" s="6">
        <v>2.6123592276449537</v>
      </c>
      <c r="K115" s="6"/>
      <c r="L115" s="6"/>
      <c r="M115" s="6"/>
      <c r="N115" s="6">
        <f t="shared" ref="N115:P115" si="118">IF(LEN($C115)&gt;0,H115-E115,"")</f>
        <v>-155522.7348</v>
      </c>
      <c r="O115" s="6">
        <f t="shared" si="118"/>
        <v>-7.346897466</v>
      </c>
      <c r="P115" s="6">
        <f t="shared" si="118"/>
        <v>-1.21316016</v>
      </c>
      <c r="Q115" s="6"/>
      <c r="R115" s="6"/>
      <c r="S115" s="6"/>
      <c r="T115" s="6"/>
      <c r="U115" s="6"/>
      <c r="V115" s="6"/>
      <c r="W115" s="6"/>
      <c r="X115" s="6"/>
      <c r="Y115" s="6"/>
      <c r="Z115" s="6"/>
      <c r="AA115" s="6"/>
      <c r="AB115" s="6"/>
      <c r="AC115" s="6"/>
      <c r="AD115" s="6"/>
      <c r="AE115" s="6"/>
      <c r="AF115" s="6"/>
      <c r="AG115" s="6"/>
    </row>
    <row r="116" ht="14.25" customHeight="1">
      <c r="A116" s="6"/>
      <c r="B116" s="6"/>
      <c r="C116" s="6">
        <v>109.0</v>
      </c>
      <c r="D116" s="6"/>
      <c r="E116" s="6">
        <v>5576041.085268678</v>
      </c>
      <c r="F116" s="6">
        <v>489.75969135794026</v>
      </c>
      <c r="G116" s="6">
        <v>5.423547423164922</v>
      </c>
      <c r="H116" s="6">
        <v>5516989.548419744</v>
      </c>
      <c r="I116" s="6">
        <v>486.7352271891068</v>
      </c>
      <c r="J116" s="6">
        <v>4.010428036764055</v>
      </c>
      <c r="K116" s="6"/>
      <c r="L116" s="6"/>
      <c r="M116" s="6"/>
      <c r="N116" s="6">
        <f t="shared" ref="N116:P116" si="119">IF(LEN($C116)&gt;0,H116-E116,"")</f>
        <v>-59051.53685</v>
      </c>
      <c r="O116" s="6">
        <f t="shared" si="119"/>
        <v>-3.024464169</v>
      </c>
      <c r="P116" s="6">
        <f t="shared" si="119"/>
        <v>-1.413119386</v>
      </c>
      <c r="Q116" s="6"/>
      <c r="R116" s="6"/>
      <c r="S116" s="6"/>
      <c r="T116" s="6"/>
      <c r="U116" s="6"/>
      <c r="V116" s="6"/>
      <c r="W116" s="6"/>
      <c r="X116" s="6"/>
      <c r="Y116" s="6"/>
      <c r="Z116" s="6"/>
      <c r="AA116" s="6"/>
      <c r="AB116" s="6"/>
      <c r="AC116" s="6"/>
      <c r="AD116" s="6"/>
      <c r="AE116" s="6"/>
      <c r="AF116" s="6"/>
      <c r="AG116" s="6"/>
    </row>
    <row r="117" ht="14.25" customHeight="1">
      <c r="A117" s="6"/>
      <c r="B117" s="6"/>
      <c r="C117" s="6">
        <v>110.0</v>
      </c>
      <c r="D117" s="6"/>
      <c r="E117" s="6">
        <v>8061502.45567684</v>
      </c>
      <c r="F117" s="6">
        <v>453.01978937944637</v>
      </c>
      <c r="G117" s="6">
        <v>4.355892119455857</v>
      </c>
      <c r="H117" s="6">
        <v>8009757.004995678</v>
      </c>
      <c r="I117" s="6">
        <v>451.38978164270844</v>
      </c>
      <c r="J117" s="6">
        <v>3.56232629431644</v>
      </c>
      <c r="K117" s="6"/>
      <c r="L117" s="6"/>
      <c r="M117" s="6"/>
      <c r="N117" s="6">
        <f t="shared" ref="N117:P117" si="120">IF(LEN($C117)&gt;0,H117-E117,"")</f>
        <v>-51745.45068</v>
      </c>
      <c r="O117" s="6">
        <f t="shared" si="120"/>
        <v>-1.630007737</v>
      </c>
      <c r="P117" s="6">
        <f t="shared" si="120"/>
        <v>-0.7935658251</v>
      </c>
      <c r="Q117" s="6"/>
      <c r="R117" s="6"/>
      <c r="S117" s="6"/>
      <c r="T117" s="6"/>
      <c r="U117" s="6"/>
      <c r="V117" s="6"/>
      <c r="W117" s="6"/>
      <c r="X117" s="6"/>
      <c r="Y117" s="6"/>
      <c r="Z117" s="6"/>
      <c r="AA117" s="6"/>
      <c r="AB117" s="6"/>
      <c r="AC117" s="6"/>
      <c r="AD117" s="6"/>
      <c r="AE117" s="6"/>
      <c r="AF117" s="6"/>
      <c r="AG117" s="6"/>
    </row>
    <row r="118" ht="14.25" customHeight="1">
      <c r="A118" s="6"/>
      <c r="B118" s="6"/>
      <c r="C118" s="6">
        <v>111.0</v>
      </c>
      <c r="D118" s="6"/>
      <c r="E118" s="6">
        <v>7384494.5541911265</v>
      </c>
      <c r="F118" s="6">
        <v>431.1526929589209</v>
      </c>
      <c r="G118" s="6">
        <v>6.990783675817896</v>
      </c>
      <c r="H118" s="6">
        <v>7336419.838214573</v>
      </c>
      <c r="I118" s="6">
        <v>428.98556055197236</v>
      </c>
      <c r="J118" s="6">
        <v>5.92872626702499</v>
      </c>
      <c r="K118" s="6"/>
      <c r="L118" s="6"/>
      <c r="M118" s="6"/>
      <c r="N118" s="6">
        <f t="shared" ref="N118:P118" si="121">IF(LEN($C118)&gt;0,H118-E118,"")</f>
        <v>-48074.71598</v>
      </c>
      <c r="O118" s="6">
        <f t="shared" si="121"/>
        <v>-2.167132407</v>
      </c>
      <c r="P118" s="6">
        <f t="shared" si="121"/>
        <v>-1.062057409</v>
      </c>
      <c r="Q118" s="6"/>
      <c r="R118" s="6"/>
      <c r="S118" s="6"/>
      <c r="T118" s="6"/>
      <c r="U118" s="6"/>
      <c r="V118" s="6"/>
      <c r="W118" s="6"/>
      <c r="X118" s="6"/>
      <c r="Y118" s="6"/>
      <c r="Z118" s="6"/>
      <c r="AA118" s="6"/>
      <c r="AB118" s="6"/>
      <c r="AC118" s="6"/>
      <c r="AD118" s="6"/>
      <c r="AE118" s="6"/>
      <c r="AF118" s="6"/>
      <c r="AG118" s="6"/>
    </row>
    <row r="119" ht="14.25" customHeight="1">
      <c r="A119" s="6"/>
      <c r="B119" s="6"/>
      <c r="C119" s="6">
        <v>112.0</v>
      </c>
      <c r="D119" s="6"/>
      <c r="E119" s="6">
        <v>7253451.686518921</v>
      </c>
      <c r="F119" s="6">
        <v>472.40548955863517</v>
      </c>
      <c r="G119" s="6">
        <v>5.31897161678033</v>
      </c>
      <c r="H119" s="6">
        <v>7201219.069432116</v>
      </c>
      <c r="I119" s="6">
        <v>470.2460831164342</v>
      </c>
      <c r="J119" s="6">
        <v>4.517611698071638</v>
      </c>
      <c r="K119" s="6"/>
      <c r="L119" s="6"/>
      <c r="M119" s="6"/>
      <c r="N119" s="6">
        <f t="shared" ref="N119:P119" si="122">IF(LEN($C119)&gt;0,H119-E119,"")</f>
        <v>-52232.61709</v>
      </c>
      <c r="O119" s="6">
        <f t="shared" si="122"/>
        <v>-2.159406442</v>
      </c>
      <c r="P119" s="6">
        <f t="shared" si="122"/>
        <v>-0.8013599187</v>
      </c>
      <c r="Q119" s="6"/>
      <c r="R119" s="6"/>
      <c r="S119" s="6"/>
      <c r="T119" s="6"/>
      <c r="U119" s="6"/>
      <c r="V119" s="6"/>
      <c r="W119" s="6"/>
      <c r="X119" s="6"/>
      <c r="Y119" s="6"/>
      <c r="Z119" s="6"/>
      <c r="AA119" s="6"/>
      <c r="AB119" s="6"/>
      <c r="AC119" s="6"/>
      <c r="AD119" s="6"/>
      <c r="AE119" s="6"/>
      <c r="AF119" s="6"/>
      <c r="AG119" s="6"/>
    </row>
    <row r="120" ht="14.25" customHeight="1">
      <c r="A120" s="6"/>
      <c r="B120" s="6"/>
      <c r="C120" s="6">
        <v>113.0</v>
      </c>
      <c r="D120" s="6"/>
      <c r="E120" s="6">
        <v>6783144.682309892</v>
      </c>
      <c r="F120" s="6">
        <v>471.1183877565368</v>
      </c>
      <c r="G120" s="6">
        <v>5.703755569221086</v>
      </c>
      <c r="H120" s="6">
        <v>6697372.962523204</v>
      </c>
      <c r="I120" s="6">
        <v>466.6594870794992</v>
      </c>
      <c r="J120" s="6">
        <v>4.281166598352964</v>
      </c>
      <c r="K120" s="6"/>
      <c r="L120" s="6"/>
      <c r="M120" s="6"/>
      <c r="N120" s="6">
        <f t="shared" ref="N120:P120" si="123">IF(LEN($C120)&gt;0,H120-E120,"")</f>
        <v>-85771.71979</v>
      </c>
      <c r="O120" s="6">
        <f t="shared" si="123"/>
        <v>-4.458900677</v>
      </c>
      <c r="P120" s="6">
        <f t="shared" si="123"/>
        <v>-1.422588971</v>
      </c>
      <c r="Q120" s="6"/>
      <c r="R120" s="6"/>
      <c r="S120" s="6"/>
      <c r="T120" s="6"/>
      <c r="U120" s="6"/>
      <c r="V120" s="6"/>
      <c r="W120" s="6"/>
      <c r="X120" s="6"/>
      <c r="Y120" s="6"/>
      <c r="Z120" s="6"/>
      <c r="AA120" s="6"/>
      <c r="AB120" s="6"/>
      <c r="AC120" s="6"/>
      <c r="AD120" s="6"/>
      <c r="AE120" s="6"/>
      <c r="AF120" s="6"/>
      <c r="AG120" s="6"/>
    </row>
    <row r="121" ht="14.25" customHeight="1">
      <c r="A121" s="6"/>
      <c r="B121" s="6"/>
      <c r="C121" s="6">
        <v>114.0</v>
      </c>
      <c r="D121" s="6"/>
      <c r="E121" s="6">
        <v>6984232.899940798</v>
      </c>
      <c r="F121" s="6">
        <v>478.85984060923084</v>
      </c>
      <c r="G121" s="6">
        <v>4.619362240886177</v>
      </c>
      <c r="H121" s="6">
        <v>6902302.082301203</v>
      </c>
      <c r="I121" s="6">
        <v>475.47286896393376</v>
      </c>
      <c r="J121" s="6">
        <v>3.6415203652459143</v>
      </c>
      <c r="K121" s="6"/>
      <c r="L121" s="6"/>
      <c r="M121" s="6"/>
      <c r="N121" s="6">
        <f t="shared" ref="N121:P121" si="124">IF(LEN($C121)&gt;0,H121-E121,"")</f>
        <v>-81930.81764</v>
      </c>
      <c r="O121" s="6">
        <f t="shared" si="124"/>
        <v>-3.386971645</v>
      </c>
      <c r="P121" s="6">
        <f t="shared" si="124"/>
        <v>-0.9778418756</v>
      </c>
      <c r="Q121" s="6"/>
      <c r="R121" s="6"/>
      <c r="S121" s="6"/>
      <c r="T121" s="6"/>
      <c r="U121" s="6"/>
      <c r="V121" s="6"/>
      <c r="W121" s="6"/>
      <c r="X121" s="6"/>
      <c r="Y121" s="6"/>
      <c r="Z121" s="6"/>
      <c r="AA121" s="6"/>
      <c r="AB121" s="6"/>
      <c r="AC121" s="6"/>
      <c r="AD121" s="6"/>
      <c r="AE121" s="6"/>
      <c r="AF121" s="6"/>
      <c r="AG121" s="6"/>
    </row>
    <row r="122" ht="14.25" customHeight="1">
      <c r="A122" s="6"/>
      <c r="B122" s="6"/>
      <c r="C122" s="6">
        <v>115.0</v>
      </c>
      <c r="D122" s="6"/>
      <c r="E122" s="6">
        <v>6449965.674557113</v>
      </c>
      <c r="F122" s="6">
        <v>488.58721210984083</v>
      </c>
      <c r="G122" s="6">
        <v>6.209651699318083</v>
      </c>
      <c r="H122" s="6">
        <v>6302265.366600797</v>
      </c>
      <c r="I122" s="6">
        <v>483.8397215610412</v>
      </c>
      <c r="J122" s="6">
        <v>4.350529682125355</v>
      </c>
      <c r="K122" s="6"/>
      <c r="L122" s="6"/>
      <c r="M122" s="6"/>
      <c r="N122" s="6">
        <f t="shared" ref="N122:P122" si="125">IF(LEN($C122)&gt;0,H122-E122,"")</f>
        <v>-147700.308</v>
      </c>
      <c r="O122" s="6">
        <f t="shared" si="125"/>
        <v>-4.747490549</v>
      </c>
      <c r="P122" s="6">
        <f t="shared" si="125"/>
        <v>-1.859122017</v>
      </c>
      <c r="Q122" s="6"/>
      <c r="R122" s="6"/>
      <c r="S122" s="6"/>
      <c r="T122" s="6"/>
      <c r="U122" s="6"/>
      <c r="V122" s="6"/>
      <c r="W122" s="6"/>
      <c r="X122" s="6"/>
      <c r="Y122" s="6"/>
      <c r="Z122" s="6"/>
      <c r="AA122" s="6"/>
      <c r="AB122" s="6"/>
      <c r="AC122" s="6"/>
      <c r="AD122" s="6"/>
      <c r="AE122" s="6"/>
      <c r="AF122" s="6"/>
      <c r="AG122" s="6"/>
    </row>
    <row r="123" ht="14.25" customHeight="1">
      <c r="A123" s="6"/>
      <c r="B123" s="6"/>
      <c r="C123" s="6">
        <v>116.0</v>
      </c>
      <c r="D123" s="6"/>
      <c r="E123" s="6">
        <v>6856429.542019179</v>
      </c>
      <c r="F123" s="6">
        <v>449.06893131485856</v>
      </c>
      <c r="G123" s="6">
        <v>4.750513171858104</v>
      </c>
      <c r="H123" s="6">
        <v>6766991.712062001</v>
      </c>
      <c r="I123" s="6">
        <v>446.2637159945673</v>
      </c>
      <c r="J123" s="6">
        <v>3.714068788777628</v>
      </c>
      <c r="K123" s="6"/>
      <c r="L123" s="6"/>
      <c r="M123" s="6"/>
      <c r="N123" s="6">
        <f t="shared" ref="N123:P123" si="126">IF(LEN($C123)&gt;0,H123-E123,"")</f>
        <v>-89437.82996</v>
      </c>
      <c r="O123" s="6">
        <f t="shared" si="126"/>
        <v>-2.80521532</v>
      </c>
      <c r="P123" s="6">
        <f t="shared" si="126"/>
        <v>-1.036444383</v>
      </c>
      <c r="Q123" s="6"/>
      <c r="R123" s="6"/>
      <c r="S123" s="6"/>
      <c r="T123" s="6"/>
      <c r="U123" s="6"/>
      <c r="V123" s="6"/>
      <c r="W123" s="6"/>
      <c r="X123" s="6"/>
      <c r="Y123" s="6"/>
      <c r="Z123" s="6"/>
      <c r="AA123" s="6"/>
      <c r="AB123" s="6"/>
      <c r="AC123" s="6"/>
      <c r="AD123" s="6"/>
      <c r="AE123" s="6"/>
      <c r="AF123" s="6"/>
      <c r="AG123" s="6"/>
    </row>
    <row r="124" ht="14.25" customHeight="1">
      <c r="A124" s="6"/>
      <c r="B124" s="6"/>
      <c r="C124" s="6">
        <v>117.0</v>
      </c>
      <c r="D124" s="6"/>
      <c r="E124" s="6">
        <v>8134606.707739028</v>
      </c>
      <c r="F124" s="6">
        <v>491.554156256068</v>
      </c>
      <c r="G124" s="6">
        <v>4.929690202321228</v>
      </c>
      <c r="H124" s="6">
        <v>8023496.579915054</v>
      </c>
      <c r="I124" s="6">
        <v>488.09499871720095</v>
      </c>
      <c r="J124" s="6">
        <v>3.9071065214566976</v>
      </c>
      <c r="K124" s="6"/>
      <c r="L124" s="6"/>
      <c r="M124" s="6"/>
      <c r="N124" s="6">
        <f t="shared" ref="N124:P124" si="127">IF(LEN($C124)&gt;0,H124-E124,"")</f>
        <v>-111110.1278</v>
      </c>
      <c r="O124" s="6">
        <f t="shared" si="127"/>
        <v>-3.459157539</v>
      </c>
      <c r="P124" s="6">
        <f t="shared" si="127"/>
        <v>-1.022583681</v>
      </c>
      <c r="Q124" s="6"/>
      <c r="R124" s="6"/>
      <c r="S124" s="6"/>
      <c r="T124" s="6"/>
      <c r="U124" s="6"/>
      <c r="V124" s="6"/>
      <c r="W124" s="6"/>
      <c r="X124" s="6"/>
      <c r="Y124" s="6"/>
      <c r="Z124" s="6"/>
      <c r="AA124" s="6"/>
      <c r="AB124" s="6"/>
      <c r="AC124" s="6"/>
      <c r="AD124" s="6"/>
      <c r="AE124" s="6"/>
      <c r="AF124" s="6"/>
      <c r="AG124" s="6"/>
    </row>
    <row r="125" ht="14.25" customHeight="1">
      <c r="A125" s="6"/>
      <c r="B125" s="6"/>
      <c r="C125" s="6">
        <v>118.0</v>
      </c>
      <c r="D125" s="6"/>
      <c r="E125" s="6">
        <v>9122780.618670447</v>
      </c>
      <c r="F125" s="6">
        <v>490.9756639006905</v>
      </c>
      <c r="G125" s="6">
        <v>4.668868696947761</v>
      </c>
      <c r="H125" s="6">
        <v>9047653.4526466</v>
      </c>
      <c r="I125" s="6">
        <v>487.59286913052387</v>
      </c>
      <c r="J125" s="6">
        <v>3.6962315714672327</v>
      </c>
      <c r="K125" s="6"/>
      <c r="L125" s="6"/>
      <c r="M125" s="6"/>
      <c r="N125" s="6">
        <f t="shared" ref="N125:P125" si="128">IF(LEN($C125)&gt;0,H125-E125,"")</f>
        <v>-75127.16602</v>
      </c>
      <c r="O125" s="6">
        <f t="shared" si="128"/>
        <v>-3.38279477</v>
      </c>
      <c r="P125" s="6">
        <f t="shared" si="128"/>
        <v>-0.9726371255</v>
      </c>
      <c r="Q125" s="6"/>
      <c r="R125" s="6"/>
      <c r="S125" s="6"/>
      <c r="T125" s="6"/>
      <c r="U125" s="6"/>
      <c r="V125" s="6"/>
      <c r="W125" s="6"/>
      <c r="X125" s="6"/>
      <c r="Y125" s="6"/>
      <c r="Z125" s="6"/>
      <c r="AA125" s="6"/>
      <c r="AB125" s="6"/>
      <c r="AC125" s="6"/>
      <c r="AD125" s="6"/>
      <c r="AE125" s="6"/>
      <c r="AF125" s="6"/>
      <c r="AG125" s="6"/>
    </row>
    <row r="126" ht="14.25" customHeight="1">
      <c r="A126" s="6"/>
      <c r="B126" s="6"/>
      <c r="C126" s="6">
        <v>119.0</v>
      </c>
      <c r="D126" s="6"/>
      <c r="E126" s="6">
        <v>8332439.507957939</v>
      </c>
      <c r="F126" s="6">
        <v>443.8573581587292</v>
      </c>
      <c r="G126" s="6">
        <v>5.291461292735337</v>
      </c>
      <c r="H126" s="6">
        <v>8205449.3244950585</v>
      </c>
      <c r="I126" s="6">
        <v>439.1192036667191</v>
      </c>
      <c r="J126" s="6">
        <v>3.593921058372695</v>
      </c>
      <c r="K126" s="6"/>
      <c r="L126" s="6"/>
      <c r="M126" s="6"/>
      <c r="N126" s="6">
        <f t="shared" ref="N126:P126" si="129">IF(LEN($C126)&gt;0,H126-E126,"")</f>
        <v>-126990.1835</v>
      </c>
      <c r="O126" s="6">
        <f t="shared" si="129"/>
        <v>-4.738154492</v>
      </c>
      <c r="P126" s="6">
        <f t="shared" si="129"/>
        <v>-1.697540234</v>
      </c>
      <c r="Q126" s="6"/>
      <c r="R126" s="6"/>
      <c r="S126" s="6"/>
      <c r="T126" s="6"/>
      <c r="U126" s="6"/>
      <c r="V126" s="6"/>
      <c r="W126" s="6"/>
      <c r="X126" s="6"/>
      <c r="Y126" s="6"/>
      <c r="Z126" s="6"/>
      <c r="AA126" s="6"/>
      <c r="AB126" s="6"/>
      <c r="AC126" s="6"/>
      <c r="AD126" s="6"/>
      <c r="AE126" s="6"/>
      <c r="AF126" s="6"/>
      <c r="AG126" s="6"/>
    </row>
    <row r="127" ht="14.25" customHeight="1">
      <c r="A127" s="6"/>
      <c r="B127" s="6"/>
      <c r="C127" s="6">
        <v>120.0</v>
      </c>
      <c r="D127" s="6"/>
      <c r="E127" s="6">
        <v>6643878.955545441</v>
      </c>
      <c r="F127" s="6">
        <v>454.68463858748106</v>
      </c>
      <c r="G127" s="6">
        <v>5.513300412950907</v>
      </c>
      <c r="H127" s="6">
        <v>6525805.278988956</v>
      </c>
      <c r="I127" s="6">
        <v>449.1622370934036</v>
      </c>
      <c r="J127" s="6">
        <v>4.469546146028613</v>
      </c>
      <c r="K127" s="6"/>
      <c r="L127" s="6"/>
      <c r="M127" s="6"/>
      <c r="N127" s="6">
        <f t="shared" ref="N127:P127" si="130">IF(LEN($C127)&gt;0,H127-E127,"")</f>
        <v>-118073.6766</v>
      </c>
      <c r="O127" s="6">
        <f t="shared" si="130"/>
        <v>-5.522401494</v>
      </c>
      <c r="P127" s="6">
        <f t="shared" si="130"/>
        <v>-1.043754267</v>
      </c>
      <c r="Q127" s="6"/>
      <c r="R127" s="6"/>
      <c r="S127" s="6"/>
      <c r="T127" s="6"/>
      <c r="U127" s="6"/>
      <c r="V127" s="6"/>
      <c r="W127" s="6"/>
      <c r="X127" s="6"/>
      <c r="Y127" s="6"/>
      <c r="Z127" s="6"/>
      <c r="AA127" s="6"/>
      <c r="AB127" s="6"/>
      <c r="AC127" s="6"/>
      <c r="AD127" s="6"/>
      <c r="AE127" s="6"/>
      <c r="AF127" s="6"/>
      <c r="AG127" s="6"/>
    </row>
    <row r="128" ht="14.25" customHeight="1">
      <c r="A128" s="6"/>
      <c r="B128" s="6"/>
      <c r="C128" s="6">
        <v>121.0</v>
      </c>
      <c r="D128" s="6"/>
      <c r="E128" s="6">
        <v>7860467.771420533</v>
      </c>
      <c r="F128" s="6">
        <v>450.6993803531861</v>
      </c>
      <c r="G128" s="6">
        <v>5.259543576365228</v>
      </c>
      <c r="H128" s="6">
        <v>7751730.178290874</v>
      </c>
      <c r="I128" s="6">
        <v>443.96219054185906</v>
      </c>
      <c r="J128" s="6">
        <v>3.5206015950221046</v>
      </c>
      <c r="K128" s="6"/>
      <c r="L128" s="6"/>
      <c r="M128" s="6"/>
      <c r="N128" s="6">
        <f t="shared" ref="N128:P128" si="131">IF(LEN($C128)&gt;0,H128-E128,"")</f>
        <v>-108737.5931</v>
      </c>
      <c r="O128" s="6">
        <f t="shared" si="131"/>
        <v>-6.737189811</v>
      </c>
      <c r="P128" s="6">
        <f t="shared" si="131"/>
        <v>-1.738941981</v>
      </c>
      <c r="Q128" s="6"/>
      <c r="R128" s="6"/>
      <c r="S128" s="6"/>
      <c r="T128" s="6"/>
      <c r="U128" s="6"/>
      <c r="V128" s="6"/>
      <c r="W128" s="6"/>
      <c r="X128" s="6"/>
      <c r="Y128" s="6"/>
      <c r="Z128" s="6"/>
      <c r="AA128" s="6"/>
      <c r="AB128" s="6"/>
      <c r="AC128" s="6"/>
      <c r="AD128" s="6"/>
      <c r="AE128" s="6"/>
      <c r="AF128" s="6"/>
      <c r="AG128" s="6"/>
    </row>
    <row r="129" ht="14.25" customHeight="1">
      <c r="A129" s="6"/>
      <c r="B129" s="6"/>
      <c r="C129" s="6">
        <v>122.0</v>
      </c>
      <c r="D129" s="6"/>
      <c r="E129" s="6">
        <v>6605987.832094947</v>
      </c>
      <c r="F129" s="6">
        <v>483.0914715480672</v>
      </c>
      <c r="G129" s="6">
        <v>5.4316565589710954</v>
      </c>
      <c r="H129" s="6">
        <v>6528553.93689249</v>
      </c>
      <c r="I129" s="6">
        <v>480.5405659880916</v>
      </c>
      <c r="J129" s="6">
        <v>3.9425655118099807</v>
      </c>
      <c r="K129" s="6"/>
      <c r="L129" s="6"/>
      <c r="M129" s="6"/>
      <c r="N129" s="6">
        <f t="shared" ref="N129:P129" si="132">IF(LEN($C129)&gt;0,H129-E129,"")</f>
        <v>-77433.8952</v>
      </c>
      <c r="O129" s="6">
        <f t="shared" si="132"/>
        <v>-2.55090556</v>
      </c>
      <c r="P129" s="6">
        <f t="shared" si="132"/>
        <v>-1.489091047</v>
      </c>
      <c r="Q129" s="6"/>
      <c r="R129" s="6"/>
      <c r="S129" s="6"/>
      <c r="T129" s="6"/>
      <c r="U129" s="6"/>
      <c r="V129" s="6"/>
      <c r="W129" s="6"/>
      <c r="X129" s="6"/>
      <c r="Y129" s="6"/>
      <c r="Z129" s="6"/>
      <c r="AA129" s="6"/>
      <c r="AB129" s="6"/>
      <c r="AC129" s="6"/>
      <c r="AD129" s="6"/>
      <c r="AE129" s="6"/>
      <c r="AF129" s="6"/>
      <c r="AG129" s="6"/>
    </row>
    <row r="130" ht="14.25" customHeight="1">
      <c r="A130" s="6"/>
      <c r="B130" s="6"/>
      <c r="C130" s="6">
        <v>123.0</v>
      </c>
      <c r="D130" s="6"/>
      <c r="E130" s="6">
        <v>7414139.599964145</v>
      </c>
      <c r="F130" s="6">
        <v>469.03207352328565</v>
      </c>
      <c r="G130" s="6">
        <v>4.445542883670694</v>
      </c>
      <c r="H130" s="6">
        <v>7323505.4100676095</v>
      </c>
      <c r="I130" s="6">
        <v>465.1725676242465</v>
      </c>
      <c r="J130" s="6">
        <v>3.436747411809921</v>
      </c>
      <c r="K130" s="6"/>
      <c r="L130" s="6"/>
      <c r="M130" s="6"/>
      <c r="N130" s="6">
        <f t="shared" ref="N130:P130" si="133">IF(LEN($C130)&gt;0,H130-E130,"")</f>
        <v>-90634.1899</v>
      </c>
      <c r="O130" s="6">
        <f t="shared" si="133"/>
        <v>-3.859505899</v>
      </c>
      <c r="P130" s="6">
        <f t="shared" si="133"/>
        <v>-1.008795472</v>
      </c>
      <c r="Q130" s="6"/>
      <c r="R130" s="6"/>
      <c r="S130" s="6"/>
      <c r="T130" s="6"/>
      <c r="U130" s="6"/>
      <c r="V130" s="6"/>
      <c r="W130" s="6"/>
      <c r="X130" s="6"/>
      <c r="Y130" s="6"/>
      <c r="Z130" s="6"/>
      <c r="AA130" s="6"/>
      <c r="AB130" s="6"/>
      <c r="AC130" s="6"/>
      <c r="AD130" s="6"/>
      <c r="AE130" s="6"/>
      <c r="AF130" s="6"/>
      <c r="AG130" s="6"/>
    </row>
    <row r="131" ht="14.25" customHeight="1">
      <c r="A131" s="6"/>
      <c r="B131" s="6"/>
      <c r="C131" s="6">
        <v>124.0</v>
      </c>
      <c r="D131" s="6"/>
      <c r="E131" s="6">
        <v>7123685.43001015</v>
      </c>
      <c r="F131" s="6">
        <v>455.6763435682422</v>
      </c>
      <c r="G131" s="6">
        <v>4.348188877427928</v>
      </c>
      <c r="H131" s="6">
        <v>7066071.160002807</v>
      </c>
      <c r="I131" s="6">
        <v>453.9423750189198</v>
      </c>
      <c r="J131" s="6">
        <v>3.58880183465124</v>
      </c>
      <c r="K131" s="6"/>
      <c r="L131" s="6"/>
      <c r="M131" s="6"/>
      <c r="N131" s="6">
        <f t="shared" ref="N131:P131" si="134">IF(LEN($C131)&gt;0,H131-E131,"")</f>
        <v>-57614.27001</v>
      </c>
      <c r="O131" s="6">
        <f t="shared" si="134"/>
        <v>-1.733968549</v>
      </c>
      <c r="P131" s="6">
        <f t="shared" si="134"/>
        <v>-0.7593870428</v>
      </c>
      <c r="Q131" s="6"/>
      <c r="R131" s="6"/>
      <c r="S131" s="6"/>
      <c r="T131" s="6"/>
      <c r="U131" s="6"/>
      <c r="V131" s="6"/>
      <c r="W131" s="6"/>
      <c r="X131" s="6"/>
      <c r="Y131" s="6"/>
      <c r="Z131" s="6"/>
      <c r="AA131" s="6"/>
      <c r="AB131" s="6"/>
      <c r="AC131" s="6"/>
      <c r="AD131" s="6"/>
      <c r="AE131" s="6"/>
      <c r="AF131" s="6"/>
      <c r="AG131" s="6"/>
    </row>
    <row r="132" ht="14.25" customHeight="1">
      <c r="A132" s="6"/>
      <c r="B132" s="6"/>
      <c r="C132" s="6">
        <v>125.0</v>
      </c>
      <c r="D132" s="6"/>
      <c r="E132" s="6">
        <v>7492549.43368879</v>
      </c>
      <c r="F132" s="6">
        <v>498.0440151474541</v>
      </c>
      <c r="G132" s="6">
        <v>5.011414370529296</v>
      </c>
      <c r="H132" s="6">
        <v>7406153.096525202</v>
      </c>
      <c r="I132" s="6">
        <v>494.0120028486212</v>
      </c>
      <c r="J132" s="6">
        <v>3.861734601560043</v>
      </c>
      <c r="K132" s="6"/>
      <c r="L132" s="6"/>
      <c r="M132" s="6"/>
      <c r="N132" s="6">
        <f t="shared" ref="N132:P132" si="135">IF(LEN($C132)&gt;0,H132-E132,"")</f>
        <v>-86396.33716</v>
      </c>
      <c r="O132" s="6">
        <f t="shared" si="135"/>
        <v>-4.032012299</v>
      </c>
      <c r="P132" s="6">
        <f t="shared" si="135"/>
        <v>-1.149679769</v>
      </c>
      <c r="Q132" s="6"/>
      <c r="R132" s="6"/>
      <c r="S132" s="6"/>
      <c r="T132" s="6"/>
      <c r="U132" s="6"/>
      <c r="V132" s="6"/>
      <c r="W132" s="6"/>
      <c r="X132" s="6"/>
      <c r="Y132" s="6"/>
      <c r="Z132" s="6"/>
      <c r="AA132" s="6"/>
      <c r="AB132" s="6"/>
      <c r="AC132" s="6"/>
      <c r="AD132" s="6"/>
      <c r="AE132" s="6"/>
      <c r="AF132" s="6"/>
      <c r="AG132" s="6"/>
    </row>
    <row r="133" ht="14.25" customHeight="1">
      <c r="A133" s="6"/>
      <c r="B133" s="6"/>
      <c r="C133" s="6">
        <v>126.0</v>
      </c>
      <c r="D133" s="6"/>
      <c r="E133" s="6">
        <v>6225139.95379587</v>
      </c>
      <c r="F133" s="6">
        <v>496.6092287481923</v>
      </c>
      <c r="G133" s="6">
        <v>4.788721261306615</v>
      </c>
      <c r="H133" s="6">
        <v>6139865.80044511</v>
      </c>
      <c r="I133" s="6">
        <v>493.01669761738134</v>
      </c>
      <c r="J133" s="6">
        <v>3.4263948723540962</v>
      </c>
      <c r="K133" s="6"/>
      <c r="L133" s="6"/>
      <c r="M133" s="6"/>
      <c r="N133" s="6">
        <f t="shared" ref="N133:P133" si="136">IF(LEN($C133)&gt;0,H133-E133,"")</f>
        <v>-85274.15335</v>
      </c>
      <c r="O133" s="6">
        <f t="shared" si="136"/>
        <v>-3.592531131</v>
      </c>
      <c r="P133" s="6">
        <f t="shared" si="136"/>
        <v>-1.362326389</v>
      </c>
      <c r="Q133" s="6"/>
      <c r="R133" s="6"/>
      <c r="S133" s="6"/>
      <c r="T133" s="6"/>
      <c r="U133" s="6"/>
      <c r="V133" s="6"/>
      <c r="W133" s="6"/>
      <c r="X133" s="6"/>
      <c r="Y133" s="6"/>
      <c r="Z133" s="6"/>
      <c r="AA133" s="6"/>
      <c r="AB133" s="6"/>
      <c r="AC133" s="6"/>
      <c r="AD133" s="6"/>
      <c r="AE133" s="6"/>
      <c r="AF133" s="6"/>
      <c r="AG133" s="6"/>
    </row>
    <row r="134" ht="14.25" customHeight="1">
      <c r="A134" s="6"/>
      <c r="B134" s="6"/>
      <c r="C134" s="6">
        <v>127.0</v>
      </c>
      <c r="D134" s="6"/>
      <c r="E134" s="6">
        <v>9259218.825135447</v>
      </c>
      <c r="F134" s="6">
        <v>496.0005020043394</v>
      </c>
      <c r="G134" s="6">
        <v>4.874292421087446</v>
      </c>
      <c r="H134" s="6">
        <v>9029189.680786075</v>
      </c>
      <c r="I134" s="6">
        <v>488.250483914072</v>
      </c>
      <c r="J134" s="6">
        <v>3.2943072762740764</v>
      </c>
      <c r="K134" s="6"/>
      <c r="L134" s="6"/>
      <c r="M134" s="6"/>
      <c r="N134" s="6">
        <f t="shared" ref="N134:P134" si="137">IF(LEN($C134)&gt;0,H134-E134,"")</f>
        <v>-230029.1443</v>
      </c>
      <c r="O134" s="6">
        <f t="shared" si="137"/>
        <v>-7.75001809</v>
      </c>
      <c r="P134" s="6">
        <f t="shared" si="137"/>
        <v>-1.579985145</v>
      </c>
      <c r="Q134" s="6"/>
      <c r="R134" s="6"/>
      <c r="S134" s="6"/>
      <c r="T134" s="6"/>
      <c r="U134" s="6"/>
      <c r="V134" s="6"/>
      <c r="W134" s="6"/>
      <c r="X134" s="6"/>
      <c r="Y134" s="6"/>
      <c r="Z134" s="6"/>
      <c r="AA134" s="6"/>
      <c r="AB134" s="6"/>
      <c r="AC134" s="6"/>
      <c r="AD134" s="6"/>
      <c r="AE134" s="6"/>
      <c r="AF134" s="6"/>
      <c r="AG134" s="6"/>
    </row>
    <row r="135" ht="14.25" customHeight="1">
      <c r="A135" s="6"/>
      <c r="B135" s="6"/>
      <c r="C135" s="6">
        <v>128.0</v>
      </c>
      <c r="D135" s="6"/>
      <c r="E135" s="6">
        <v>7906909.893153557</v>
      </c>
      <c r="F135" s="6">
        <v>495.3153206005177</v>
      </c>
      <c r="G135" s="6">
        <v>5.142181428790802</v>
      </c>
      <c r="H135" s="6">
        <v>7779838.025820701</v>
      </c>
      <c r="I135" s="6">
        <v>490.69383464571354</v>
      </c>
      <c r="J135" s="6">
        <v>4.004676079459516</v>
      </c>
      <c r="K135" s="6"/>
      <c r="L135" s="6"/>
      <c r="M135" s="6"/>
      <c r="N135" s="6">
        <f t="shared" ref="N135:P135" si="138">IF(LEN($C135)&gt;0,H135-E135,"")</f>
        <v>-127071.8673</v>
      </c>
      <c r="O135" s="6">
        <f t="shared" si="138"/>
        <v>-4.621485955</v>
      </c>
      <c r="P135" s="6">
        <f t="shared" si="138"/>
        <v>-1.137505349</v>
      </c>
      <c r="Q135" s="6"/>
      <c r="R135" s="6"/>
      <c r="S135" s="6"/>
      <c r="T135" s="6"/>
      <c r="U135" s="6"/>
      <c r="V135" s="6"/>
      <c r="W135" s="6"/>
      <c r="X135" s="6"/>
      <c r="Y135" s="6"/>
      <c r="Z135" s="6"/>
      <c r="AA135" s="6"/>
      <c r="AB135" s="6"/>
      <c r="AC135" s="6"/>
      <c r="AD135" s="6"/>
      <c r="AE135" s="6"/>
      <c r="AF135" s="6"/>
      <c r="AG135" s="6"/>
    </row>
    <row r="136" ht="14.25" customHeight="1">
      <c r="A136" s="6"/>
      <c r="B136" s="6"/>
      <c r="C136" s="6">
        <v>129.0</v>
      </c>
      <c r="D136" s="6"/>
      <c r="E136" s="6">
        <v>7708478.030870085</v>
      </c>
      <c r="F136" s="6">
        <v>448.2664528776608</v>
      </c>
      <c r="G136" s="6">
        <v>6.36511796348055</v>
      </c>
      <c r="H136" s="6">
        <v>7635630.800680497</v>
      </c>
      <c r="I136" s="6">
        <v>446.2418511686759</v>
      </c>
      <c r="J136" s="6">
        <v>5.207536038311321</v>
      </c>
      <c r="K136" s="6"/>
      <c r="L136" s="6"/>
      <c r="M136" s="6"/>
      <c r="N136" s="6">
        <f t="shared" ref="N136:P136" si="139">IF(LEN($C136)&gt;0,H136-E136,"")</f>
        <v>-72847.23019</v>
      </c>
      <c r="O136" s="6">
        <f t="shared" si="139"/>
        <v>-2.024601709</v>
      </c>
      <c r="P136" s="6">
        <f t="shared" si="139"/>
        <v>-1.157581925</v>
      </c>
      <c r="Q136" s="6"/>
      <c r="R136" s="6"/>
      <c r="S136" s="6"/>
      <c r="T136" s="6"/>
      <c r="U136" s="6"/>
      <c r="V136" s="6"/>
      <c r="W136" s="6"/>
      <c r="X136" s="6"/>
      <c r="Y136" s="6"/>
      <c r="Z136" s="6"/>
      <c r="AA136" s="6"/>
      <c r="AB136" s="6"/>
      <c r="AC136" s="6"/>
      <c r="AD136" s="6"/>
      <c r="AE136" s="6"/>
      <c r="AF136" s="6"/>
      <c r="AG136" s="6"/>
    </row>
    <row r="137" ht="14.25" customHeight="1">
      <c r="A137" s="6"/>
      <c r="B137" s="6"/>
      <c r="C137" s="6">
        <v>130.0</v>
      </c>
      <c r="D137" s="6"/>
      <c r="E137" s="6">
        <v>7186403.940441421</v>
      </c>
      <c r="F137" s="6">
        <v>452.1063889952285</v>
      </c>
      <c r="G137" s="6">
        <v>6.030074092710722</v>
      </c>
      <c r="H137" s="6">
        <v>7044637.220507153</v>
      </c>
      <c r="I137" s="6">
        <v>446.7835920034703</v>
      </c>
      <c r="J137" s="6">
        <v>4.527034407668762</v>
      </c>
      <c r="K137" s="6"/>
      <c r="L137" s="6"/>
      <c r="M137" s="6"/>
      <c r="N137" s="6">
        <f t="shared" ref="N137:P137" si="140">IF(LEN($C137)&gt;0,H137-E137,"")</f>
        <v>-141766.7199</v>
      </c>
      <c r="O137" s="6">
        <f t="shared" si="140"/>
        <v>-5.322796992</v>
      </c>
      <c r="P137" s="6">
        <f t="shared" si="140"/>
        <v>-1.503039685</v>
      </c>
      <c r="Q137" s="6"/>
      <c r="R137" s="6"/>
      <c r="S137" s="6"/>
      <c r="T137" s="6"/>
      <c r="U137" s="6"/>
      <c r="V137" s="6"/>
      <c r="W137" s="6"/>
      <c r="X137" s="6"/>
      <c r="Y137" s="6"/>
      <c r="Z137" s="6"/>
      <c r="AA137" s="6"/>
      <c r="AB137" s="6"/>
      <c r="AC137" s="6"/>
      <c r="AD137" s="6"/>
      <c r="AE137" s="6"/>
      <c r="AF137" s="6"/>
      <c r="AG137" s="6"/>
    </row>
    <row r="138" ht="14.25" customHeight="1">
      <c r="A138" s="6"/>
      <c r="B138" s="6"/>
      <c r="C138" s="6">
        <v>131.0</v>
      </c>
      <c r="D138" s="6"/>
      <c r="E138" s="6">
        <v>7127485.856857059</v>
      </c>
      <c r="F138" s="6">
        <v>440.98494830918725</v>
      </c>
      <c r="G138" s="6">
        <v>4.3607658033325425</v>
      </c>
      <c r="H138" s="6">
        <v>6959113.986217866</v>
      </c>
      <c r="I138" s="6">
        <v>433.88040769194276</v>
      </c>
      <c r="J138" s="6">
        <v>2.615396564947388</v>
      </c>
      <c r="K138" s="6"/>
      <c r="L138" s="6"/>
      <c r="M138" s="6"/>
      <c r="N138" s="6">
        <f t="shared" ref="N138:P138" si="141">IF(LEN($C138)&gt;0,H138-E138,"")</f>
        <v>-168371.8706</v>
      </c>
      <c r="O138" s="6">
        <f t="shared" si="141"/>
        <v>-7.104540617</v>
      </c>
      <c r="P138" s="6">
        <f t="shared" si="141"/>
        <v>-1.745369238</v>
      </c>
      <c r="Q138" s="6"/>
      <c r="R138" s="6"/>
      <c r="S138" s="6"/>
      <c r="T138" s="6"/>
      <c r="U138" s="6"/>
      <c r="V138" s="6"/>
      <c r="W138" s="6"/>
      <c r="X138" s="6"/>
      <c r="Y138" s="6"/>
      <c r="Z138" s="6"/>
      <c r="AA138" s="6"/>
      <c r="AB138" s="6"/>
      <c r="AC138" s="6"/>
      <c r="AD138" s="6"/>
      <c r="AE138" s="6"/>
      <c r="AF138" s="6"/>
      <c r="AG138" s="6"/>
    </row>
    <row r="139" ht="14.25" customHeight="1">
      <c r="A139" s="6"/>
      <c r="B139" s="6"/>
      <c r="C139" s="6">
        <v>132.0</v>
      </c>
      <c r="D139" s="6"/>
      <c r="E139" s="6">
        <v>6229848.909525587</v>
      </c>
      <c r="F139" s="6">
        <v>492.578398654053</v>
      </c>
      <c r="G139" s="6">
        <v>5.291036655051119</v>
      </c>
      <c r="H139" s="6">
        <v>6100487.253127218</v>
      </c>
      <c r="I139" s="6">
        <v>487.43723506613895</v>
      </c>
      <c r="J139" s="6">
        <v>3.8337659116757217</v>
      </c>
      <c r="K139" s="6"/>
      <c r="L139" s="6"/>
      <c r="M139" s="6"/>
      <c r="N139" s="6">
        <f t="shared" ref="N139:P139" si="142">IF(LEN($C139)&gt;0,H139-E139,"")</f>
        <v>-129361.6564</v>
      </c>
      <c r="O139" s="6">
        <f t="shared" si="142"/>
        <v>-5.141163588</v>
      </c>
      <c r="P139" s="6">
        <f t="shared" si="142"/>
        <v>-1.457270743</v>
      </c>
      <c r="Q139" s="6"/>
      <c r="R139" s="6"/>
      <c r="S139" s="6"/>
      <c r="T139" s="6"/>
      <c r="U139" s="6"/>
      <c r="V139" s="6"/>
      <c r="W139" s="6"/>
      <c r="X139" s="6"/>
      <c r="Y139" s="6"/>
      <c r="Z139" s="6"/>
      <c r="AA139" s="6"/>
      <c r="AB139" s="6"/>
      <c r="AC139" s="6"/>
      <c r="AD139" s="6"/>
      <c r="AE139" s="6"/>
      <c r="AF139" s="6"/>
      <c r="AG139" s="6"/>
    </row>
    <row r="140" ht="14.25" customHeight="1">
      <c r="A140" s="6"/>
      <c r="B140" s="6"/>
      <c r="C140" s="6">
        <v>133.0</v>
      </c>
      <c r="D140" s="6"/>
      <c r="E140" s="6">
        <v>6447879.224497496</v>
      </c>
      <c r="F140" s="6">
        <v>436.7680854245214</v>
      </c>
      <c r="G140" s="6">
        <v>5.402337392527227</v>
      </c>
      <c r="H140" s="6">
        <v>6364437.190469997</v>
      </c>
      <c r="I140" s="6">
        <v>433.098653151498</v>
      </c>
      <c r="J140" s="6">
        <v>3.906449044667474</v>
      </c>
      <c r="K140" s="6"/>
      <c r="L140" s="6"/>
      <c r="M140" s="6"/>
      <c r="N140" s="6">
        <f t="shared" ref="N140:P140" si="143">IF(LEN($C140)&gt;0,H140-E140,"")</f>
        <v>-83442.03403</v>
      </c>
      <c r="O140" s="6">
        <f t="shared" si="143"/>
        <v>-3.669432273</v>
      </c>
      <c r="P140" s="6">
        <f t="shared" si="143"/>
        <v>-1.495888348</v>
      </c>
      <c r="Q140" s="6"/>
      <c r="R140" s="6"/>
      <c r="S140" s="6"/>
      <c r="T140" s="6"/>
      <c r="U140" s="6"/>
      <c r="V140" s="6"/>
      <c r="W140" s="6"/>
      <c r="X140" s="6"/>
      <c r="Y140" s="6"/>
      <c r="Z140" s="6"/>
      <c r="AA140" s="6"/>
      <c r="AB140" s="6"/>
      <c r="AC140" s="6"/>
      <c r="AD140" s="6"/>
      <c r="AE140" s="6"/>
      <c r="AF140" s="6"/>
      <c r="AG140" s="6"/>
    </row>
    <row r="141" ht="14.25" customHeight="1">
      <c r="A141" s="6"/>
      <c r="B141" s="6"/>
      <c r="C141" s="6">
        <v>134.0</v>
      </c>
      <c r="D141" s="6"/>
      <c r="E141" s="6">
        <v>6606952.462512862</v>
      </c>
      <c r="F141" s="6">
        <v>450.72120617363953</v>
      </c>
      <c r="G141" s="6">
        <v>5.136044262821494</v>
      </c>
      <c r="H141" s="6">
        <v>6500615.550075851</v>
      </c>
      <c r="I141" s="6">
        <v>445.75370168346666</v>
      </c>
      <c r="J141" s="6">
        <v>3.6110268406306294</v>
      </c>
      <c r="K141" s="6"/>
      <c r="L141" s="6"/>
      <c r="M141" s="6"/>
      <c r="N141" s="6">
        <f t="shared" ref="N141:P141" si="144">IF(LEN($C141)&gt;0,H141-E141,"")</f>
        <v>-106336.9124</v>
      </c>
      <c r="O141" s="6">
        <f t="shared" si="144"/>
        <v>-4.96750449</v>
      </c>
      <c r="P141" s="6">
        <f t="shared" si="144"/>
        <v>-1.525017422</v>
      </c>
      <c r="Q141" s="6"/>
      <c r="R141" s="6"/>
      <c r="S141" s="6"/>
      <c r="T141" s="6"/>
      <c r="U141" s="6"/>
      <c r="V141" s="6"/>
      <c r="W141" s="6"/>
      <c r="X141" s="6"/>
      <c r="Y141" s="6"/>
      <c r="Z141" s="6"/>
      <c r="AA141" s="6"/>
      <c r="AB141" s="6"/>
      <c r="AC141" s="6"/>
      <c r="AD141" s="6"/>
      <c r="AE141" s="6"/>
      <c r="AF141" s="6"/>
      <c r="AG141" s="6"/>
    </row>
    <row r="142" ht="14.25" customHeight="1">
      <c r="A142" s="6"/>
      <c r="B142" s="6"/>
      <c r="C142" s="6">
        <v>135.0</v>
      </c>
      <c r="D142" s="6"/>
      <c r="E142" s="6">
        <v>6760047.981393426</v>
      </c>
      <c r="F142" s="6">
        <v>466.790710010505</v>
      </c>
      <c r="G142" s="6">
        <v>4.108300239467266</v>
      </c>
      <c r="H142" s="6">
        <v>6686141.780694209</v>
      </c>
      <c r="I142" s="6">
        <v>464.54918109231704</v>
      </c>
      <c r="J142" s="6">
        <v>2.7293955022856946</v>
      </c>
      <c r="K142" s="6"/>
      <c r="L142" s="6"/>
      <c r="M142" s="6"/>
      <c r="N142" s="6">
        <f t="shared" ref="N142:P142" si="145">IF(LEN($C142)&gt;0,H142-E142,"")</f>
        <v>-73906.2007</v>
      </c>
      <c r="O142" s="6">
        <f t="shared" si="145"/>
        <v>-2.241528918</v>
      </c>
      <c r="P142" s="6">
        <f t="shared" si="145"/>
        <v>-1.378904737</v>
      </c>
      <c r="Q142" s="6"/>
      <c r="R142" s="6"/>
      <c r="S142" s="6"/>
      <c r="T142" s="6"/>
      <c r="U142" s="6"/>
      <c r="V142" s="6"/>
      <c r="W142" s="6"/>
      <c r="X142" s="6"/>
      <c r="Y142" s="6"/>
      <c r="Z142" s="6"/>
      <c r="AA142" s="6"/>
      <c r="AB142" s="6"/>
      <c r="AC142" s="6"/>
      <c r="AD142" s="6"/>
      <c r="AE142" s="6"/>
      <c r="AF142" s="6"/>
      <c r="AG142" s="6"/>
    </row>
    <row r="143" ht="14.25" customHeight="1">
      <c r="A143" s="6"/>
      <c r="B143" s="6"/>
      <c r="C143" s="6">
        <v>136.0</v>
      </c>
      <c r="D143" s="6"/>
      <c r="E143" s="6">
        <v>7578042.890314173</v>
      </c>
      <c r="F143" s="6">
        <v>446.42866531584326</v>
      </c>
      <c r="G143" s="6">
        <v>5.203479764019029</v>
      </c>
      <c r="H143" s="6">
        <v>7423249.928248252</v>
      </c>
      <c r="I143" s="6">
        <v>440.2666338122044</v>
      </c>
      <c r="J143" s="6">
        <v>3.6484779809493055</v>
      </c>
      <c r="K143" s="6"/>
      <c r="L143" s="6"/>
      <c r="M143" s="6"/>
      <c r="N143" s="6">
        <f t="shared" ref="N143:P143" si="146">IF(LEN($C143)&gt;0,H143-E143,"")</f>
        <v>-154792.9621</v>
      </c>
      <c r="O143" s="6">
        <f t="shared" si="146"/>
        <v>-6.162031504</v>
      </c>
      <c r="P143" s="6">
        <f t="shared" si="146"/>
        <v>-1.555001783</v>
      </c>
      <c r="Q143" s="6"/>
      <c r="R143" s="6"/>
      <c r="S143" s="6"/>
      <c r="T143" s="6"/>
      <c r="U143" s="6"/>
      <c r="V143" s="6"/>
      <c r="W143" s="6"/>
      <c r="X143" s="6"/>
      <c r="Y143" s="6"/>
      <c r="Z143" s="6"/>
      <c r="AA143" s="6"/>
      <c r="AB143" s="6"/>
      <c r="AC143" s="6"/>
      <c r="AD143" s="6"/>
      <c r="AE143" s="6"/>
      <c r="AF143" s="6"/>
      <c r="AG143" s="6"/>
    </row>
    <row r="144" ht="14.25" customHeight="1">
      <c r="A144" s="6"/>
      <c r="B144" s="6"/>
      <c r="C144" s="6">
        <v>137.0</v>
      </c>
      <c r="D144" s="6"/>
      <c r="E144" s="6">
        <v>8310407.830353064</v>
      </c>
      <c r="F144" s="6">
        <v>445.3249784667684</v>
      </c>
      <c r="G144" s="6">
        <v>4.478194090831167</v>
      </c>
      <c r="H144" s="6">
        <v>8122731.314937313</v>
      </c>
      <c r="I144" s="6">
        <v>439.5384301349749</v>
      </c>
      <c r="J144" s="6">
        <v>2.929825730232298</v>
      </c>
      <c r="K144" s="6"/>
      <c r="L144" s="6"/>
      <c r="M144" s="6"/>
      <c r="N144" s="6">
        <f t="shared" ref="N144:P144" si="147">IF(LEN($C144)&gt;0,H144-E144,"")</f>
        <v>-187676.5154</v>
      </c>
      <c r="O144" s="6">
        <f t="shared" si="147"/>
        <v>-5.786548332</v>
      </c>
      <c r="P144" s="6">
        <f t="shared" si="147"/>
        <v>-1.548368361</v>
      </c>
      <c r="Q144" s="6"/>
      <c r="R144" s="6"/>
      <c r="S144" s="6"/>
      <c r="T144" s="6"/>
      <c r="U144" s="6"/>
      <c r="V144" s="6"/>
      <c r="W144" s="6"/>
      <c r="X144" s="6"/>
      <c r="Y144" s="6"/>
      <c r="Z144" s="6"/>
      <c r="AA144" s="6"/>
      <c r="AB144" s="6"/>
      <c r="AC144" s="6"/>
      <c r="AD144" s="6"/>
      <c r="AE144" s="6"/>
      <c r="AF144" s="6"/>
      <c r="AG144" s="6"/>
    </row>
    <row r="145" ht="14.25" customHeight="1">
      <c r="A145" s="6"/>
      <c r="B145" s="6"/>
      <c r="C145" s="6">
        <v>138.0</v>
      </c>
      <c r="D145" s="6"/>
      <c r="E145" s="6">
        <v>9366580.740793688</v>
      </c>
      <c r="F145" s="6">
        <v>490.6575964705872</v>
      </c>
      <c r="G145" s="6">
        <v>4.7844331425451045</v>
      </c>
      <c r="H145" s="6">
        <v>9272429.641486758</v>
      </c>
      <c r="I145" s="6">
        <v>486.7924473090224</v>
      </c>
      <c r="J145" s="6">
        <v>4.020677951649434</v>
      </c>
      <c r="K145" s="6"/>
      <c r="L145" s="6"/>
      <c r="M145" s="6"/>
      <c r="N145" s="6">
        <f t="shared" ref="N145:P145" si="148">IF(LEN($C145)&gt;0,H145-E145,"")</f>
        <v>-94151.09931</v>
      </c>
      <c r="O145" s="6">
        <f t="shared" si="148"/>
        <v>-3.865149162</v>
      </c>
      <c r="P145" s="6">
        <f t="shared" si="148"/>
        <v>-0.7637551909</v>
      </c>
      <c r="Q145" s="6"/>
      <c r="R145" s="6"/>
      <c r="S145" s="6"/>
      <c r="T145" s="6"/>
      <c r="U145" s="6"/>
      <c r="V145" s="6"/>
      <c r="W145" s="6"/>
      <c r="X145" s="6"/>
      <c r="Y145" s="6"/>
      <c r="Z145" s="6"/>
      <c r="AA145" s="6"/>
      <c r="AB145" s="6"/>
      <c r="AC145" s="6"/>
      <c r="AD145" s="6"/>
      <c r="AE145" s="6"/>
      <c r="AF145" s="6"/>
      <c r="AG145" s="6"/>
    </row>
    <row r="146" ht="14.25" customHeight="1">
      <c r="A146" s="6"/>
      <c r="B146" s="6"/>
      <c r="C146" s="6">
        <v>139.0</v>
      </c>
      <c r="D146" s="6"/>
      <c r="E146" s="6">
        <v>6439047.564541045</v>
      </c>
      <c r="F146" s="6">
        <v>469.9443667301172</v>
      </c>
      <c r="G146" s="6">
        <v>5.051927681068456</v>
      </c>
      <c r="H146" s="6">
        <v>6360538.2455326</v>
      </c>
      <c r="I146" s="6">
        <v>465.4622419702805</v>
      </c>
      <c r="J146" s="6">
        <v>3.7008340924267022</v>
      </c>
      <c r="K146" s="6"/>
      <c r="L146" s="6"/>
      <c r="M146" s="6"/>
      <c r="N146" s="6">
        <f t="shared" ref="N146:P146" si="149">IF(LEN($C146)&gt;0,H146-E146,"")</f>
        <v>-78509.31901</v>
      </c>
      <c r="O146" s="6">
        <f t="shared" si="149"/>
        <v>-4.48212476</v>
      </c>
      <c r="P146" s="6">
        <f t="shared" si="149"/>
        <v>-1.351093589</v>
      </c>
      <c r="Q146" s="6"/>
      <c r="R146" s="6"/>
      <c r="S146" s="6"/>
      <c r="T146" s="6"/>
      <c r="U146" s="6"/>
      <c r="V146" s="6"/>
      <c r="W146" s="6"/>
      <c r="X146" s="6"/>
      <c r="Y146" s="6"/>
      <c r="Z146" s="6"/>
      <c r="AA146" s="6"/>
      <c r="AB146" s="6"/>
      <c r="AC146" s="6"/>
      <c r="AD146" s="6"/>
      <c r="AE146" s="6"/>
      <c r="AF146" s="6"/>
      <c r="AG146" s="6"/>
    </row>
    <row r="147" ht="14.25" customHeight="1">
      <c r="A147" s="6"/>
      <c r="B147" s="6"/>
      <c r="C147" s="6">
        <v>140.0</v>
      </c>
      <c r="D147" s="6"/>
      <c r="E147" s="6">
        <v>9540320.133410793</v>
      </c>
      <c r="F147" s="6">
        <v>462.12853389430643</v>
      </c>
      <c r="G147" s="6">
        <v>6.936718767671699</v>
      </c>
      <c r="H147" s="6">
        <v>9401024.661133213</v>
      </c>
      <c r="I147" s="6">
        <v>457.3652937731504</v>
      </c>
      <c r="J147" s="6">
        <v>5.740349333322779</v>
      </c>
      <c r="K147" s="6"/>
      <c r="L147" s="6"/>
      <c r="M147" s="6"/>
      <c r="N147" s="6">
        <f t="shared" ref="N147:P147" si="150">IF(LEN($C147)&gt;0,H147-E147,"")</f>
        <v>-139295.4723</v>
      </c>
      <c r="O147" s="6">
        <f t="shared" si="150"/>
        <v>-4.763240121</v>
      </c>
      <c r="P147" s="6">
        <f t="shared" si="150"/>
        <v>-1.196369434</v>
      </c>
      <c r="Q147" s="6"/>
      <c r="R147" s="6"/>
      <c r="S147" s="6"/>
      <c r="T147" s="6"/>
      <c r="U147" s="6"/>
      <c r="V147" s="6"/>
      <c r="W147" s="6"/>
      <c r="X147" s="6"/>
      <c r="Y147" s="6"/>
      <c r="Z147" s="6"/>
      <c r="AA147" s="6"/>
      <c r="AB147" s="6"/>
      <c r="AC147" s="6"/>
      <c r="AD147" s="6"/>
      <c r="AE147" s="6"/>
      <c r="AF147" s="6"/>
      <c r="AG147" s="6"/>
    </row>
    <row r="148" ht="14.25" customHeight="1">
      <c r="A148" s="6"/>
      <c r="B148" s="6"/>
      <c r="C148" s="6">
        <v>141.0</v>
      </c>
      <c r="D148" s="6"/>
      <c r="E148" s="6">
        <v>7881614.670970388</v>
      </c>
      <c r="F148" s="6">
        <v>475.81069631290404</v>
      </c>
      <c r="G148" s="6">
        <v>4.530221570182955</v>
      </c>
      <c r="H148" s="6">
        <v>7755135.969881649</v>
      </c>
      <c r="I148" s="6">
        <v>469.23377376632544</v>
      </c>
      <c r="J148" s="6">
        <v>3.033274309967388</v>
      </c>
      <c r="K148" s="6"/>
      <c r="L148" s="6"/>
      <c r="M148" s="6"/>
      <c r="N148" s="6">
        <f t="shared" ref="N148:P148" si="151">IF(LEN($C148)&gt;0,H148-E148,"")</f>
        <v>-126478.7011</v>
      </c>
      <c r="O148" s="6">
        <f t="shared" si="151"/>
        <v>-6.576922547</v>
      </c>
      <c r="P148" s="6">
        <f t="shared" si="151"/>
        <v>-1.49694726</v>
      </c>
      <c r="Q148" s="6"/>
      <c r="R148" s="6"/>
      <c r="S148" s="6"/>
      <c r="T148" s="6"/>
      <c r="U148" s="6"/>
      <c r="V148" s="6"/>
      <c r="W148" s="6"/>
      <c r="X148" s="6"/>
      <c r="Y148" s="6"/>
      <c r="Z148" s="6"/>
      <c r="AA148" s="6"/>
      <c r="AB148" s="6"/>
      <c r="AC148" s="6"/>
      <c r="AD148" s="6"/>
      <c r="AE148" s="6"/>
      <c r="AF148" s="6"/>
      <c r="AG148" s="6"/>
    </row>
    <row r="149" ht="14.25" customHeight="1">
      <c r="A149" s="6"/>
      <c r="B149" s="6"/>
      <c r="C149" s="6">
        <v>142.0</v>
      </c>
      <c r="D149" s="6"/>
      <c r="E149" s="6">
        <v>6689706.104927736</v>
      </c>
      <c r="F149" s="6">
        <v>468.10375602622514</v>
      </c>
      <c r="G149" s="6">
        <v>4.413345441614209</v>
      </c>
      <c r="H149" s="6">
        <v>6611018.068824809</v>
      </c>
      <c r="I149" s="6">
        <v>465.70584159338404</v>
      </c>
      <c r="J149" s="6">
        <v>3.108550930815463</v>
      </c>
      <c r="K149" s="6"/>
      <c r="L149" s="6"/>
      <c r="M149" s="6"/>
      <c r="N149" s="6">
        <f t="shared" ref="N149:P149" si="152">IF(LEN($C149)&gt;0,H149-E149,"")</f>
        <v>-78688.0361</v>
      </c>
      <c r="O149" s="6">
        <f t="shared" si="152"/>
        <v>-2.397914433</v>
      </c>
      <c r="P149" s="6">
        <f t="shared" si="152"/>
        <v>-1.304794511</v>
      </c>
      <c r="Q149" s="6"/>
      <c r="R149" s="6"/>
      <c r="S149" s="6"/>
      <c r="T149" s="6"/>
      <c r="U149" s="6"/>
      <c r="V149" s="6"/>
      <c r="W149" s="6"/>
      <c r="X149" s="6"/>
      <c r="Y149" s="6"/>
      <c r="Z149" s="6"/>
      <c r="AA149" s="6"/>
      <c r="AB149" s="6"/>
      <c r="AC149" s="6"/>
      <c r="AD149" s="6"/>
      <c r="AE149" s="6"/>
      <c r="AF149" s="6"/>
      <c r="AG149" s="6"/>
    </row>
    <row r="150" ht="14.25" customHeight="1">
      <c r="A150" s="6"/>
      <c r="B150" s="6"/>
      <c r="C150" s="6">
        <v>143.0</v>
      </c>
      <c r="D150" s="6"/>
      <c r="E150" s="6">
        <v>7965813.529451952</v>
      </c>
      <c r="F150" s="6">
        <v>499.570394168468</v>
      </c>
      <c r="G150" s="6">
        <v>4.25555214343644</v>
      </c>
      <c r="H150" s="6">
        <v>7823662.6526638605</v>
      </c>
      <c r="I150" s="6">
        <v>492.2137332474268</v>
      </c>
      <c r="J150" s="6">
        <v>3.0106818872765735</v>
      </c>
      <c r="K150" s="6"/>
      <c r="L150" s="6"/>
      <c r="M150" s="6"/>
      <c r="N150" s="6">
        <f t="shared" ref="N150:P150" si="153">IF(LEN($C150)&gt;0,H150-E150,"")</f>
        <v>-142150.8768</v>
      </c>
      <c r="O150" s="6">
        <f t="shared" si="153"/>
        <v>-7.356660921</v>
      </c>
      <c r="P150" s="6">
        <f t="shared" si="153"/>
        <v>-1.244870256</v>
      </c>
      <c r="Q150" s="6"/>
      <c r="R150" s="6"/>
      <c r="S150" s="6"/>
      <c r="T150" s="6"/>
      <c r="U150" s="6"/>
      <c r="V150" s="6"/>
      <c r="W150" s="6"/>
      <c r="X150" s="6"/>
      <c r="Y150" s="6"/>
      <c r="Z150" s="6"/>
      <c r="AA150" s="6"/>
      <c r="AB150" s="6"/>
      <c r="AC150" s="6"/>
      <c r="AD150" s="6"/>
      <c r="AE150" s="6"/>
      <c r="AF150" s="6"/>
      <c r="AG150" s="6"/>
    </row>
    <row r="151" ht="14.25" customHeight="1">
      <c r="A151" s="6"/>
      <c r="B151" s="6"/>
      <c r="C151" s="6">
        <v>144.0</v>
      </c>
      <c r="D151" s="6"/>
      <c r="E151" s="6">
        <v>8290768.853648701</v>
      </c>
      <c r="F151" s="6">
        <v>482.1555392106313</v>
      </c>
      <c r="G151" s="6">
        <v>5.488487245340651</v>
      </c>
      <c r="H151" s="6">
        <v>8161382.474326676</v>
      </c>
      <c r="I151" s="6">
        <v>477.4061119057208</v>
      </c>
      <c r="J151" s="6">
        <v>3.777561513346524</v>
      </c>
      <c r="K151" s="6"/>
      <c r="L151" s="6"/>
      <c r="M151" s="6"/>
      <c r="N151" s="6">
        <f t="shared" ref="N151:P151" si="154">IF(LEN($C151)&gt;0,H151-E151,"")</f>
        <v>-129386.3793</v>
      </c>
      <c r="O151" s="6">
        <f t="shared" si="154"/>
        <v>-4.749427305</v>
      </c>
      <c r="P151" s="6">
        <f t="shared" si="154"/>
        <v>-1.710925732</v>
      </c>
      <c r="Q151" s="6"/>
      <c r="R151" s="6"/>
      <c r="S151" s="6"/>
      <c r="T151" s="6"/>
      <c r="U151" s="6"/>
      <c r="V151" s="6"/>
      <c r="W151" s="6"/>
      <c r="X151" s="6"/>
      <c r="Y151" s="6"/>
      <c r="Z151" s="6"/>
      <c r="AA151" s="6"/>
      <c r="AB151" s="6"/>
      <c r="AC151" s="6"/>
      <c r="AD151" s="6"/>
      <c r="AE151" s="6"/>
      <c r="AF151" s="6"/>
      <c r="AG151" s="6"/>
    </row>
    <row r="152" ht="14.25" customHeight="1">
      <c r="A152" s="6"/>
      <c r="B152" s="6"/>
      <c r="C152" s="6">
        <v>145.0</v>
      </c>
      <c r="D152" s="6"/>
      <c r="E152" s="6">
        <v>7103961.336238414</v>
      </c>
      <c r="F152" s="6">
        <v>478.4544758039879</v>
      </c>
      <c r="G152" s="6">
        <v>4.571041516741554</v>
      </c>
      <c r="H152" s="6">
        <v>7034120.047951179</v>
      </c>
      <c r="I152" s="6">
        <v>476.2017851101903</v>
      </c>
      <c r="J152" s="6">
        <v>3.778681574788255</v>
      </c>
      <c r="K152" s="6"/>
      <c r="L152" s="6"/>
      <c r="M152" s="6"/>
      <c r="N152" s="6">
        <f t="shared" ref="N152:P152" si="155">IF(LEN($C152)&gt;0,H152-E152,"")</f>
        <v>-69841.28829</v>
      </c>
      <c r="O152" s="6">
        <f t="shared" si="155"/>
        <v>-2.252690694</v>
      </c>
      <c r="P152" s="6">
        <f t="shared" si="155"/>
        <v>-0.792359942</v>
      </c>
      <c r="Q152" s="6"/>
      <c r="R152" s="6"/>
      <c r="S152" s="6"/>
      <c r="T152" s="6"/>
      <c r="U152" s="6"/>
      <c r="V152" s="6"/>
      <c r="W152" s="6"/>
      <c r="X152" s="6"/>
      <c r="Y152" s="6"/>
      <c r="Z152" s="6"/>
      <c r="AA152" s="6"/>
      <c r="AB152" s="6"/>
      <c r="AC152" s="6"/>
      <c r="AD152" s="6"/>
      <c r="AE152" s="6"/>
      <c r="AF152" s="6"/>
      <c r="AG152" s="6"/>
    </row>
    <row r="153" ht="14.25" customHeight="1">
      <c r="A153" s="6"/>
      <c r="B153" s="6"/>
      <c r="C153" s="6">
        <v>146.0</v>
      </c>
      <c r="D153" s="6"/>
      <c r="E153" s="6">
        <v>6952642.616763987</v>
      </c>
      <c r="F153" s="6">
        <v>511.34319809881913</v>
      </c>
      <c r="G153" s="6">
        <v>4.745874667829269</v>
      </c>
      <c r="H153" s="6">
        <v>6762707.201418378</v>
      </c>
      <c r="I153" s="6">
        <v>501.9706858544499</v>
      </c>
      <c r="J153" s="6">
        <v>3.3445367884869874</v>
      </c>
      <c r="K153" s="6"/>
      <c r="L153" s="6"/>
      <c r="M153" s="6"/>
      <c r="N153" s="6">
        <f t="shared" ref="N153:P153" si="156">IF(LEN($C153)&gt;0,H153-E153,"")</f>
        <v>-189935.4153</v>
      </c>
      <c r="O153" s="6">
        <f t="shared" si="156"/>
        <v>-9.372512244</v>
      </c>
      <c r="P153" s="6">
        <f t="shared" si="156"/>
        <v>-1.401337879</v>
      </c>
      <c r="Q153" s="6"/>
      <c r="R153" s="6"/>
      <c r="S153" s="6"/>
      <c r="T153" s="6"/>
      <c r="U153" s="6"/>
      <c r="V153" s="6"/>
      <c r="W153" s="6"/>
      <c r="X153" s="6"/>
      <c r="Y153" s="6"/>
      <c r="Z153" s="6"/>
      <c r="AA153" s="6"/>
      <c r="AB153" s="6"/>
      <c r="AC153" s="6"/>
      <c r="AD153" s="6"/>
      <c r="AE153" s="6"/>
      <c r="AF153" s="6"/>
      <c r="AG153" s="6"/>
    </row>
    <row r="154" ht="14.25" customHeight="1">
      <c r="A154" s="6"/>
      <c r="B154" s="6"/>
      <c r="C154" s="6">
        <v>147.0</v>
      </c>
      <c r="D154" s="6"/>
      <c r="E154" s="6">
        <v>7985136.377904406</v>
      </c>
      <c r="F154" s="6">
        <v>474.6889162635295</v>
      </c>
      <c r="G154" s="6">
        <v>5.655981315682245</v>
      </c>
      <c r="H154" s="6">
        <v>7853395.326500411</v>
      </c>
      <c r="I154" s="6">
        <v>470.5353453180345</v>
      </c>
      <c r="J154" s="6">
        <v>3.8864028035299505</v>
      </c>
      <c r="K154" s="6"/>
      <c r="L154" s="6"/>
      <c r="M154" s="6"/>
      <c r="N154" s="6">
        <f t="shared" ref="N154:P154" si="157">IF(LEN($C154)&gt;0,H154-E154,"")</f>
        <v>-131741.0514</v>
      </c>
      <c r="O154" s="6">
        <f t="shared" si="157"/>
        <v>-4.153570945</v>
      </c>
      <c r="P154" s="6">
        <f t="shared" si="157"/>
        <v>-1.769578512</v>
      </c>
      <c r="Q154" s="6"/>
      <c r="R154" s="6"/>
      <c r="S154" s="6"/>
      <c r="T154" s="6"/>
      <c r="U154" s="6"/>
      <c r="V154" s="6"/>
      <c r="W154" s="6"/>
      <c r="X154" s="6"/>
      <c r="Y154" s="6"/>
      <c r="Z154" s="6"/>
      <c r="AA154" s="6"/>
      <c r="AB154" s="6"/>
      <c r="AC154" s="6"/>
      <c r="AD154" s="6"/>
      <c r="AE154" s="6"/>
      <c r="AF154" s="6"/>
      <c r="AG154" s="6"/>
    </row>
    <row r="155" ht="14.25" customHeight="1">
      <c r="A155" s="6"/>
      <c r="B155" s="6"/>
      <c r="C155" s="6">
        <v>148.0</v>
      </c>
      <c r="D155" s="6"/>
      <c r="E155" s="6">
        <v>7557398.592377403</v>
      </c>
      <c r="F155" s="6">
        <v>458.5726421440234</v>
      </c>
      <c r="G155" s="6">
        <v>5.476433798131293</v>
      </c>
      <c r="H155" s="6">
        <v>7311254.938484137</v>
      </c>
      <c r="I155" s="6">
        <v>446.22699850038305</v>
      </c>
      <c r="J155" s="6">
        <v>3.7680971870140634</v>
      </c>
      <c r="K155" s="6"/>
      <c r="L155" s="6"/>
      <c r="M155" s="6"/>
      <c r="N155" s="6">
        <f t="shared" ref="N155:P155" si="158">IF(LEN($C155)&gt;0,H155-E155,"")</f>
        <v>-246143.6539</v>
      </c>
      <c r="O155" s="6">
        <f t="shared" si="158"/>
        <v>-12.34564364</v>
      </c>
      <c r="P155" s="6">
        <f t="shared" si="158"/>
        <v>-1.708336611</v>
      </c>
      <c r="Q155" s="6"/>
      <c r="R155" s="6"/>
      <c r="S155" s="6"/>
      <c r="T155" s="6"/>
      <c r="U155" s="6"/>
      <c r="V155" s="6"/>
      <c r="W155" s="6"/>
      <c r="X155" s="6"/>
      <c r="Y155" s="6"/>
      <c r="Z155" s="6"/>
      <c r="AA155" s="6"/>
      <c r="AB155" s="6"/>
      <c r="AC155" s="6"/>
      <c r="AD155" s="6"/>
      <c r="AE155" s="6"/>
      <c r="AF155" s="6"/>
      <c r="AG155" s="6"/>
    </row>
    <row r="156" ht="14.25" customHeight="1">
      <c r="A156" s="6"/>
      <c r="B156" s="6"/>
      <c r="C156" s="6">
        <v>149.0</v>
      </c>
      <c r="D156" s="6"/>
      <c r="E156" s="6">
        <v>7216145.094235565</v>
      </c>
      <c r="F156" s="6">
        <v>446.8251491831967</v>
      </c>
      <c r="G156" s="6">
        <v>5.330564841760528</v>
      </c>
      <c r="H156" s="6">
        <v>7080358.263189186</v>
      </c>
      <c r="I156" s="6">
        <v>439.62183437341326</v>
      </c>
      <c r="J156" s="6">
        <v>3.537796144592004</v>
      </c>
      <c r="K156" s="6"/>
      <c r="L156" s="6"/>
      <c r="M156" s="6"/>
      <c r="N156" s="6">
        <f t="shared" ref="N156:P156" si="159">IF(LEN($C156)&gt;0,H156-E156,"")</f>
        <v>-135786.831</v>
      </c>
      <c r="O156" s="6">
        <f t="shared" si="159"/>
        <v>-7.20331481</v>
      </c>
      <c r="P156" s="6">
        <f t="shared" si="159"/>
        <v>-1.792768697</v>
      </c>
      <c r="Q156" s="6"/>
      <c r="R156" s="6"/>
      <c r="S156" s="6"/>
      <c r="T156" s="6"/>
      <c r="U156" s="6"/>
      <c r="V156" s="6"/>
      <c r="W156" s="6"/>
      <c r="X156" s="6"/>
      <c r="Y156" s="6"/>
      <c r="Z156" s="6"/>
      <c r="AA156" s="6"/>
      <c r="AB156" s="6"/>
      <c r="AC156" s="6"/>
      <c r="AD156" s="6"/>
      <c r="AE156" s="6"/>
      <c r="AF156" s="6"/>
      <c r="AG156" s="6"/>
    </row>
    <row r="157" ht="14.25" customHeight="1">
      <c r="A157" s="6"/>
      <c r="B157" s="6"/>
      <c r="C157" s="6">
        <v>150.0</v>
      </c>
      <c r="D157" s="6"/>
      <c r="E157" s="6">
        <v>7890314.96224477</v>
      </c>
      <c r="F157" s="6">
        <v>443.80216563509987</v>
      </c>
      <c r="G157" s="6">
        <v>4.904100628454565</v>
      </c>
      <c r="H157" s="6">
        <v>7769092.677431194</v>
      </c>
      <c r="I157" s="6">
        <v>439.8267838848426</v>
      </c>
      <c r="J157" s="6">
        <v>3.2605496722040948</v>
      </c>
      <c r="K157" s="6"/>
      <c r="L157" s="6"/>
      <c r="M157" s="6"/>
      <c r="N157" s="6">
        <f t="shared" ref="N157:P157" si="160">IF(LEN($C157)&gt;0,H157-E157,"")</f>
        <v>-121222.2848</v>
      </c>
      <c r="O157" s="6">
        <f t="shared" si="160"/>
        <v>-3.97538175</v>
      </c>
      <c r="P157" s="6">
        <f t="shared" si="160"/>
        <v>-1.643550956</v>
      </c>
      <c r="Q157" s="6"/>
      <c r="R157" s="6"/>
      <c r="S157" s="6"/>
      <c r="T157" s="6"/>
      <c r="U157" s="6"/>
      <c r="V157" s="6"/>
      <c r="W157" s="6"/>
      <c r="X157" s="6"/>
      <c r="Y157" s="6"/>
      <c r="Z157" s="6"/>
      <c r="AA157" s="6"/>
      <c r="AB157" s="6"/>
      <c r="AC157" s="6"/>
      <c r="AD157" s="6"/>
      <c r="AE157" s="6"/>
      <c r="AF157" s="6"/>
      <c r="AG157" s="6"/>
    </row>
    <row r="158" ht="14.25" customHeight="1">
      <c r="A158" s="6"/>
      <c r="B158" s="6"/>
      <c r="C158" s="6">
        <v>151.0</v>
      </c>
      <c r="D158" s="6"/>
      <c r="E158" s="6">
        <v>5374288.8362652315</v>
      </c>
      <c r="F158" s="6">
        <v>436.01398451392976</v>
      </c>
      <c r="G158" s="6">
        <v>4.619113269655567</v>
      </c>
      <c r="H158" s="6">
        <v>5308851.387599617</v>
      </c>
      <c r="I158" s="6">
        <v>433.60240344496265</v>
      </c>
      <c r="J158" s="6">
        <v>3.808614384324094</v>
      </c>
      <c r="K158" s="6"/>
      <c r="L158" s="6"/>
      <c r="M158" s="6"/>
      <c r="N158" s="6">
        <f t="shared" ref="N158:P158" si="161">IF(LEN($C158)&gt;0,H158-E158,"")</f>
        <v>-65437.44867</v>
      </c>
      <c r="O158" s="6">
        <f t="shared" si="161"/>
        <v>-2.411581069</v>
      </c>
      <c r="P158" s="6">
        <f t="shared" si="161"/>
        <v>-0.8104988853</v>
      </c>
      <c r="Q158" s="6"/>
      <c r="R158" s="6"/>
      <c r="S158" s="6"/>
      <c r="T158" s="6"/>
      <c r="U158" s="6"/>
      <c r="V158" s="6"/>
      <c r="W158" s="6"/>
      <c r="X158" s="6"/>
      <c r="Y158" s="6"/>
      <c r="Z158" s="6"/>
      <c r="AA158" s="6"/>
      <c r="AB158" s="6"/>
      <c r="AC158" s="6"/>
      <c r="AD158" s="6"/>
      <c r="AE158" s="6"/>
      <c r="AF158" s="6"/>
      <c r="AG158" s="6"/>
    </row>
    <row r="159" ht="14.25" customHeight="1">
      <c r="A159" s="6"/>
      <c r="B159" s="6"/>
      <c r="C159" s="6">
        <v>152.0</v>
      </c>
      <c r="D159" s="6"/>
      <c r="E159" s="6">
        <v>6699982.264917803</v>
      </c>
      <c r="F159" s="6">
        <v>468.2061706165702</v>
      </c>
      <c r="G159" s="6">
        <v>4.164419990207863</v>
      </c>
      <c r="H159" s="6">
        <v>6631907.452293772</v>
      </c>
      <c r="I159" s="6">
        <v>465.3224662619828</v>
      </c>
      <c r="J159" s="6">
        <v>2.897421438391743</v>
      </c>
      <c r="K159" s="6"/>
      <c r="L159" s="6"/>
      <c r="M159" s="6"/>
      <c r="N159" s="6">
        <f t="shared" ref="N159:P159" si="162">IF(LEN($C159)&gt;0,H159-E159,"")</f>
        <v>-68074.81262</v>
      </c>
      <c r="O159" s="6">
        <f t="shared" si="162"/>
        <v>-2.883704355</v>
      </c>
      <c r="P159" s="6">
        <f t="shared" si="162"/>
        <v>-1.266998552</v>
      </c>
      <c r="Q159" s="6"/>
      <c r="R159" s="6"/>
      <c r="S159" s="6"/>
      <c r="T159" s="6"/>
      <c r="U159" s="6"/>
      <c r="V159" s="6"/>
      <c r="W159" s="6"/>
      <c r="X159" s="6"/>
      <c r="Y159" s="6"/>
      <c r="Z159" s="6"/>
      <c r="AA159" s="6"/>
      <c r="AB159" s="6"/>
      <c r="AC159" s="6"/>
      <c r="AD159" s="6"/>
      <c r="AE159" s="6"/>
      <c r="AF159" s="6"/>
      <c r="AG159" s="6"/>
    </row>
    <row r="160" ht="14.25" customHeight="1">
      <c r="A160" s="6"/>
      <c r="B160" s="6"/>
      <c r="C160" s="6">
        <v>153.0</v>
      </c>
      <c r="D160" s="6"/>
      <c r="E160" s="6">
        <v>7341015.986916041</v>
      </c>
      <c r="F160" s="6">
        <v>451.68496216230557</v>
      </c>
      <c r="G160" s="6">
        <v>5.829196002940691</v>
      </c>
      <c r="H160" s="6">
        <v>7223611.162450475</v>
      </c>
      <c r="I160" s="6">
        <v>445.5695767173013</v>
      </c>
      <c r="J160" s="6">
        <v>4.420138195614159</v>
      </c>
      <c r="K160" s="6"/>
      <c r="L160" s="6"/>
      <c r="M160" s="6"/>
      <c r="N160" s="6">
        <f t="shared" ref="N160:P160" si="163">IF(LEN($C160)&gt;0,H160-E160,"")</f>
        <v>-117404.8245</v>
      </c>
      <c r="O160" s="6">
        <f t="shared" si="163"/>
        <v>-6.115385445</v>
      </c>
      <c r="P160" s="6">
        <f t="shared" si="163"/>
        <v>-1.409057807</v>
      </c>
      <c r="Q160" s="6"/>
      <c r="R160" s="6"/>
      <c r="S160" s="6"/>
      <c r="T160" s="6"/>
      <c r="U160" s="6"/>
      <c r="V160" s="6"/>
      <c r="W160" s="6"/>
      <c r="X160" s="6"/>
      <c r="Y160" s="6"/>
      <c r="Z160" s="6"/>
      <c r="AA160" s="6"/>
      <c r="AB160" s="6"/>
      <c r="AC160" s="6"/>
      <c r="AD160" s="6"/>
      <c r="AE160" s="6"/>
      <c r="AF160" s="6"/>
      <c r="AG160" s="6"/>
    </row>
    <row r="161" ht="14.25" customHeight="1">
      <c r="A161" s="6"/>
      <c r="B161" s="6"/>
      <c r="C161" s="6">
        <v>154.0</v>
      </c>
      <c r="D161" s="6"/>
      <c r="E161" s="6">
        <v>7955623.7810199745</v>
      </c>
      <c r="F161" s="6">
        <v>461.846882494528</v>
      </c>
      <c r="G161" s="6">
        <v>5.431409130471207</v>
      </c>
      <c r="H161" s="6">
        <v>7788818.200738599</v>
      </c>
      <c r="I161" s="6">
        <v>456.2876057850877</v>
      </c>
      <c r="J161" s="6">
        <v>3.8223953322619306</v>
      </c>
      <c r="K161" s="6"/>
      <c r="L161" s="6"/>
      <c r="M161" s="6"/>
      <c r="N161" s="6">
        <f t="shared" ref="N161:P161" si="164">IF(LEN($C161)&gt;0,H161-E161,"")</f>
        <v>-166805.5803</v>
      </c>
      <c r="O161" s="6">
        <f t="shared" si="164"/>
        <v>-5.559276709</v>
      </c>
      <c r="P161" s="6">
        <f t="shared" si="164"/>
        <v>-1.609013798</v>
      </c>
      <c r="Q161" s="6"/>
      <c r="R161" s="6"/>
      <c r="S161" s="6"/>
      <c r="T161" s="6"/>
      <c r="U161" s="6"/>
      <c r="V161" s="6"/>
      <c r="W161" s="6"/>
      <c r="X161" s="6"/>
      <c r="Y161" s="6"/>
      <c r="Z161" s="6"/>
      <c r="AA161" s="6"/>
      <c r="AB161" s="6"/>
      <c r="AC161" s="6"/>
      <c r="AD161" s="6"/>
      <c r="AE161" s="6"/>
      <c r="AF161" s="6"/>
      <c r="AG161" s="6"/>
    </row>
    <row r="162" ht="14.25" customHeight="1">
      <c r="A162" s="6"/>
      <c r="B162" s="6"/>
      <c r="C162" s="6">
        <v>155.0</v>
      </c>
      <c r="D162" s="6"/>
      <c r="E162" s="6">
        <v>7726240.71489531</v>
      </c>
      <c r="F162" s="6">
        <v>469.67510629133204</v>
      </c>
      <c r="G162" s="6">
        <v>5.012188899750309</v>
      </c>
      <c r="H162" s="6">
        <v>7635793.488854553</v>
      </c>
      <c r="I162" s="6">
        <v>467.3105454647526</v>
      </c>
      <c r="J162" s="6">
        <v>3.692114934289741</v>
      </c>
      <c r="K162" s="6"/>
      <c r="L162" s="6"/>
      <c r="M162" s="6"/>
      <c r="N162" s="6">
        <f t="shared" ref="N162:P162" si="165">IF(LEN($C162)&gt;0,H162-E162,"")</f>
        <v>-90447.22604</v>
      </c>
      <c r="O162" s="6">
        <f t="shared" si="165"/>
        <v>-2.364560827</v>
      </c>
      <c r="P162" s="6">
        <f t="shared" si="165"/>
        <v>-1.320073965</v>
      </c>
      <c r="Q162" s="6"/>
      <c r="R162" s="6"/>
      <c r="S162" s="6"/>
      <c r="T162" s="6"/>
      <c r="U162" s="6"/>
      <c r="V162" s="6"/>
      <c r="W162" s="6"/>
      <c r="X162" s="6"/>
      <c r="Y162" s="6"/>
      <c r="Z162" s="6"/>
      <c r="AA162" s="6"/>
      <c r="AB162" s="6"/>
      <c r="AC162" s="6"/>
      <c r="AD162" s="6"/>
      <c r="AE162" s="6"/>
      <c r="AF162" s="6"/>
      <c r="AG162" s="6"/>
    </row>
    <row r="163" ht="14.25" customHeight="1">
      <c r="A163" s="6"/>
      <c r="B163" s="6"/>
      <c r="C163" s="6">
        <v>156.0</v>
      </c>
      <c r="D163" s="6"/>
      <c r="E163" s="6">
        <v>6904000.579502673</v>
      </c>
      <c r="F163" s="6">
        <v>494.9584451954094</v>
      </c>
      <c r="G163" s="6">
        <v>5.3246127403678</v>
      </c>
      <c r="H163" s="6">
        <v>6851092.108996239</v>
      </c>
      <c r="I163" s="6">
        <v>493.11074706640335</v>
      </c>
      <c r="J163" s="6">
        <v>4.449138376879792</v>
      </c>
      <c r="K163" s="6"/>
      <c r="L163" s="6"/>
      <c r="M163" s="6"/>
      <c r="N163" s="6">
        <f t="shared" ref="N163:P163" si="166">IF(LEN($C163)&gt;0,H163-E163,"")</f>
        <v>-52908.47051</v>
      </c>
      <c r="O163" s="6">
        <f t="shared" si="166"/>
        <v>-1.847698129</v>
      </c>
      <c r="P163" s="6">
        <f t="shared" si="166"/>
        <v>-0.8754743635</v>
      </c>
      <c r="Q163" s="6"/>
      <c r="R163" s="6"/>
      <c r="S163" s="6"/>
      <c r="T163" s="6"/>
      <c r="U163" s="6"/>
      <c r="V163" s="6"/>
      <c r="W163" s="6"/>
      <c r="X163" s="6"/>
      <c r="Y163" s="6"/>
      <c r="Z163" s="6"/>
      <c r="AA163" s="6"/>
      <c r="AB163" s="6"/>
      <c r="AC163" s="6"/>
      <c r="AD163" s="6"/>
      <c r="AE163" s="6"/>
      <c r="AF163" s="6"/>
      <c r="AG163" s="6"/>
    </row>
    <row r="164" ht="14.25" customHeight="1">
      <c r="A164" s="6"/>
      <c r="B164" s="6"/>
      <c r="C164" s="6">
        <v>157.0</v>
      </c>
      <c r="D164" s="6"/>
      <c r="E164" s="6">
        <v>7811153.523388676</v>
      </c>
      <c r="F164" s="6">
        <v>444.6619821229725</v>
      </c>
      <c r="G164" s="6">
        <v>5.520152913273031</v>
      </c>
      <c r="H164" s="6">
        <v>7717517.340716121</v>
      </c>
      <c r="I164" s="6">
        <v>441.6840145294568</v>
      </c>
      <c r="J164" s="6">
        <v>4.136348269041143</v>
      </c>
      <c r="K164" s="6"/>
      <c r="L164" s="6"/>
      <c r="M164" s="6"/>
      <c r="N164" s="6">
        <f t="shared" ref="N164:P164" si="167">IF(LEN($C164)&gt;0,H164-E164,"")</f>
        <v>-93636.18267</v>
      </c>
      <c r="O164" s="6">
        <f t="shared" si="167"/>
        <v>-2.977967594</v>
      </c>
      <c r="P164" s="6">
        <f t="shared" si="167"/>
        <v>-1.383804644</v>
      </c>
      <c r="Q164" s="6"/>
      <c r="R164" s="6"/>
      <c r="S164" s="6"/>
      <c r="T164" s="6"/>
      <c r="U164" s="6"/>
      <c r="V164" s="6"/>
      <c r="W164" s="6"/>
      <c r="X164" s="6"/>
      <c r="Y164" s="6"/>
      <c r="Z164" s="6"/>
      <c r="AA164" s="6"/>
      <c r="AB164" s="6"/>
      <c r="AC164" s="6"/>
      <c r="AD164" s="6"/>
      <c r="AE164" s="6"/>
      <c r="AF164" s="6"/>
      <c r="AG164" s="6"/>
    </row>
    <row r="165" ht="14.25" customHeight="1">
      <c r="A165" s="6"/>
      <c r="B165" s="6"/>
      <c r="C165" s="6">
        <v>158.0</v>
      </c>
      <c r="D165" s="6"/>
      <c r="E165" s="6">
        <v>5880643.8956884425</v>
      </c>
      <c r="F165" s="6">
        <v>446.26953467742305</v>
      </c>
      <c r="G165" s="6">
        <v>5.927054783919008</v>
      </c>
      <c r="H165" s="6">
        <v>5772508.754493803</v>
      </c>
      <c r="I165" s="6">
        <v>441.4163483384409</v>
      </c>
      <c r="J165" s="6">
        <v>4.356495822439317</v>
      </c>
      <c r="K165" s="6"/>
      <c r="L165" s="6"/>
      <c r="M165" s="6"/>
      <c r="N165" s="6">
        <f t="shared" ref="N165:P165" si="168">IF(LEN($C165)&gt;0,H165-E165,"")</f>
        <v>-108135.1412</v>
      </c>
      <c r="O165" s="6">
        <f t="shared" si="168"/>
        <v>-4.853186339</v>
      </c>
      <c r="P165" s="6">
        <f t="shared" si="168"/>
        <v>-1.570558961</v>
      </c>
      <c r="Q165" s="6"/>
      <c r="R165" s="6"/>
      <c r="S165" s="6"/>
      <c r="T165" s="6"/>
      <c r="U165" s="6"/>
      <c r="V165" s="6"/>
      <c r="W165" s="6"/>
      <c r="X165" s="6"/>
      <c r="Y165" s="6"/>
      <c r="Z165" s="6"/>
      <c r="AA165" s="6"/>
      <c r="AB165" s="6"/>
      <c r="AC165" s="6"/>
      <c r="AD165" s="6"/>
      <c r="AE165" s="6"/>
      <c r="AF165" s="6"/>
      <c r="AG165" s="6"/>
    </row>
    <row r="166" ht="14.25" customHeight="1">
      <c r="A166" s="6"/>
      <c r="B166" s="6"/>
      <c r="C166" s="6">
        <v>159.0</v>
      </c>
      <c r="D166" s="6"/>
      <c r="E166" s="6">
        <v>7292418.63678979</v>
      </c>
      <c r="F166" s="6">
        <v>470.00741388316493</v>
      </c>
      <c r="G166" s="6">
        <v>4.848130607163872</v>
      </c>
      <c r="H166" s="6">
        <v>7182845.70106305</v>
      </c>
      <c r="I166" s="6">
        <v>465.23709430272373</v>
      </c>
      <c r="J166" s="6">
        <v>3.302200801584045</v>
      </c>
      <c r="K166" s="6"/>
      <c r="L166" s="6"/>
      <c r="M166" s="6"/>
      <c r="N166" s="6">
        <f t="shared" ref="N166:P166" si="169">IF(LEN($C166)&gt;0,H166-E166,"")</f>
        <v>-109572.9357</v>
      </c>
      <c r="O166" s="6">
        <f t="shared" si="169"/>
        <v>-4.77031958</v>
      </c>
      <c r="P166" s="6">
        <f t="shared" si="169"/>
        <v>-1.545929806</v>
      </c>
      <c r="Q166" s="6"/>
      <c r="R166" s="6"/>
      <c r="S166" s="6"/>
      <c r="T166" s="6"/>
      <c r="U166" s="6"/>
      <c r="V166" s="6"/>
      <c r="W166" s="6"/>
      <c r="X166" s="6"/>
      <c r="Y166" s="6"/>
      <c r="Z166" s="6"/>
      <c r="AA166" s="6"/>
      <c r="AB166" s="6"/>
      <c r="AC166" s="6"/>
      <c r="AD166" s="6"/>
      <c r="AE166" s="6"/>
      <c r="AF166" s="6"/>
      <c r="AG166" s="6"/>
    </row>
    <row r="167" ht="14.25" customHeight="1">
      <c r="A167" s="6"/>
      <c r="B167" s="6"/>
      <c r="C167" s="6">
        <v>160.0</v>
      </c>
      <c r="D167" s="6"/>
      <c r="E167" s="6">
        <v>5045012.333545177</v>
      </c>
      <c r="F167" s="6">
        <v>436.9265756525958</v>
      </c>
      <c r="G167" s="6">
        <v>5.565007168934475</v>
      </c>
      <c r="H167" s="6">
        <v>4940691.91694573</v>
      </c>
      <c r="I167" s="6">
        <v>432.99010360451894</v>
      </c>
      <c r="J167" s="6">
        <v>3.710160780533767</v>
      </c>
      <c r="K167" s="6"/>
      <c r="L167" s="6"/>
      <c r="M167" s="6"/>
      <c r="N167" s="6">
        <f t="shared" ref="N167:P167" si="170">IF(LEN($C167)&gt;0,H167-E167,"")</f>
        <v>-104320.4166</v>
      </c>
      <c r="O167" s="6">
        <f t="shared" si="170"/>
        <v>-3.936472048</v>
      </c>
      <c r="P167" s="6">
        <f t="shared" si="170"/>
        <v>-1.854846388</v>
      </c>
      <c r="Q167" s="6"/>
      <c r="R167" s="6"/>
      <c r="S167" s="6"/>
      <c r="T167" s="6"/>
      <c r="U167" s="6"/>
      <c r="V167" s="6"/>
      <c r="W167" s="6"/>
      <c r="X167" s="6"/>
      <c r="Y167" s="6"/>
      <c r="Z167" s="6"/>
      <c r="AA167" s="6"/>
      <c r="AB167" s="6"/>
      <c r="AC167" s="6"/>
      <c r="AD167" s="6"/>
      <c r="AE167" s="6"/>
      <c r="AF167" s="6"/>
      <c r="AG167" s="6"/>
    </row>
    <row r="168" ht="14.25" customHeight="1">
      <c r="A168" s="6"/>
      <c r="B168" s="6"/>
      <c r="C168" s="6">
        <v>161.0</v>
      </c>
      <c r="D168" s="6"/>
      <c r="E168" s="6">
        <v>6158792.443476216</v>
      </c>
      <c r="F168" s="6">
        <v>447.0680324115487</v>
      </c>
      <c r="G168" s="6">
        <v>5.313797475473908</v>
      </c>
      <c r="H168" s="6">
        <v>6076154.931627998</v>
      </c>
      <c r="I168" s="6">
        <v>442.404555770323</v>
      </c>
      <c r="J168" s="6">
        <v>3.8283420421010628</v>
      </c>
      <c r="K168" s="6"/>
      <c r="L168" s="6"/>
      <c r="M168" s="6"/>
      <c r="N168" s="6">
        <f t="shared" ref="N168:P168" si="171">IF(LEN($C168)&gt;0,H168-E168,"")</f>
        <v>-82637.51185</v>
      </c>
      <c r="O168" s="6">
        <f t="shared" si="171"/>
        <v>-4.663476641</v>
      </c>
      <c r="P168" s="6">
        <f t="shared" si="171"/>
        <v>-1.485455433</v>
      </c>
      <c r="Q168" s="6"/>
      <c r="R168" s="6"/>
      <c r="S168" s="6"/>
      <c r="T168" s="6"/>
      <c r="U168" s="6"/>
      <c r="V168" s="6"/>
      <c r="W168" s="6"/>
      <c r="X168" s="6"/>
      <c r="Y168" s="6"/>
      <c r="Z168" s="6"/>
      <c r="AA168" s="6"/>
      <c r="AB168" s="6"/>
      <c r="AC168" s="6"/>
      <c r="AD168" s="6"/>
      <c r="AE168" s="6"/>
      <c r="AF168" s="6"/>
      <c r="AG168" s="6"/>
    </row>
    <row r="169" ht="14.25" customHeight="1">
      <c r="A169" s="6"/>
      <c r="B169" s="6"/>
      <c r="C169" s="6">
        <v>162.0</v>
      </c>
      <c r="D169" s="6"/>
      <c r="E169" s="6">
        <v>6549213.803604913</v>
      </c>
      <c r="F169" s="6">
        <v>471.76184456267094</v>
      </c>
      <c r="G169" s="6">
        <v>6.056745692522061</v>
      </c>
      <c r="H169" s="6">
        <v>6447539.045286391</v>
      </c>
      <c r="I169" s="6">
        <v>468.6219050620585</v>
      </c>
      <c r="J169" s="6">
        <v>4.642092044624797</v>
      </c>
      <c r="K169" s="6"/>
      <c r="L169" s="6"/>
      <c r="M169" s="6"/>
      <c r="N169" s="6">
        <f t="shared" ref="N169:P169" si="172">IF(LEN($C169)&gt;0,H169-E169,"")</f>
        <v>-101674.7583</v>
      </c>
      <c r="O169" s="6">
        <f t="shared" si="172"/>
        <v>-3.139939501</v>
      </c>
      <c r="P169" s="6">
        <f t="shared" si="172"/>
        <v>-1.414653648</v>
      </c>
      <c r="Q169" s="6"/>
      <c r="R169" s="6"/>
      <c r="S169" s="6"/>
      <c r="T169" s="6"/>
      <c r="U169" s="6"/>
      <c r="V169" s="6"/>
      <c r="W169" s="6"/>
      <c r="X169" s="6"/>
      <c r="Y169" s="6"/>
      <c r="Z169" s="6"/>
      <c r="AA169" s="6"/>
      <c r="AB169" s="6"/>
      <c r="AC169" s="6"/>
      <c r="AD169" s="6"/>
      <c r="AE169" s="6"/>
      <c r="AF169" s="6"/>
      <c r="AG169" s="6"/>
    </row>
    <row r="170" ht="14.25" customHeight="1">
      <c r="A170" s="6"/>
      <c r="B170" s="6"/>
      <c r="C170" s="6">
        <v>163.0</v>
      </c>
      <c r="D170" s="6"/>
      <c r="E170" s="6">
        <v>7097873.162794697</v>
      </c>
      <c r="F170" s="6">
        <v>430.30109938752935</v>
      </c>
      <c r="G170" s="6">
        <v>5.708345494406886</v>
      </c>
      <c r="H170" s="6">
        <v>6989300.748184703</v>
      </c>
      <c r="I170" s="6">
        <v>426.6732114582271</v>
      </c>
      <c r="J170" s="6">
        <v>4.240925647691367</v>
      </c>
      <c r="K170" s="6"/>
      <c r="L170" s="6"/>
      <c r="M170" s="6"/>
      <c r="N170" s="6">
        <f t="shared" ref="N170:P170" si="173">IF(LEN($C170)&gt;0,H170-E170,"")</f>
        <v>-108572.4146</v>
      </c>
      <c r="O170" s="6">
        <f t="shared" si="173"/>
        <v>-3.627887929</v>
      </c>
      <c r="P170" s="6">
        <f t="shared" si="173"/>
        <v>-1.467419847</v>
      </c>
      <c r="Q170" s="6"/>
      <c r="R170" s="6"/>
      <c r="S170" s="6"/>
      <c r="T170" s="6"/>
      <c r="U170" s="6"/>
      <c r="V170" s="6"/>
      <c r="W170" s="6"/>
      <c r="X170" s="6"/>
      <c r="Y170" s="6"/>
      <c r="Z170" s="6"/>
      <c r="AA170" s="6"/>
      <c r="AB170" s="6"/>
      <c r="AC170" s="6"/>
      <c r="AD170" s="6"/>
      <c r="AE170" s="6"/>
      <c r="AF170" s="6"/>
      <c r="AG170" s="6"/>
    </row>
    <row r="171" ht="14.25" customHeight="1">
      <c r="A171" s="6"/>
      <c r="B171" s="6"/>
      <c r="C171" s="6">
        <v>164.0</v>
      </c>
      <c r="D171" s="6"/>
      <c r="E171" s="6">
        <v>6219920.777121192</v>
      </c>
      <c r="F171" s="6">
        <v>479.14966930891626</v>
      </c>
      <c r="G171" s="6">
        <v>5.852209878481132</v>
      </c>
      <c r="H171" s="6">
        <v>6109130.051638135</v>
      </c>
      <c r="I171" s="6">
        <v>474.68301173322664</v>
      </c>
      <c r="J171" s="6">
        <v>4.760497951126259</v>
      </c>
      <c r="K171" s="6"/>
      <c r="L171" s="6"/>
      <c r="M171" s="6"/>
      <c r="N171" s="6">
        <f t="shared" ref="N171:P171" si="174">IF(LEN($C171)&gt;0,H171-E171,"")</f>
        <v>-110790.7255</v>
      </c>
      <c r="O171" s="6">
        <f t="shared" si="174"/>
        <v>-4.466657576</v>
      </c>
      <c r="P171" s="6">
        <f t="shared" si="174"/>
        <v>-1.091711927</v>
      </c>
      <c r="Q171" s="6"/>
      <c r="R171" s="6"/>
      <c r="S171" s="6"/>
      <c r="T171" s="6"/>
      <c r="U171" s="6"/>
      <c r="V171" s="6"/>
      <c r="W171" s="6"/>
      <c r="X171" s="6"/>
      <c r="Y171" s="6"/>
      <c r="Z171" s="6"/>
      <c r="AA171" s="6"/>
      <c r="AB171" s="6"/>
      <c r="AC171" s="6"/>
      <c r="AD171" s="6"/>
      <c r="AE171" s="6"/>
      <c r="AF171" s="6"/>
      <c r="AG171" s="6"/>
    </row>
    <row r="172" ht="14.25" customHeight="1">
      <c r="A172" s="6"/>
      <c r="B172" s="6"/>
      <c r="C172" s="6">
        <v>165.0</v>
      </c>
      <c r="D172" s="6"/>
      <c r="E172" s="6">
        <v>8009906.666382398</v>
      </c>
      <c r="F172" s="6">
        <v>477.1403266354648</v>
      </c>
      <c r="G172" s="6">
        <v>4.79827640934078</v>
      </c>
      <c r="H172" s="6">
        <v>7926480.793341659</v>
      </c>
      <c r="I172" s="6">
        <v>474.93806630688226</v>
      </c>
      <c r="J172" s="6">
        <v>3.710419735678385</v>
      </c>
      <c r="K172" s="6"/>
      <c r="L172" s="6"/>
      <c r="M172" s="6"/>
      <c r="N172" s="6">
        <f t="shared" ref="N172:P172" si="175">IF(LEN($C172)&gt;0,H172-E172,"")</f>
        <v>-83425.87304</v>
      </c>
      <c r="O172" s="6">
        <f t="shared" si="175"/>
        <v>-2.202260329</v>
      </c>
      <c r="P172" s="6">
        <f t="shared" si="175"/>
        <v>-1.087856674</v>
      </c>
      <c r="Q172" s="6"/>
      <c r="R172" s="6"/>
      <c r="S172" s="6"/>
      <c r="T172" s="6"/>
      <c r="U172" s="6"/>
      <c r="V172" s="6"/>
      <c r="W172" s="6"/>
      <c r="X172" s="6"/>
      <c r="Y172" s="6"/>
      <c r="Z172" s="6"/>
      <c r="AA172" s="6"/>
      <c r="AB172" s="6"/>
      <c r="AC172" s="6"/>
      <c r="AD172" s="6"/>
      <c r="AE172" s="6"/>
      <c r="AF172" s="6"/>
      <c r="AG172" s="6"/>
    </row>
    <row r="173" ht="14.25" customHeight="1">
      <c r="A173" s="6"/>
      <c r="B173" s="6"/>
      <c r="C173" s="6">
        <v>166.0</v>
      </c>
      <c r="D173" s="6"/>
      <c r="E173" s="6">
        <v>8975820.272044808</v>
      </c>
      <c r="F173" s="6">
        <v>480.40486165635315</v>
      </c>
      <c r="G173" s="6">
        <v>4.259135684335888</v>
      </c>
      <c r="H173" s="6">
        <v>8743514.443666106</v>
      </c>
      <c r="I173" s="6">
        <v>471.2726468962384</v>
      </c>
      <c r="J173" s="6">
        <v>2.7469302085027354</v>
      </c>
      <c r="K173" s="6"/>
      <c r="L173" s="6"/>
      <c r="M173" s="6"/>
      <c r="N173" s="6">
        <f t="shared" ref="N173:P173" si="176">IF(LEN($C173)&gt;0,H173-E173,"")</f>
        <v>-232305.8284</v>
      </c>
      <c r="O173" s="6">
        <f t="shared" si="176"/>
        <v>-9.13221476</v>
      </c>
      <c r="P173" s="6">
        <f t="shared" si="176"/>
        <v>-1.512205476</v>
      </c>
      <c r="Q173" s="6"/>
      <c r="R173" s="6"/>
      <c r="S173" s="6"/>
      <c r="T173" s="6"/>
      <c r="U173" s="6"/>
      <c r="V173" s="6"/>
      <c r="W173" s="6"/>
      <c r="X173" s="6"/>
      <c r="Y173" s="6"/>
      <c r="Z173" s="6"/>
      <c r="AA173" s="6"/>
      <c r="AB173" s="6"/>
      <c r="AC173" s="6"/>
      <c r="AD173" s="6"/>
      <c r="AE173" s="6"/>
      <c r="AF173" s="6"/>
      <c r="AG173" s="6"/>
    </row>
    <row r="174" ht="14.25" customHeight="1">
      <c r="A174" s="6"/>
      <c r="B174" s="6"/>
      <c r="C174" s="6">
        <v>167.0</v>
      </c>
      <c r="D174" s="6"/>
      <c r="E174" s="6">
        <v>6583418.4341588225</v>
      </c>
      <c r="F174" s="6">
        <v>487.8956498362788</v>
      </c>
      <c r="G174" s="6">
        <v>4.725659231236268</v>
      </c>
      <c r="H174" s="6">
        <v>6490821.1860290235</v>
      </c>
      <c r="I174" s="6">
        <v>484.8613667763792</v>
      </c>
      <c r="J174" s="6">
        <v>3.3404935730399057</v>
      </c>
      <c r="K174" s="6"/>
      <c r="L174" s="6"/>
      <c r="M174" s="6"/>
      <c r="N174" s="6">
        <f t="shared" ref="N174:P174" si="177">IF(LEN($C174)&gt;0,H174-E174,"")</f>
        <v>-92597.24813</v>
      </c>
      <c r="O174" s="6">
        <f t="shared" si="177"/>
        <v>-3.03428306</v>
      </c>
      <c r="P174" s="6">
        <f t="shared" si="177"/>
        <v>-1.385165658</v>
      </c>
      <c r="Q174" s="6"/>
      <c r="R174" s="6"/>
      <c r="S174" s="6"/>
      <c r="T174" s="6"/>
      <c r="U174" s="6"/>
      <c r="V174" s="6"/>
      <c r="W174" s="6"/>
      <c r="X174" s="6"/>
      <c r="Y174" s="6"/>
      <c r="Z174" s="6"/>
      <c r="AA174" s="6"/>
      <c r="AB174" s="6"/>
      <c r="AC174" s="6"/>
      <c r="AD174" s="6"/>
      <c r="AE174" s="6"/>
      <c r="AF174" s="6"/>
      <c r="AG174" s="6"/>
    </row>
    <row r="175" ht="14.25" customHeight="1">
      <c r="A175" s="6"/>
      <c r="B175" s="6"/>
      <c r="C175" s="6">
        <v>168.0</v>
      </c>
      <c r="D175" s="6"/>
      <c r="E175" s="6">
        <v>7458291.928436441</v>
      </c>
      <c r="F175" s="6">
        <v>490.5506073441786</v>
      </c>
      <c r="G175" s="6">
        <v>5.750947161941796</v>
      </c>
      <c r="H175" s="6">
        <v>7285933.372361801</v>
      </c>
      <c r="I175" s="6">
        <v>484.156150553714</v>
      </c>
      <c r="J175" s="6">
        <v>4.301976540375709</v>
      </c>
      <c r="K175" s="6"/>
      <c r="L175" s="6"/>
      <c r="M175" s="6"/>
      <c r="N175" s="6">
        <f t="shared" ref="N175:P175" si="178">IF(LEN($C175)&gt;0,H175-E175,"")</f>
        <v>-172358.5561</v>
      </c>
      <c r="O175" s="6">
        <f t="shared" si="178"/>
        <v>-6.39445679</v>
      </c>
      <c r="P175" s="6">
        <f t="shared" si="178"/>
        <v>-1.448970622</v>
      </c>
      <c r="Q175" s="6"/>
      <c r="R175" s="6"/>
      <c r="S175" s="6"/>
      <c r="T175" s="6"/>
      <c r="U175" s="6"/>
      <c r="V175" s="6"/>
      <c r="W175" s="6"/>
      <c r="X175" s="6"/>
      <c r="Y175" s="6"/>
      <c r="Z175" s="6"/>
      <c r="AA175" s="6"/>
      <c r="AB175" s="6"/>
      <c r="AC175" s="6"/>
      <c r="AD175" s="6"/>
      <c r="AE175" s="6"/>
      <c r="AF175" s="6"/>
      <c r="AG175" s="6"/>
    </row>
    <row r="176" ht="14.25" customHeight="1">
      <c r="A176" s="6"/>
      <c r="B176" s="6"/>
      <c r="C176" s="6">
        <v>169.0</v>
      </c>
      <c r="D176" s="6"/>
      <c r="E176" s="6">
        <v>6673532.999053332</v>
      </c>
      <c r="F176" s="6">
        <v>485.1254069621621</v>
      </c>
      <c r="G176" s="6">
        <v>4.333836353264421</v>
      </c>
      <c r="H176" s="6">
        <v>6550793.262052672</v>
      </c>
      <c r="I176" s="6">
        <v>478.74680778917246</v>
      </c>
      <c r="J176" s="6">
        <v>3.1705134785906415</v>
      </c>
      <c r="K176" s="6"/>
      <c r="L176" s="6"/>
      <c r="M176" s="6"/>
      <c r="N176" s="6">
        <f t="shared" ref="N176:P176" si="179">IF(LEN($C176)&gt;0,H176-E176,"")</f>
        <v>-122739.737</v>
      </c>
      <c r="O176" s="6">
        <f t="shared" si="179"/>
        <v>-6.378599173</v>
      </c>
      <c r="P176" s="6">
        <f t="shared" si="179"/>
        <v>-1.163322875</v>
      </c>
      <c r="Q176" s="6"/>
      <c r="R176" s="6"/>
      <c r="S176" s="6"/>
      <c r="T176" s="6"/>
      <c r="U176" s="6"/>
      <c r="V176" s="6"/>
      <c r="W176" s="6"/>
      <c r="X176" s="6"/>
      <c r="Y176" s="6"/>
      <c r="Z176" s="6"/>
      <c r="AA176" s="6"/>
      <c r="AB176" s="6"/>
      <c r="AC176" s="6"/>
      <c r="AD176" s="6"/>
      <c r="AE176" s="6"/>
      <c r="AF176" s="6"/>
      <c r="AG176" s="6"/>
    </row>
    <row r="177" ht="14.25" customHeight="1">
      <c r="A177" s="6"/>
      <c r="B177" s="6"/>
      <c r="C177" s="6">
        <v>170.0</v>
      </c>
      <c r="D177" s="6"/>
      <c r="E177" s="6">
        <v>9967419.513741558</v>
      </c>
      <c r="F177" s="6">
        <v>465.80393208056313</v>
      </c>
      <c r="G177" s="6">
        <v>4.876185524388325</v>
      </c>
      <c r="H177" s="6">
        <v>9682825.843922967</v>
      </c>
      <c r="I177" s="6">
        <v>456.2962672132419</v>
      </c>
      <c r="J177" s="6">
        <v>3.299307870329313</v>
      </c>
      <c r="K177" s="6"/>
      <c r="L177" s="6"/>
      <c r="M177" s="6"/>
      <c r="N177" s="6">
        <f t="shared" ref="N177:P177" si="180">IF(LEN($C177)&gt;0,H177-E177,"")</f>
        <v>-284593.6698</v>
      </c>
      <c r="O177" s="6">
        <f t="shared" si="180"/>
        <v>-9.507664867</v>
      </c>
      <c r="P177" s="6">
        <f t="shared" si="180"/>
        <v>-1.576877654</v>
      </c>
      <c r="Q177" s="6"/>
      <c r="R177" s="6"/>
      <c r="S177" s="6"/>
      <c r="T177" s="6"/>
      <c r="U177" s="6"/>
      <c r="V177" s="6"/>
      <c r="W177" s="6"/>
      <c r="X177" s="6"/>
      <c r="Y177" s="6"/>
      <c r="Z177" s="6"/>
      <c r="AA177" s="6"/>
      <c r="AB177" s="6"/>
      <c r="AC177" s="6"/>
      <c r="AD177" s="6"/>
      <c r="AE177" s="6"/>
      <c r="AF177" s="6"/>
      <c r="AG177" s="6"/>
    </row>
    <row r="178" ht="14.25" customHeight="1">
      <c r="A178" s="6"/>
      <c r="B178" s="6"/>
      <c r="C178" s="6">
        <v>171.0</v>
      </c>
      <c r="D178" s="6"/>
      <c r="E178" s="6">
        <v>7566295.454163599</v>
      </c>
      <c r="F178" s="6">
        <v>469.68660155378427</v>
      </c>
      <c r="G178" s="6">
        <v>6.179425579305133</v>
      </c>
      <c r="H178" s="6">
        <v>7459416.626105268</v>
      </c>
      <c r="I178" s="6">
        <v>465.0638416191793</v>
      </c>
      <c r="J178" s="6">
        <v>4.6183106493692945</v>
      </c>
      <c r="K178" s="6"/>
      <c r="L178" s="6"/>
      <c r="M178" s="6"/>
      <c r="N178" s="6">
        <f t="shared" ref="N178:P178" si="181">IF(LEN($C178)&gt;0,H178-E178,"")</f>
        <v>-106878.8281</v>
      </c>
      <c r="O178" s="6">
        <f t="shared" si="181"/>
        <v>-4.622759935</v>
      </c>
      <c r="P178" s="6">
        <f t="shared" si="181"/>
        <v>-1.56111493</v>
      </c>
      <c r="Q178" s="6"/>
      <c r="R178" s="6"/>
      <c r="S178" s="6"/>
      <c r="T178" s="6"/>
      <c r="U178" s="6"/>
      <c r="V178" s="6"/>
      <c r="W178" s="6"/>
      <c r="X178" s="6"/>
      <c r="Y178" s="6"/>
      <c r="Z178" s="6"/>
      <c r="AA178" s="6"/>
      <c r="AB178" s="6"/>
      <c r="AC178" s="6"/>
      <c r="AD178" s="6"/>
      <c r="AE178" s="6"/>
      <c r="AF178" s="6"/>
      <c r="AG178" s="6"/>
    </row>
    <row r="179" ht="14.25" customHeight="1">
      <c r="A179" s="6"/>
      <c r="B179" s="6"/>
      <c r="C179" s="6">
        <v>172.0</v>
      </c>
      <c r="D179" s="6"/>
      <c r="E179" s="6">
        <v>7826196.236787709</v>
      </c>
      <c r="F179" s="6">
        <v>442.4656174741759</v>
      </c>
      <c r="G179" s="6">
        <v>4.647457299919524</v>
      </c>
      <c r="H179" s="6">
        <v>7718359.665789156</v>
      </c>
      <c r="I179" s="6">
        <v>437.53239601845485</v>
      </c>
      <c r="J179" s="6">
        <v>3.6119866643851446</v>
      </c>
      <c r="K179" s="6"/>
      <c r="L179" s="6"/>
      <c r="M179" s="6"/>
      <c r="N179" s="6">
        <f t="shared" ref="N179:P179" si="182">IF(LEN($C179)&gt;0,H179-E179,"")</f>
        <v>-107836.571</v>
      </c>
      <c r="O179" s="6">
        <f t="shared" si="182"/>
        <v>-4.933221456</v>
      </c>
      <c r="P179" s="6">
        <f t="shared" si="182"/>
        <v>-1.035470636</v>
      </c>
      <c r="Q179" s="6"/>
      <c r="R179" s="6"/>
      <c r="S179" s="6"/>
      <c r="T179" s="6"/>
      <c r="U179" s="6"/>
      <c r="V179" s="6"/>
      <c r="W179" s="6"/>
      <c r="X179" s="6"/>
      <c r="Y179" s="6"/>
      <c r="Z179" s="6"/>
      <c r="AA179" s="6"/>
      <c r="AB179" s="6"/>
      <c r="AC179" s="6"/>
      <c r="AD179" s="6"/>
      <c r="AE179" s="6"/>
      <c r="AF179" s="6"/>
      <c r="AG179" s="6"/>
    </row>
    <row r="180" ht="14.25" customHeight="1">
      <c r="A180" s="6"/>
      <c r="B180" s="6"/>
      <c r="C180" s="6">
        <v>173.0</v>
      </c>
      <c r="D180" s="6"/>
      <c r="E180" s="6">
        <v>7160209.749135475</v>
      </c>
      <c r="F180" s="6">
        <v>492.51400200418425</v>
      </c>
      <c r="G180" s="6">
        <v>4.8176852866765465</v>
      </c>
      <c r="H180" s="6">
        <v>7085230.402939869</v>
      </c>
      <c r="I180" s="6">
        <v>488.6413535782962</v>
      </c>
      <c r="J180" s="6">
        <v>3.772496759791822</v>
      </c>
      <c r="K180" s="6"/>
      <c r="L180" s="6"/>
      <c r="M180" s="6"/>
      <c r="N180" s="6">
        <f t="shared" ref="N180:P180" si="183">IF(LEN($C180)&gt;0,H180-E180,"")</f>
        <v>-74979.3462</v>
      </c>
      <c r="O180" s="6">
        <f t="shared" si="183"/>
        <v>-3.872648426</v>
      </c>
      <c r="P180" s="6">
        <f t="shared" si="183"/>
        <v>-1.045188527</v>
      </c>
      <c r="Q180" s="6"/>
      <c r="R180" s="6"/>
      <c r="S180" s="6"/>
      <c r="T180" s="6"/>
      <c r="U180" s="6"/>
      <c r="V180" s="6"/>
      <c r="W180" s="6"/>
      <c r="X180" s="6"/>
      <c r="Y180" s="6"/>
      <c r="Z180" s="6"/>
      <c r="AA180" s="6"/>
      <c r="AB180" s="6"/>
      <c r="AC180" s="6"/>
      <c r="AD180" s="6"/>
      <c r="AE180" s="6"/>
      <c r="AF180" s="6"/>
      <c r="AG180" s="6"/>
    </row>
    <row r="181" ht="14.25" customHeight="1">
      <c r="A181" s="6"/>
      <c r="B181" s="6"/>
      <c r="C181" s="6">
        <v>174.0</v>
      </c>
      <c r="D181" s="6"/>
      <c r="E181" s="6">
        <v>7075053.424686806</v>
      </c>
      <c r="F181" s="6">
        <v>452.28454357000425</v>
      </c>
      <c r="G181" s="6">
        <v>4.409587455080177</v>
      </c>
      <c r="H181" s="6">
        <v>6974232.307926717</v>
      </c>
      <c r="I181" s="6">
        <v>447.6097189009125</v>
      </c>
      <c r="J181" s="6">
        <v>3.352915001104211</v>
      </c>
      <c r="K181" s="6"/>
      <c r="L181" s="6"/>
      <c r="M181" s="6"/>
      <c r="N181" s="6">
        <f t="shared" ref="N181:P181" si="184">IF(LEN($C181)&gt;0,H181-E181,"")</f>
        <v>-100821.1168</v>
      </c>
      <c r="O181" s="6">
        <f t="shared" si="184"/>
        <v>-4.674824669</v>
      </c>
      <c r="P181" s="6">
        <f t="shared" si="184"/>
        <v>-1.056672454</v>
      </c>
      <c r="Q181" s="6"/>
      <c r="R181" s="6"/>
      <c r="S181" s="6"/>
      <c r="T181" s="6"/>
      <c r="U181" s="6"/>
      <c r="V181" s="6"/>
      <c r="W181" s="6"/>
      <c r="X181" s="6"/>
      <c r="Y181" s="6"/>
      <c r="Z181" s="6"/>
      <c r="AA181" s="6"/>
      <c r="AB181" s="6"/>
      <c r="AC181" s="6"/>
      <c r="AD181" s="6"/>
      <c r="AE181" s="6"/>
      <c r="AF181" s="6"/>
      <c r="AG181" s="6"/>
    </row>
    <row r="182" ht="14.25" customHeight="1">
      <c r="A182" s="6"/>
      <c r="B182" s="6"/>
      <c r="C182" s="6">
        <v>175.0</v>
      </c>
      <c r="D182" s="6"/>
      <c r="E182" s="6">
        <v>7801500.120487359</v>
      </c>
      <c r="F182" s="6">
        <v>460.6221304215056</v>
      </c>
      <c r="G182" s="6">
        <v>4.284634420286036</v>
      </c>
      <c r="H182" s="6">
        <v>7722605.086460568</v>
      </c>
      <c r="I182" s="6">
        <v>457.55973950472986</v>
      </c>
      <c r="J182" s="6">
        <v>3.1780593342387</v>
      </c>
      <c r="K182" s="6"/>
      <c r="L182" s="6"/>
      <c r="M182" s="6"/>
      <c r="N182" s="6">
        <f t="shared" ref="N182:P182" si="185">IF(LEN($C182)&gt;0,H182-E182,"")</f>
        <v>-78895.03403</v>
      </c>
      <c r="O182" s="6">
        <f t="shared" si="185"/>
        <v>-3.062390917</v>
      </c>
      <c r="P182" s="6">
        <f t="shared" si="185"/>
        <v>-1.106575086</v>
      </c>
      <c r="Q182" s="6"/>
      <c r="R182" s="6"/>
      <c r="S182" s="6"/>
      <c r="T182" s="6"/>
      <c r="U182" s="6"/>
      <c r="V182" s="6"/>
      <c r="W182" s="6"/>
      <c r="X182" s="6"/>
      <c r="Y182" s="6"/>
      <c r="Z182" s="6"/>
      <c r="AA182" s="6"/>
      <c r="AB182" s="6"/>
      <c r="AC182" s="6"/>
      <c r="AD182" s="6"/>
      <c r="AE182" s="6"/>
      <c r="AF182" s="6"/>
      <c r="AG182" s="6"/>
    </row>
    <row r="183" ht="14.25" customHeight="1">
      <c r="A183" s="6"/>
      <c r="B183" s="6"/>
      <c r="C183" s="6">
        <v>176.0</v>
      </c>
      <c r="D183" s="6"/>
      <c r="E183" s="6">
        <v>6836977.234776682</v>
      </c>
      <c r="F183" s="6">
        <v>474.6127954433626</v>
      </c>
      <c r="G183" s="6">
        <v>5.937478534230126</v>
      </c>
      <c r="H183" s="6">
        <v>6712804.463426199</v>
      </c>
      <c r="I183" s="6">
        <v>470.5893478655235</v>
      </c>
      <c r="J183" s="6">
        <v>4.13777554439603</v>
      </c>
      <c r="K183" s="6"/>
      <c r="L183" s="6"/>
      <c r="M183" s="6"/>
      <c r="N183" s="6">
        <f t="shared" ref="N183:P183" si="186">IF(LEN($C183)&gt;0,H183-E183,"")</f>
        <v>-124172.7714</v>
      </c>
      <c r="O183" s="6">
        <f t="shared" si="186"/>
        <v>-4.023447578</v>
      </c>
      <c r="P183" s="6">
        <f t="shared" si="186"/>
        <v>-1.79970299</v>
      </c>
      <c r="Q183" s="6"/>
      <c r="R183" s="6"/>
      <c r="S183" s="6"/>
      <c r="T183" s="6"/>
      <c r="U183" s="6"/>
      <c r="V183" s="6"/>
      <c r="W183" s="6"/>
      <c r="X183" s="6"/>
      <c r="Y183" s="6"/>
      <c r="Z183" s="6"/>
      <c r="AA183" s="6"/>
      <c r="AB183" s="6"/>
      <c r="AC183" s="6"/>
      <c r="AD183" s="6"/>
      <c r="AE183" s="6"/>
      <c r="AF183" s="6"/>
      <c r="AG183" s="6"/>
    </row>
    <row r="184" ht="14.25" customHeight="1">
      <c r="A184" s="6"/>
      <c r="B184" s="6"/>
      <c r="C184" s="6">
        <v>177.0</v>
      </c>
      <c r="D184" s="6"/>
      <c r="E184" s="6">
        <v>7903961.265600087</v>
      </c>
      <c r="F184" s="6">
        <v>448.0648057180736</v>
      </c>
      <c r="G184" s="6">
        <v>5.13530399729668</v>
      </c>
      <c r="H184" s="6">
        <v>7651932.895274892</v>
      </c>
      <c r="I184" s="6">
        <v>439.83709315089374</v>
      </c>
      <c r="J184" s="6">
        <v>3.142745226117673</v>
      </c>
      <c r="K184" s="6"/>
      <c r="L184" s="6"/>
      <c r="M184" s="6"/>
      <c r="N184" s="6">
        <f t="shared" ref="N184:P184" si="187">IF(LEN($C184)&gt;0,H184-E184,"")</f>
        <v>-252028.3703</v>
      </c>
      <c r="O184" s="6">
        <f t="shared" si="187"/>
        <v>-8.227712567</v>
      </c>
      <c r="P184" s="6">
        <f t="shared" si="187"/>
        <v>-1.992558771</v>
      </c>
      <c r="Q184" s="6"/>
      <c r="R184" s="6"/>
      <c r="S184" s="6"/>
      <c r="T184" s="6"/>
      <c r="U184" s="6"/>
      <c r="V184" s="6"/>
      <c r="W184" s="6"/>
      <c r="X184" s="6"/>
      <c r="Y184" s="6"/>
      <c r="Z184" s="6"/>
      <c r="AA184" s="6"/>
      <c r="AB184" s="6"/>
      <c r="AC184" s="6"/>
      <c r="AD184" s="6"/>
      <c r="AE184" s="6"/>
      <c r="AF184" s="6"/>
      <c r="AG184" s="6"/>
    </row>
    <row r="185" ht="14.25" customHeight="1">
      <c r="A185" s="6"/>
      <c r="B185" s="6"/>
      <c r="C185" s="6">
        <v>178.0</v>
      </c>
      <c r="D185" s="6"/>
      <c r="E185" s="6">
        <v>6278623.661931819</v>
      </c>
      <c r="F185" s="6">
        <v>434.9345560233666</v>
      </c>
      <c r="G185" s="6">
        <v>4.1112462147424695</v>
      </c>
      <c r="H185" s="6">
        <v>6192522.481156573</v>
      </c>
      <c r="I185" s="6">
        <v>430.8225971466375</v>
      </c>
      <c r="J185" s="6">
        <v>3.0234189869233834</v>
      </c>
      <c r="K185" s="6"/>
      <c r="L185" s="6"/>
      <c r="M185" s="6"/>
      <c r="N185" s="6">
        <f t="shared" ref="N185:P185" si="188">IF(LEN($C185)&gt;0,H185-E185,"")</f>
        <v>-86101.18078</v>
      </c>
      <c r="O185" s="6">
        <f t="shared" si="188"/>
        <v>-4.111958877</v>
      </c>
      <c r="P185" s="6">
        <f t="shared" si="188"/>
        <v>-1.087827228</v>
      </c>
      <c r="Q185" s="6"/>
      <c r="R185" s="6"/>
      <c r="S185" s="6"/>
      <c r="T185" s="6"/>
      <c r="U185" s="6"/>
      <c r="V185" s="6"/>
      <c r="W185" s="6"/>
      <c r="X185" s="6"/>
      <c r="Y185" s="6"/>
      <c r="Z185" s="6"/>
      <c r="AA185" s="6"/>
      <c r="AB185" s="6"/>
      <c r="AC185" s="6"/>
      <c r="AD185" s="6"/>
      <c r="AE185" s="6"/>
      <c r="AF185" s="6"/>
      <c r="AG185" s="6"/>
    </row>
    <row r="186" ht="14.25" customHeight="1">
      <c r="A186" s="6"/>
      <c r="B186" s="6"/>
      <c r="C186" s="6">
        <v>179.0</v>
      </c>
      <c r="D186" s="6"/>
      <c r="E186" s="6">
        <v>6561735.62068449</v>
      </c>
      <c r="F186" s="6">
        <v>451.8502677912513</v>
      </c>
      <c r="G186" s="6">
        <v>5.788836744929844</v>
      </c>
      <c r="H186" s="6">
        <v>6452850.919415621</v>
      </c>
      <c r="I186" s="6">
        <v>445.77657279712133</v>
      </c>
      <c r="J186" s="6">
        <v>4.540905645192978</v>
      </c>
      <c r="K186" s="6"/>
      <c r="L186" s="6"/>
      <c r="M186" s="6"/>
      <c r="N186" s="6">
        <f t="shared" ref="N186:P186" si="189">IF(LEN($C186)&gt;0,H186-E186,"")</f>
        <v>-108884.7013</v>
      </c>
      <c r="O186" s="6">
        <f t="shared" si="189"/>
        <v>-6.073694994</v>
      </c>
      <c r="P186" s="6">
        <f t="shared" si="189"/>
        <v>-1.2479311</v>
      </c>
      <c r="Q186" s="6"/>
      <c r="R186" s="6"/>
      <c r="S186" s="6"/>
      <c r="T186" s="6"/>
      <c r="U186" s="6"/>
      <c r="V186" s="6"/>
      <c r="W186" s="6"/>
      <c r="X186" s="6"/>
      <c r="Y186" s="6"/>
      <c r="Z186" s="6"/>
      <c r="AA186" s="6"/>
      <c r="AB186" s="6"/>
      <c r="AC186" s="6"/>
      <c r="AD186" s="6"/>
      <c r="AE186" s="6"/>
      <c r="AF186" s="6"/>
      <c r="AG186" s="6"/>
    </row>
    <row r="187" ht="14.25" customHeight="1">
      <c r="A187" s="6"/>
      <c r="B187" s="6"/>
      <c r="C187" s="6">
        <v>180.0</v>
      </c>
      <c r="D187" s="6"/>
      <c r="E187" s="6">
        <v>7455153.744098553</v>
      </c>
      <c r="F187" s="6">
        <v>480.72324956913775</v>
      </c>
      <c r="G187" s="6">
        <v>3.688225921849183</v>
      </c>
      <c r="H187" s="6">
        <v>7371099.42436168</v>
      </c>
      <c r="I187" s="6">
        <v>477.46219561501795</v>
      </c>
      <c r="J187" s="6">
        <v>2.532817138850522</v>
      </c>
      <c r="K187" s="6"/>
      <c r="L187" s="6"/>
      <c r="M187" s="6"/>
      <c r="N187" s="6">
        <f t="shared" ref="N187:P187" si="190">IF(LEN($C187)&gt;0,H187-E187,"")</f>
        <v>-84054.31974</v>
      </c>
      <c r="O187" s="6">
        <f t="shared" si="190"/>
        <v>-3.261053954</v>
      </c>
      <c r="P187" s="6">
        <f t="shared" si="190"/>
        <v>-1.155408783</v>
      </c>
      <c r="Q187" s="6"/>
      <c r="R187" s="6"/>
      <c r="S187" s="6"/>
      <c r="T187" s="6"/>
      <c r="U187" s="6"/>
      <c r="V187" s="6"/>
      <c r="W187" s="6"/>
      <c r="X187" s="6"/>
      <c r="Y187" s="6"/>
      <c r="Z187" s="6"/>
      <c r="AA187" s="6"/>
      <c r="AB187" s="6"/>
      <c r="AC187" s="6"/>
      <c r="AD187" s="6"/>
      <c r="AE187" s="6"/>
      <c r="AF187" s="6"/>
      <c r="AG187" s="6"/>
    </row>
    <row r="188" ht="14.25" customHeight="1">
      <c r="A188" s="6"/>
      <c r="B188" s="6"/>
      <c r="C188" s="6">
        <v>181.0</v>
      </c>
      <c r="D188" s="6"/>
      <c r="E188" s="6">
        <v>8125976.413624214</v>
      </c>
      <c r="F188" s="6">
        <v>473.135977286827</v>
      </c>
      <c r="G188" s="6">
        <v>4.569908176935257</v>
      </c>
      <c r="H188" s="6">
        <v>8081972.596915745</v>
      </c>
      <c r="I188" s="6">
        <v>471.4727603599019</v>
      </c>
      <c r="J188" s="6">
        <v>3.7930441431525432</v>
      </c>
      <c r="K188" s="6"/>
      <c r="L188" s="6"/>
      <c r="M188" s="6"/>
      <c r="N188" s="6">
        <f t="shared" ref="N188:P188" si="191">IF(LEN($C188)&gt;0,H188-E188,"")</f>
        <v>-44003.81671</v>
      </c>
      <c r="O188" s="6">
        <f t="shared" si="191"/>
        <v>-1.663216927</v>
      </c>
      <c r="P188" s="6">
        <f t="shared" si="191"/>
        <v>-0.7768640338</v>
      </c>
      <c r="Q188" s="6"/>
      <c r="R188" s="6"/>
      <c r="S188" s="6"/>
      <c r="T188" s="6"/>
      <c r="U188" s="6"/>
      <c r="V188" s="6"/>
      <c r="W188" s="6"/>
      <c r="X188" s="6"/>
      <c r="Y188" s="6"/>
      <c r="Z188" s="6"/>
      <c r="AA188" s="6"/>
      <c r="AB188" s="6"/>
      <c r="AC188" s="6"/>
      <c r="AD188" s="6"/>
      <c r="AE188" s="6"/>
      <c r="AF188" s="6"/>
      <c r="AG188" s="6"/>
    </row>
    <row r="189" ht="14.25" customHeight="1">
      <c r="A189" s="6"/>
      <c r="B189" s="6"/>
      <c r="C189" s="6">
        <v>182.0</v>
      </c>
      <c r="D189" s="6"/>
      <c r="E189" s="6">
        <v>6167466.2685893765</v>
      </c>
      <c r="F189" s="6">
        <v>488.0951414077662</v>
      </c>
      <c r="G189" s="6">
        <v>5.5102300503549735</v>
      </c>
      <c r="H189" s="6">
        <v>6084345.370701244</v>
      </c>
      <c r="I189" s="6">
        <v>483.67030315698906</v>
      </c>
      <c r="J189" s="6">
        <v>4.48149851008581</v>
      </c>
      <c r="K189" s="6"/>
      <c r="L189" s="6"/>
      <c r="M189" s="6"/>
      <c r="N189" s="6">
        <f t="shared" ref="N189:P189" si="192">IF(LEN($C189)&gt;0,H189-E189,"")</f>
        <v>-83120.89789</v>
      </c>
      <c r="O189" s="6">
        <f t="shared" si="192"/>
        <v>-4.424838251</v>
      </c>
      <c r="P189" s="6">
        <f t="shared" si="192"/>
        <v>-1.02873154</v>
      </c>
      <c r="Q189" s="6"/>
      <c r="R189" s="6"/>
      <c r="S189" s="6"/>
      <c r="T189" s="6"/>
      <c r="U189" s="6"/>
      <c r="V189" s="6"/>
      <c r="W189" s="6"/>
      <c r="X189" s="6"/>
      <c r="Y189" s="6"/>
      <c r="Z189" s="6"/>
      <c r="AA189" s="6"/>
      <c r="AB189" s="6"/>
      <c r="AC189" s="6"/>
      <c r="AD189" s="6"/>
      <c r="AE189" s="6"/>
      <c r="AF189" s="6"/>
      <c r="AG189" s="6"/>
    </row>
    <row r="190" ht="14.25" customHeight="1">
      <c r="A190" s="6"/>
      <c r="B190" s="6"/>
      <c r="C190" s="6">
        <v>183.0</v>
      </c>
      <c r="D190" s="6"/>
      <c r="E190" s="6">
        <v>7362650.791381272</v>
      </c>
      <c r="F190" s="6">
        <v>466.1146713513421</v>
      </c>
      <c r="G190" s="6">
        <v>5.523092475211464</v>
      </c>
      <c r="H190" s="6">
        <v>7192494.6920330385</v>
      </c>
      <c r="I190" s="6">
        <v>461.2833603806226</v>
      </c>
      <c r="J190" s="6">
        <v>3.4437454738792246</v>
      </c>
      <c r="K190" s="6"/>
      <c r="L190" s="6"/>
      <c r="M190" s="6"/>
      <c r="N190" s="6">
        <f t="shared" ref="N190:P190" si="193">IF(LEN($C190)&gt;0,H190-E190,"")</f>
        <v>-170156.0993</v>
      </c>
      <c r="O190" s="6">
        <f t="shared" si="193"/>
        <v>-4.831310971</v>
      </c>
      <c r="P190" s="6">
        <f t="shared" si="193"/>
        <v>-2.079347001</v>
      </c>
      <c r="Q190" s="6"/>
      <c r="R190" s="6"/>
      <c r="S190" s="6"/>
      <c r="T190" s="6"/>
      <c r="U190" s="6"/>
      <c r="V190" s="6"/>
      <c r="W190" s="6"/>
      <c r="X190" s="6"/>
      <c r="Y190" s="6"/>
      <c r="Z190" s="6"/>
      <c r="AA190" s="6"/>
      <c r="AB190" s="6"/>
      <c r="AC190" s="6"/>
      <c r="AD190" s="6"/>
      <c r="AE190" s="6"/>
      <c r="AF190" s="6"/>
      <c r="AG190" s="6"/>
    </row>
    <row r="191" ht="14.25" customHeight="1">
      <c r="A191" s="6"/>
      <c r="B191" s="6"/>
      <c r="C191" s="6">
        <v>184.0</v>
      </c>
      <c r="D191" s="6"/>
      <c r="E191" s="6">
        <v>7799193.175937122</v>
      </c>
      <c r="F191" s="6">
        <v>485.63617550608075</v>
      </c>
      <c r="G191" s="6">
        <v>6.208913496298525</v>
      </c>
      <c r="H191" s="6">
        <v>7708587.848642703</v>
      </c>
      <c r="I191" s="6">
        <v>481.077309020519</v>
      </c>
      <c r="J191" s="6">
        <v>5.17508175720454</v>
      </c>
      <c r="K191" s="6"/>
      <c r="L191" s="6"/>
      <c r="M191" s="6"/>
      <c r="N191" s="6">
        <f t="shared" ref="N191:P191" si="194">IF(LEN($C191)&gt;0,H191-E191,"")</f>
        <v>-90605.32729</v>
      </c>
      <c r="O191" s="6">
        <f t="shared" si="194"/>
        <v>-4.558866486</v>
      </c>
      <c r="P191" s="6">
        <f t="shared" si="194"/>
        <v>-1.033831739</v>
      </c>
      <c r="Q191" s="6"/>
      <c r="R191" s="6"/>
      <c r="S191" s="6"/>
      <c r="T191" s="6"/>
      <c r="U191" s="6"/>
      <c r="V191" s="6"/>
      <c r="W191" s="6"/>
      <c r="X191" s="6"/>
      <c r="Y191" s="6"/>
      <c r="Z191" s="6"/>
      <c r="AA191" s="6"/>
      <c r="AB191" s="6"/>
      <c r="AC191" s="6"/>
      <c r="AD191" s="6"/>
      <c r="AE191" s="6"/>
      <c r="AF191" s="6"/>
      <c r="AG191" s="6"/>
    </row>
    <row r="192" ht="14.25" customHeight="1">
      <c r="A192" s="6"/>
      <c r="B192" s="6"/>
      <c r="C192" s="6">
        <v>185.0</v>
      </c>
      <c r="D192" s="6"/>
      <c r="E192" s="6">
        <v>8309762.842019265</v>
      </c>
      <c r="F192" s="6">
        <v>491.9335751362074</v>
      </c>
      <c r="G192" s="6">
        <v>5.381891027149815</v>
      </c>
      <c r="H192" s="6">
        <v>8111040.488320508</v>
      </c>
      <c r="I192" s="6">
        <v>481.93399029723736</v>
      </c>
      <c r="J192" s="6">
        <v>3.860861666340532</v>
      </c>
      <c r="K192" s="6"/>
      <c r="L192" s="6"/>
      <c r="M192" s="6"/>
      <c r="N192" s="6">
        <f t="shared" ref="N192:P192" si="195">IF(LEN($C192)&gt;0,H192-E192,"")</f>
        <v>-198722.3537</v>
      </c>
      <c r="O192" s="6">
        <f t="shared" si="195"/>
        <v>-9.999584839</v>
      </c>
      <c r="P192" s="6">
        <f t="shared" si="195"/>
        <v>-1.521029361</v>
      </c>
      <c r="Q192" s="6"/>
      <c r="R192" s="6"/>
      <c r="S192" s="6"/>
      <c r="T192" s="6"/>
      <c r="U192" s="6"/>
      <c r="V192" s="6"/>
      <c r="W192" s="6"/>
      <c r="X192" s="6"/>
      <c r="Y192" s="6"/>
      <c r="Z192" s="6"/>
      <c r="AA192" s="6"/>
      <c r="AB192" s="6"/>
      <c r="AC192" s="6"/>
      <c r="AD192" s="6"/>
      <c r="AE192" s="6"/>
      <c r="AF192" s="6"/>
      <c r="AG192" s="6"/>
    </row>
    <row r="193" ht="14.25" customHeight="1">
      <c r="A193" s="6"/>
      <c r="B193" s="6"/>
      <c r="C193" s="6">
        <v>186.0</v>
      </c>
      <c r="D193" s="6"/>
      <c r="E193" s="6">
        <v>6975855.199546341</v>
      </c>
      <c r="F193" s="6">
        <v>464.34186565620655</v>
      </c>
      <c r="G193" s="6">
        <v>4.248228286785635</v>
      </c>
      <c r="H193" s="6">
        <v>6830643.610754882</v>
      </c>
      <c r="I193" s="6">
        <v>457.86796664217525</v>
      </c>
      <c r="J193" s="6">
        <v>3.025251697360999</v>
      </c>
      <c r="K193" s="6"/>
      <c r="L193" s="6"/>
      <c r="M193" s="6"/>
      <c r="N193" s="6">
        <f t="shared" ref="N193:P193" si="196">IF(LEN($C193)&gt;0,H193-E193,"")</f>
        <v>-145211.5888</v>
      </c>
      <c r="O193" s="6">
        <f t="shared" si="196"/>
        <v>-6.473899014</v>
      </c>
      <c r="P193" s="6">
        <f t="shared" si="196"/>
        <v>-1.222976589</v>
      </c>
      <c r="Q193" s="6"/>
      <c r="R193" s="6"/>
      <c r="S193" s="6"/>
      <c r="T193" s="6"/>
      <c r="U193" s="6"/>
      <c r="V193" s="6"/>
      <c r="W193" s="6"/>
      <c r="X193" s="6"/>
      <c r="Y193" s="6"/>
      <c r="Z193" s="6"/>
      <c r="AA193" s="6"/>
      <c r="AB193" s="6"/>
      <c r="AC193" s="6"/>
      <c r="AD193" s="6"/>
      <c r="AE193" s="6"/>
      <c r="AF193" s="6"/>
      <c r="AG193" s="6"/>
    </row>
    <row r="194" ht="14.25" customHeight="1">
      <c r="A194" s="6"/>
      <c r="B194" s="6"/>
      <c r="C194" s="6">
        <v>187.0</v>
      </c>
      <c r="D194" s="6"/>
      <c r="E194" s="6">
        <v>8974533.67720836</v>
      </c>
      <c r="F194" s="6">
        <v>449.56083136044083</v>
      </c>
      <c r="G194" s="6">
        <v>5.285223064624964</v>
      </c>
      <c r="H194" s="6">
        <v>8859361.072082555</v>
      </c>
      <c r="I194" s="6">
        <v>444.3627713824334</v>
      </c>
      <c r="J194" s="6">
        <v>3.8123839726494895</v>
      </c>
      <c r="K194" s="6"/>
      <c r="L194" s="6"/>
      <c r="M194" s="6"/>
      <c r="N194" s="6">
        <f t="shared" ref="N194:P194" si="197">IF(LEN($C194)&gt;0,H194-E194,"")</f>
        <v>-115172.6051</v>
      </c>
      <c r="O194" s="6">
        <f t="shared" si="197"/>
        <v>-5.198059978</v>
      </c>
      <c r="P194" s="6">
        <f t="shared" si="197"/>
        <v>-1.472839092</v>
      </c>
      <c r="Q194" s="6"/>
      <c r="R194" s="6"/>
      <c r="S194" s="6"/>
      <c r="T194" s="6"/>
      <c r="U194" s="6"/>
      <c r="V194" s="6"/>
      <c r="W194" s="6"/>
      <c r="X194" s="6"/>
      <c r="Y194" s="6"/>
      <c r="Z194" s="6"/>
      <c r="AA194" s="6"/>
      <c r="AB194" s="6"/>
      <c r="AC194" s="6"/>
      <c r="AD194" s="6"/>
      <c r="AE194" s="6"/>
      <c r="AF194" s="6"/>
      <c r="AG194" s="6"/>
    </row>
    <row r="195" ht="14.25" customHeight="1">
      <c r="A195" s="6"/>
      <c r="B195" s="6"/>
      <c r="C195" s="6">
        <v>188.0</v>
      </c>
      <c r="D195" s="6"/>
      <c r="E195" s="6">
        <v>8002237.713779771</v>
      </c>
      <c r="F195" s="6">
        <v>487.2774713634311</v>
      </c>
      <c r="G195" s="6">
        <v>3.8317230811003644</v>
      </c>
      <c r="H195" s="6">
        <v>7875557.640594921</v>
      </c>
      <c r="I195" s="6">
        <v>480.71136441851297</v>
      </c>
      <c r="J195" s="6">
        <v>2.3093001761002245</v>
      </c>
      <c r="K195" s="6"/>
      <c r="L195" s="6"/>
      <c r="M195" s="6"/>
      <c r="N195" s="6">
        <f t="shared" ref="N195:P195" si="198">IF(LEN($C195)&gt;0,H195-E195,"")</f>
        <v>-126680.0732</v>
      </c>
      <c r="O195" s="6">
        <f t="shared" si="198"/>
        <v>-6.566106945</v>
      </c>
      <c r="P195" s="6">
        <f t="shared" si="198"/>
        <v>-1.522422905</v>
      </c>
      <c r="Q195" s="6"/>
      <c r="R195" s="6"/>
      <c r="S195" s="6"/>
      <c r="T195" s="6"/>
      <c r="U195" s="6"/>
      <c r="V195" s="6"/>
      <c r="W195" s="6"/>
      <c r="X195" s="6"/>
      <c r="Y195" s="6"/>
      <c r="Z195" s="6"/>
      <c r="AA195" s="6"/>
      <c r="AB195" s="6"/>
      <c r="AC195" s="6"/>
      <c r="AD195" s="6"/>
      <c r="AE195" s="6"/>
      <c r="AF195" s="6"/>
      <c r="AG195" s="6"/>
    </row>
    <row r="196" ht="14.25" customHeight="1">
      <c r="A196" s="6"/>
      <c r="B196" s="6"/>
      <c r="C196" s="6">
        <v>189.0</v>
      </c>
      <c r="D196" s="6"/>
      <c r="E196" s="6">
        <v>6955060.481142637</v>
      </c>
      <c r="F196" s="6">
        <v>438.24604969542753</v>
      </c>
      <c r="G196" s="6">
        <v>4.284414757428702</v>
      </c>
      <c r="H196" s="6">
        <v>6892009.734881834</v>
      </c>
      <c r="I196" s="6">
        <v>436.0810151525028</v>
      </c>
      <c r="J196" s="6">
        <v>3.1285676457390204</v>
      </c>
      <c r="K196" s="6"/>
      <c r="L196" s="6"/>
      <c r="M196" s="6"/>
      <c r="N196" s="6">
        <f t="shared" ref="N196:P196" si="199">IF(LEN($C196)&gt;0,H196-E196,"")</f>
        <v>-63050.74626</v>
      </c>
      <c r="O196" s="6">
        <f t="shared" si="199"/>
        <v>-2.165034543</v>
      </c>
      <c r="P196" s="6">
        <f t="shared" si="199"/>
        <v>-1.155847112</v>
      </c>
      <c r="Q196" s="6"/>
      <c r="R196" s="6"/>
      <c r="S196" s="6"/>
      <c r="T196" s="6"/>
      <c r="U196" s="6"/>
      <c r="V196" s="6"/>
      <c r="W196" s="6"/>
      <c r="X196" s="6"/>
      <c r="Y196" s="6"/>
      <c r="Z196" s="6"/>
      <c r="AA196" s="6"/>
      <c r="AB196" s="6"/>
      <c r="AC196" s="6"/>
      <c r="AD196" s="6"/>
      <c r="AE196" s="6"/>
      <c r="AF196" s="6"/>
      <c r="AG196" s="6"/>
    </row>
    <row r="197" ht="14.25" customHeight="1">
      <c r="A197" s="6"/>
      <c r="B197" s="6"/>
      <c r="C197" s="6">
        <v>190.0</v>
      </c>
      <c r="D197" s="6"/>
      <c r="E197" s="6">
        <v>6439340.61331935</v>
      </c>
      <c r="F197" s="6">
        <v>469.1224938103697</v>
      </c>
      <c r="G197" s="6">
        <v>5.93043034371352</v>
      </c>
      <c r="H197" s="6">
        <v>6357952.332802813</v>
      </c>
      <c r="I197" s="6">
        <v>465.8137720577328</v>
      </c>
      <c r="J197" s="6">
        <v>4.4081152030525175</v>
      </c>
      <c r="K197" s="6"/>
      <c r="L197" s="6"/>
      <c r="M197" s="6"/>
      <c r="N197" s="6">
        <f t="shared" ref="N197:P197" si="200">IF(LEN($C197)&gt;0,H197-E197,"")</f>
        <v>-81388.28052</v>
      </c>
      <c r="O197" s="6">
        <f t="shared" si="200"/>
        <v>-3.308721753</v>
      </c>
      <c r="P197" s="6">
        <f t="shared" si="200"/>
        <v>-1.522315141</v>
      </c>
      <c r="Q197" s="6"/>
      <c r="R197" s="6"/>
      <c r="S197" s="6"/>
      <c r="T197" s="6"/>
      <c r="U197" s="6"/>
      <c r="V197" s="6"/>
      <c r="W197" s="6"/>
      <c r="X197" s="6"/>
      <c r="Y197" s="6"/>
      <c r="Z197" s="6"/>
      <c r="AA197" s="6"/>
      <c r="AB197" s="6"/>
      <c r="AC197" s="6"/>
      <c r="AD197" s="6"/>
      <c r="AE197" s="6"/>
      <c r="AF197" s="6"/>
      <c r="AG197" s="6"/>
    </row>
    <row r="198" ht="14.25" customHeight="1">
      <c r="A198" s="6"/>
      <c r="B198" s="6"/>
      <c r="C198" s="6">
        <v>191.0</v>
      </c>
      <c r="D198" s="6"/>
      <c r="E198" s="6">
        <v>6928146.950099541</v>
      </c>
      <c r="F198" s="6">
        <v>483.00922505790487</v>
      </c>
      <c r="G198" s="6">
        <v>4.898597328827426</v>
      </c>
      <c r="H198" s="6">
        <v>6788550.281327108</v>
      </c>
      <c r="I198" s="6">
        <v>478.7567359239157</v>
      </c>
      <c r="J198" s="6">
        <v>3.193009344769278</v>
      </c>
      <c r="K198" s="6"/>
      <c r="L198" s="6"/>
      <c r="M198" s="6"/>
      <c r="N198" s="6">
        <f t="shared" ref="N198:P198" si="201">IF(LEN($C198)&gt;0,H198-E198,"")</f>
        <v>-139596.6688</v>
      </c>
      <c r="O198" s="6">
        <f t="shared" si="201"/>
        <v>-4.252489134</v>
      </c>
      <c r="P198" s="6">
        <f t="shared" si="201"/>
        <v>-1.705587984</v>
      </c>
      <c r="Q198" s="6"/>
      <c r="R198" s="6"/>
      <c r="S198" s="6"/>
      <c r="T198" s="6"/>
      <c r="U198" s="6"/>
      <c r="V198" s="6"/>
      <c r="W198" s="6"/>
      <c r="X198" s="6"/>
      <c r="Y198" s="6"/>
      <c r="Z198" s="6"/>
      <c r="AA198" s="6"/>
      <c r="AB198" s="6"/>
      <c r="AC198" s="6"/>
      <c r="AD198" s="6"/>
      <c r="AE198" s="6"/>
      <c r="AF198" s="6"/>
      <c r="AG198" s="6"/>
    </row>
    <row r="199" ht="14.25" customHeight="1">
      <c r="A199" s="6"/>
      <c r="B199" s="6"/>
      <c r="C199" s="6">
        <v>192.0</v>
      </c>
      <c r="D199" s="6"/>
      <c r="E199" s="6">
        <v>6743379.45880949</v>
      </c>
      <c r="F199" s="6">
        <v>442.3645195492379</v>
      </c>
      <c r="G199" s="6">
        <v>5.590041997910079</v>
      </c>
      <c r="H199" s="6">
        <v>6630365.880764914</v>
      </c>
      <c r="I199" s="6">
        <v>437.1318708387668</v>
      </c>
      <c r="J199" s="6">
        <v>3.9758239510171953</v>
      </c>
      <c r="K199" s="6"/>
      <c r="L199" s="6"/>
      <c r="M199" s="6"/>
      <c r="N199" s="6">
        <f t="shared" ref="N199:P199" si="202">IF(LEN($C199)&gt;0,H199-E199,"")</f>
        <v>-113013.578</v>
      </c>
      <c r="O199" s="6">
        <f t="shared" si="202"/>
        <v>-5.23264871</v>
      </c>
      <c r="P199" s="6">
        <f t="shared" si="202"/>
        <v>-1.614218047</v>
      </c>
      <c r="Q199" s="6"/>
      <c r="R199" s="6"/>
      <c r="S199" s="6"/>
      <c r="T199" s="6"/>
      <c r="U199" s="6"/>
      <c r="V199" s="6"/>
      <c r="W199" s="6"/>
      <c r="X199" s="6"/>
      <c r="Y199" s="6"/>
      <c r="Z199" s="6"/>
      <c r="AA199" s="6"/>
      <c r="AB199" s="6"/>
      <c r="AC199" s="6"/>
      <c r="AD199" s="6"/>
      <c r="AE199" s="6"/>
      <c r="AF199" s="6"/>
      <c r="AG199" s="6"/>
    </row>
    <row r="200" ht="14.25" customHeight="1">
      <c r="A200" s="6"/>
      <c r="B200" s="6"/>
      <c r="C200" s="6">
        <v>193.0</v>
      </c>
      <c r="D200" s="6"/>
      <c r="E200" s="6">
        <v>8285654.544072829</v>
      </c>
      <c r="F200" s="6">
        <v>479.9242352455141</v>
      </c>
      <c r="G200" s="6">
        <v>3.5556777073421317</v>
      </c>
      <c r="H200" s="6">
        <v>8204301.146803941</v>
      </c>
      <c r="I200" s="6">
        <v>476.6425619509188</v>
      </c>
      <c r="J200" s="6">
        <v>2.6940673316478247</v>
      </c>
      <c r="K200" s="6"/>
      <c r="L200" s="6"/>
      <c r="M200" s="6"/>
      <c r="N200" s="6">
        <f t="shared" ref="N200:P200" si="203">IF(LEN($C200)&gt;0,H200-E200,"")</f>
        <v>-81353.39727</v>
      </c>
      <c r="O200" s="6">
        <f t="shared" si="203"/>
        <v>-3.281673295</v>
      </c>
      <c r="P200" s="6">
        <f t="shared" si="203"/>
        <v>-0.8616103757</v>
      </c>
      <c r="Q200" s="6"/>
      <c r="R200" s="6"/>
      <c r="S200" s="6"/>
      <c r="T200" s="6"/>
      <c r="U200" s="6"/>
      <c r="V200" s="6"/>
      <c r="W200" s="6"/>
      <c r="X200" s="6"/>
      <c r="Y200" s="6"/>
      <c r="Z200" s="6"/>
      <c r="AA200" s="6"/>
      <c r="AB200" s="6"/>
      <c r="AC200" s="6"/>
      <c r="AD200" s="6"/>
      <c r="AE200" s="6"/>
      <c r="AF200" s="6"/>
      <c r="AG200" s="6"/>
    </row>
    <row r="201" ht="14.25" customHeight="1">
      <c r="A201" s="6"/>
      <c r="B201" s="6"/>
      <c r="C201" s="6">
        <v>194.0</v>
      </c>
      <c r="D201" s="6"/>
      <c r="E201" s="6">
        <v>8565410.11132088</v>
      </c>
      <c r="F201" s="6">
        <v>443.73646161510675</v>
      </c>
      <c r="G201" s="6">
        <v>5.327445280686646</v>
      </c>
      <c r="H201" s="6">
        <v>8434053.187501675</v>
      </c>
      <c r="I201" s="6">
        <v>439.22605130857323</v>
      </c>
      <c r="J201" s="6">
        <v>3.896137033165403</v>
      </c>
      <c r="K201" s="6"/>
      <c r="L201" s="6"/>
      <c r="M201" s="6"/>
      <c r="N201" s="6">
        <f t="shared" ref="N201:P201" si="204">IF(LEN($C201)&gt;0,H201-E201,"")</f>
        <v>-131356.9238</v>
      </c>
      <c r="O201" s="6">
        <f t="shared" si="204"/>
        <v>-4.510410307</v>
      </c>
      <c r="P201" s="6">
        <f t="shared" si="204"/>
        <v>-1.431308248</v>
      </c>
      <c r="Q201" s="6"/>
      <c r="R201" s="6"/>
      <c r="S201" s="6"/>
      <c r="T201" s="6"/>
      <c r="U201" s="6"/>
      <c r="V201" s="6"/>
      <c r="W201" s="6"/>
      <c r="X201" s="6"/>
      <c r="Y201" s="6"/>
      <c r="Z201" s="6"/>
      <c r="AA201" s="6"/>
      <c r="AB201" s="6"/>
      <c r="AC201" s="6"/>
      <c r="AD201" s="6"/>
      <c r="AE201" s="6"/>
      <c r="AF201" s="6"/>
      <c r="AG201" s="6"/>
    </row>
    <row r="202" ht="14.25" customHeight="1">
      <c r="A202" s="6"/>
      <c r="B202" s="6"/>
      <c r="C202" s="6">
        <v>195.0</v>
      </c>
      <c r="D202" s="6"/>
      <c r="E202" s="6">
        <v>5847208.44264506</v>
      </c>
      <c r="F202" s="6">
        <v>483.17228387202766</v>
      </c>
      <c r="G202" s="6">
        <v>5.086232214742892</v>
      </c>
      <c r="H202" s="6">
        <v>5744499.269533708</v>
      </c>
      <c r="I202" s="6">
        <v>479.3563018580569</v>
      </c>
      <c r="J202" s="6">
        <v>3.886259041059783</v>
      </c>
      <c r="K202" s="6"/>
      <c r="L202" s="6"/>
      <c r="M202" s="6"/>
      <c r="N202" s="6">
        <f t="shared" ref="N202:P202" si="205">IF(LEN($C202)&gt;0,H202-E202,"")</f>
        <v>-102709.1731</v>
      </c>
      <c r="O202" s="6">
        <f t="shared" si="205"/>
        <v>-3.815982014</v>
      </c>
      <c r="P202" s="6">
        <f t="shared" si="205"/>
        <v>-1.199973174</v>
      </c>
      <c r="Q202" s="6"/>
      <c r="R202" s="6"/>
      <c r="S202" s="6"/>
      <c r="T202" s="6"/>
      <c r="U202" s="6"/>
      <c r="V202" s="6"/>
      <c r="W202" s="6"/>
      <c r="X202" s="6"/>
      <c r="Y202" s="6"/>
      <c r="Z202" s="6"/>
      <c r="AA202" s="6"/>
      <c r="AB202" s="6"/>
      <c r="AC202" s="6"/>
      <c r="AD202" s="6"/>
      <c r="AE202" s="6"/>
      <c r="AF202" s="6"/>
      <c r="AG202" s="6"/>
    </row>
    <row r="203" ht="14.25" customHeight="1">
      <c r="A203" s="6"/>
      <c r="B203" s="6"/>
      <c r="C203" s="6">
        <v>196.0</v>
      </c>
      <c r="D203" s="6"/>
      <c r="E203" s="6">
        <v>8016130.781741608</v>
      </c>
      <c r="F203" s="6">
        <v>474.5580794747865</v>
      </c>
      <c r="G203" s="6">
        <v>5.367424973614595</v>
      </c>
      <c r="H203" s="6">
        <v>7951034.3286865605</v>
      </c>
      <c r="I203" s="6">
        <v>472.4168171707936</v>
      </c>
      <c r="J203" s="6">
        <v>4.441116716139273</v>
      </c>
      <c r="K203" s="6"/>
      <c r="L203" s="6"/>
      <c r="M203" s="6"/>
      <c r="N203" s="6">
        <f t="shared" ref="N203:P203" si="206">IF(LEN($C203)&gt;0,H203-E203,"")</f>
        <v>-65096.45306</v>
      </c>
      <c r="O203" s="6">
        <f t="shared" si="206"/>
        <v>-2.141262304</v>
      </c>
      <c r="P203" s="6">
        <f t="shared" si="206"/>
        <v>-0.9263082575</v>
      </c>
      <c r="Q203" s="6"/>
      <c r="R203" s="6"/>
      <c r="S203" s="6"/>
      <c r="T203" s="6"/>
      <c r="U203" s="6"/>
      <c r="V203" s="6"/>
      <c r="W203" s="6"/>
      <c r="X203" s="6"/>
      <c r="Y203" s="6"/>
      <c r="Z203" s="6"/>
      <c r="AA203" s="6"/>
      <c r="AB203" s="6"/>
      <c r="AC203" s="6"/>
      <c r="AD203" s="6"/>
      <c r="AE203" s="6"/>
      <c r="AF203" s="6"/>
      <c r="AG203" s="6"/>
    </row>
    <row r="204" ht="14.25" customHeight="1">
      <c r="A204" s="6"/>
      <c r="B204" s="6"/>
      <c r="C204" s="6">
        <v>197.0</v>
      </c>
      <c r="D204" s="6"/>
      <c r="E204" s="6">
        <v>5861076.729330252</v>
      </c>
      <c r="F204" s="6">
        <v>466.95310092159536</v>
      </c>
      <c r="G204" s="6">
        <v>5.813653107609268</v>
      </c>
      <c r="H204" s="6">
        <v>5760053.371316782</v>
      </c>
      <c r="I204" s="6">
        <v>463.31749303855577</v>
      </c>
      <c r="J204" s="6">
        <v>4.321716427196595</v>
      </c>
      <c r="K204" s="6"/>
      <c r="L204" s="6"/>
      <c r="M204" s="6"/>
      <c r="N204" s="6">
        <f t="shared" ref="N204:P204" si="207">IF(LEN($C204)&gt;0,H204-E204,"")</f>
        <v>-101023.358</v>
      </c>
      <c r="O204" s="6">
        <f t="shared" si="207"/>
        <v>-3.635607883</v>
      </c>
      <c r="P204" s="6">
        <f t="shared" si="207"/>
        <v>-1.49193668</v>
      </c>
      <c r="Q204" s="6"/>
      <c r="R204" s="6"/>
      <c r="S204" s="6"/>
      <c r="T204" s="6"/>
      <c r="U204" s="6"/>
      <c r="V204" s="6"/>
      <c r="W204" s="6"/>
      <c r="X204" s="6"/>
      <c r="Y204" s="6"/>
      <c r="Z204" s="6"/>
      <c r="AA204" s="6"/>
      <c r="AB204" s="6"/>
      <c r="AC204" s="6"/>
      <c r="AD204" s="6"/>
      <c r="AE204" s="6"/>
      <c r="AF204" s="6"/>
      <c r="AG204" s="6"/>
    </row>
    <row r="205" ht="14.25" customHeight="1">
      <c r="A205" s="6"/>
      <c r="B205" s="6"/>
      <c r="C205" s="6">
        <v>198.0</v>
      </c>
      <c r="D205" s="6"/>
      <c r="E205" s="6">
        <v>7815993.757956452</v>
      </c>
      <c r="F205" s="6">
        <v>464.73810250637666</v>
      </c>
      <c r="G205" s="6">
        <v>5.766260516988249</v>
      </c>
      <c r="H205" s="6">
        <v>7617088.06299792</v>
      </c>
      <c r="I205" s="6">
        <v>459.5373276024266</v>
      </c>
      <c r="J205" s="6">
        <v>4.08015784720755</v>
      </c>
      <c r="K205" s="6"/>
      <c r="L205" s="6"/>
      <c r="M205" s="6"/>
      <c r="N205" s="6">
        <f t="shared" ref="N205:P205" si="208">IF(LEN($C205)&gt;0,H205-E205,"")</f>
        <v>-198905.695</v>
      </c>
      <c r="O205" s="6">
        <f t="shared" si="208"/>
        <v>-5.200774904</v>
      </c>
      <c r="P205" s="6">
        <f t="shared" si="208"/>
        <v>-1.68610267</v>
      </c>
      <c r="Q205" s="6"/>
      <c r="R205" s="6"/>
      <c r="S205" s="6"/>
      <c r="T205" s="6"/>
      <c r="U205" s="6"/>
      <c r="V205" s="6"/>
      <c r="W205" s="6"/>
      <c r="X205" s="6"/>
      <c r="Y205" s="6"/>
      <c r="Z205" s="6"/>
      <c r="AA205" s="6"/>
      <c r="AB205" s="6"/>
      <c r="AC205" s="6"/>
      <c r="AD205" s="6"/>
      <c r="AE205" s="6"/>
      <c r="AF205" s="6"/>
      <c r="AG205" s="6"/>
    </row>
    <row r="206" ht="14.25" customHeight="1">
      <c r="A206" s="6"/>
      <c r="B206" s="6"/>
      <c r="C206" s="6">
        <v>199.0</v>
      </c>
      <c r="D206" s="6"/>
      <c r="E206" s="6">
        <v>7369027.145396658</v>
      </c>
      <c r="F206" s="6">
        <v>493.1254034309637</v>
      </c>
      <c r="G206" s="6">
        <v>4.816422422562591</v>
      </c>
      <c r="H206" s="6">
        <v>7261054.9591316385</v>
      </c>
      <c r="I206" s="6">
        <v>489.16154485459424</v>
      </c>
      <c r="J206" s="6">
        <v>3.9008839389760577</v>
      </c>
      <c r="K206" s="6"/>
      <c r="L206" s="6"/>
      <c r="M206" s="6"/>
      <c r="N206" s="6">
        <f t="shared" ref="N206:P206" si="209">IF(LEN($C206)&gt;0,H206-E206,"")</f>
        <v>-107972.1863</v>
      </c>
      <c r="O206" s="6">
        <f t="shared" si="209"/>
        <v>-3.963858576</v>
      </c>
      <c r="P206" s="6">
        <f t="shared" si="209"/>
        <v>-0.9155384836</v>
      </c>
      <c r="Q206" s="6"/>
      <c r="R206" s="6"/>
      <c r="S206" s="6"/>
      <c r="T206" s="6"/>
      <c r="U206" s="6"/>
      <c r="V206" s="6"/>
      <c r="W206" s="6"/>
      <c r="X206" s="6"/>
      <c r="Y206" s="6"/>
      <c r="Z206" s="6"/>
      <c r="AA206" s="6"/>
      <c r="AB206" s="6"/>
      <c r="AC206" s="6"/>
      <c r="AD206" s="6"/>
      <c r="AE206" s="6"/>
      <c r="AF206" s="6"/>
      <c r="AG206" s="6"/>
    </row>
    <row r="207" ht="14.25" customHeight="1">
      <c r="A207" s="6"/>
      <c r="B207" s="6"/>
      <c r="C207" s="6">
        <v>200.0</v>
      </c>
      <c r="D207" s="6"/>
      <c r="E207" s="6">
        <v>6955394.277405832</v>
      </c>
      <c r="F207" s="6">
        <v>456.84697351328197</v>
      </c>
      <c r="G207" s="6">
        <v>5.226497464242223</v>
      </c>
      <c r="H207" s="6">
        <v>6740622.376504231</v>
      </c>
      <c r="I207" s="6">
        <v>447.60480878613765</v>
      </c>
      <c r="J207" s="6">
        <v>3.5333521725440917</v>
      </c>
      <c r="K207" s="6"/>
      <c r="L207" s="6"/>
      <c r="M207" s="6"/>
      <c r="N207" s="6">
        <f t="shared" ref="N207:P207" si="210">IF(LEN($C207)&gt;0,H207-E207,"")</f>
        <v>-214771.9009</v>
      </c>
      <c r="O207" s="6">
        <f t="shared" si="210"/>
        <v>-9.242164727</v>
      </c>
      <c r="P207" s="6">
        <f t="shared" si="210"/>
        <v>-1.693145292</v>
      </c>
      <c r="Q207" s="6"/>
      <c r="R207" s="6"/>
      <c r="S207" s="6"/>
      <c r="T207" s="6"/>
      <c r="U207" s="6"/>
      <c r="V207" s="6"/>
      <c r="W207" s="6"/>
      <c r="X207" s="6"/>
      <c r="Y207" s="6"/>
      <c r="Z207" s="6"/>
      <c r="AA207" s="6"/>
      <c r="AB207" s="6"/>
      <c r="AC207" s="6"/>
      <c r="AD207" s="6"/>
      <c r="AE207" s="6"/>
      <c r="AF207" s="6"/>
      <c r="AG207" s="6"/>
    </row>
    <row r="208" ht="14.25" customHeight="1">
      <c r="A208" s="6"/>
      <c r="B208" s="6"/>
      <c r="C208" s="6">
        <v>201.0</v>
      </c>
      <c r="D208" s="6"/>
      <c r="E208" s="6">
        <v>7940877.98514115</v>
      </c>
      <c r="F208" s="6">
        <v>448.11816299902284</v>
      </c>
      <c r="G208" s="6">
        <v>5.322746036275051</v>
      </c>
      <c r="H208" s="6">
        <v>7762097.366534061</v>
      </c>
      <c r="I208" s="6">
        <v>441.54663098954495</v>
      </c>
      <c r="J208" s="6">
        <v>3.4244503676377507</v>
      </c>
      <c r="K208" s="6"/>
      <c r="L208" s="6"/>
      <c r="M208" s="6"/>
      <c r="N208" s="6">
        <f t="shared" ref="N208:P208" si="211">IF(LEN($C208)&gt;0,H208-E208,"")</f>
        <v>-178780.6186</v>
      </c>
      <c r="O208" s="6">
        <f t="shared" si="211"/>
        <v>-6.571532009</v>
      </c>
      <c r="P208" s="6">
        <f t="shared" si="211"/>
        <v>-1.898295669</v>
      </c>
      <c r="Q208" s="6"/>
      <c r="R208" s="6"/>
      <c r="S208" s="6"/>
      <c r="T208" s="6"/>
      <c r="U208" s="6"/>
      <c r="V208" s="6"/>
      <c r="W208" s="6"/>
      <c r="X208" s="6"/>
      <c r="Y208" s="6"/>
      <c r="Z208" s="6"/>
      <c r="AA208" s="6"/>
      <c r="AB208" s="6"/>
      <c r="AC208" s="6"/>
      <c r="AD208" s="6"/>
      <c r="AE208" s="6"/>
      <c r="AF208" s="6"/>
      <c r="AG208" s="6"/>
    </row>
    <row r="209" ht="14.25" customHeight="1">
      <c r="A209" s="6"/>
      <c r="B209" s="6"/>
      <c r="C209" s="6">
        <v>202.0</v>
      </c>
      <c r="D209" s="6"/>
      <c r="E209" s="6">
        <v>7766441.824021479</v>
      </c>
      <c r="F209" s="6">
        <v>479.1360714880325</v>
      </c>
      <c r="G209" s="6">
        <v>4.826449104738709</v>
      </c>
      <c r="H209" s="6">
        <v>7623879.976647855</v>
      </c>
      <c r="I209" s="6">
        <v>473.8578665558197</v>
      </c>
      <c r="J209" s="6">
        <v>3.6068222581676057</v>
      </c>
      <c r="K209" s="6"/>
      <c r="L209" s="6"/>
      <c r="M209" s="6"/>
      <c r="N209" s="6">
        <f t="shared" ref="N209:P209" si="212">IF(LEN($C209)&gt;0,H209-E209,"")</f>
        <v>-142561.8474</v>
      </c>
      <c r="O209" s="6">
        <f t="shared" si="212"/>
        <v>-5.278204932</v>
      </c>
      <c r="P209" s="6">
        <f t="shared" si="212"/>
        <v>-1.219626847</v>
      </c>
      <c r="Q209" s="6"/>
      <c r="R209" s="6"/>
      <c r="S209" s="6"/>
      <c r="T209" s="6"/>
      <c r="U209" s="6"/>
      <c r="V209" s="6"/>
      <c r="W209" s="6"/>
      <c r="X209" s="6"/>
      <c r="Y209" s="6"/>
      <c r="Z209" s="6"/>
      <c r="AA209" s="6"/>
      <c r="AB209" s="6"/>
      <c r="AC209" s="6"/>
      <c r="AD209" s="6"/>
      <c r="AE209" s="6"/>
      <c r="AF209" s="6"/>
      <c r="AG209" s="6"/>
    </row>
    <row r="210" ht="14.25" customHeight="1">
      <c r="A210" s="6"/>
      <c r="B210" s="6"/>
      <c r="C210" s="6">
        <v>203.0</v>
      </c>
      <c r="D210" s="6"/>
      <c r="E210" s="6">
        <v>7119767.630674409</v>
      </c>
      <c r="F210" s="6">
        <v>495.2135721313895</v>
      </c>
      <c r="G210" s="6">
        <v>6.497406429428899</v>
      </c>
      <c r="H210" s="6">
        <v>6968762.259013313</v>
      </c>
      <c r="I210" s="6">
        <v>490.34596657634165</v>
      </c>
      <c r="J210" s="6">
        <v>5.109446282643977</v>
      </c>
      <c r="K210" s="6"/>
      <c r="L210" s="6"/>
      <c r="M210" s="6"/>
      <c r="N210" s="6">
        <f t="shared" ref="N210:P210" si="213">IF(LEN($C210)&gt;0,H210-E210,"")</f>
        <v>-151005.3717</v>
      </c>
      <c r="O210" s="6">
        <f t="shared" si="213"/>
        <v>-4.867605555</v>
      </c>
      <c r="P210" s="6">
        <f t="shared" si="213"/>
        <v>-1.387960147</v>
      </c>
      <c r="Q210" s="6"/>
      <c r="R210" s="6"/>
      <c r="S210" s="6"/>
      <c r="T210" s="6"/>
      <c r="U210" s="6"/>
      <c r="V210" s="6"/>
      <c r="W210" s="6"/>
      <c r="X210" s="6"/>
      <c r="Y210" s="6"/>
      <c r="Z210" s="6"/>
      <c r="AA210" s="6"/>
      <c r="AB210" s="6"/>
      <c r="AC210" s="6"/>
      <c r="AD210" s="6"/>
      <c r="AE210" s="6"/>
      <c r="AF210" s="6"/>
      <c r="AG210" s="6"/>
    </row>
    <row r="211" ht="14.25" customHeight="1">
      <c r="A211" s="6"/>
      <c r="B211" s="6"/>
      <c r="C211" s="6">
        <v>204.0</v>
      </c>
      <c r="D211" s="6"/>
      <c r="E211" s="6">
        <v>7287006.616125221</v>
      </c>
      <c r="F211" s="6">
        <v>483.8189610350677</v>
      </c>
      <c r="G211" s="6">
        <v>7.351985336295914</v>
      </c>
      <c r="H211" s="6">
        <v>7153284.779516261</v>
      </c>
      <c r="I211" s="6">
        <v>481.77329133909427</v>
      </c>
      <c r="J211" s="6">
        <v>5.548268801597367</v>
      </c>
      <c r="K211" s="6"/>
      <c r="L211" s="6"/>
      <c r="M211" s="6"/>
      <c r="N211" s="6">
        <f t="shared" ref="N211:P211" si="214">IF(LEN($C211)&gt;0,H211-E211,"")</f>
        <v>-133721.8366</v>
      </c>
      <c r="O211" s="6">
        <f t="shared" si="214"/>
        <v>-2.045669696</v>
      </c>
      <c r="P211" s="6">
        <f t="shared" si="214"/>
        <v>-1.803716535</v>
      </c>
      <c r="Q211" s="6"/>
      <c r="R211" s="6"/>
      <c r="S211" s="6"/>
      <c r="T211" s="6"/>
      <c r="U211" s="6"/>
      <c r="V211" s="6"/>
      <c r="W211" s="6"/>
      <c r="X211" s="6"/>
      <c r="Y211" s="6"/>
      <c r="Z211" s="6"/>
      <c r="AA211" s="6"/>
      <c r="AB211" s="6"/>
      <c r="AC211" s="6"/>
      <c r="AD211" s="6"/>
      <c r="AE211" s="6"/>
      <c r="AF211" s="6"/>
      <c r="AG211" s="6"/>
    </row>
    <row r="212" ht="14.25" customHeight="1">
      <c r="A212" s="6"/>
      <c r="B212" s="6"/>
      <c r="C212" s="6">
        <v>205.0</v>
      </c>
      <c r="D212" s="6"/>
      <c r="E212" s="6">
        <v>8157822.341086515</v>
      </c>
      <c r="F212" s="6">
        <v>481.278406717663</v>
      </c>
      <c r="G212" s="6">
        <v>3.708403790760893</v>
      </c>
      <c r="H212" s="6">
        <v>8071235.827720015</v>
      </c>
      <c r="I212" s="6">
        <v>477.39138781028174</v>
      </c>
      <c r="J212" s="6">
        <v>2.6731627910918188</v>
      </c>
      <c r="K212" s="6"/>
      <c r="L212" s="6"/>
      <c r="M212" s="6"/>
      <c r="N212" s="6">
        <f t="shared" ref="N212:P212" si="215">IF(LEN($C212)&gt;0,H212-E212,"")</f>
        <v>-86586.51337</v>
      </c>
      <c r="O212" s="6">
        <f t="shared" si="215"/>
        <v>-3.887018907</v>
      </c>
      <c r="P212" s="6">
        <f t="shared" si="215"/>
        <v>-1.035241</v>
      </c>
      <c r="Q212" s="6"/>
      <c r="R212" s="6"/>
      <c r="S212" s="6"/>
      <c r="T212" s="6"/>
      <c r="U212" s="6"/>
      <c r="V212" s="6"/>
      <c r="W212" s="6"/>
      <c r="X212" s="6"/>
      <c r="Y212" s="6"/>
      <c r="Z212" s="6"/>
      <c r="AA212" s="6"/>
      <c r="AB212" s="6"/>
      <c r="AC212" s="6"/>
      <c r="AD212" s="6"/>
      <c r="AE212" s="6"/>
      <c r="AF212" s="6"/>
      <c r="AG212" s="6"/>
    </row>
    <row r="213" ht="14.25" customHeight="1">
      <c r="A213" s="6"/>
      <c r="B213" s="6"/>
      <c r="C213" s="6">
        <v>206.0</v>
      </c>
      <c r="D213" s="6"/>
      <c r="E213" s="6">
        <v>6569235.912985773</v>
      </c>
      <c r="F213" s="6">
        <v>504.8452162603243</v>
      </c>
      <c r="G213" s="6">
        <v>4.79480048967951</v>
      </c>
      <c r="H213" s="6">
        <v>6477145.616127969</v>
      </c>
      <c r="I213" s="6">
        <v>500.7195029448328</v>
      </c>
      <c r="J213" s="6">
        <v>3.951247427608772</v>
      </c>
      <c r="K213" s="6"/>
      <c r="L213" s="6"/>
      <c r="M213" s="6"/>
      <c r="N213" s="6">
        <f t="shared" ref="N213:P213" si="216">IF(LEN($C213)&gt;0,H213-E213,"")</f>
        <v>-92090.29686</v>
      </c>
      <c r="O213" s="6">
        <f t="shared" si="216"/>
        <v>-4.125713315</v>
      </c>
      <c r="P213" s="6">
        <f t="shared" si="216"/>
        <v>-0.8435530621</v>
      </c>
      <c r="Q213" s="6"/>
      <c r="R213" s="6"/>
      <c r="S213" s="6"/>
      <c r="T213" s="6"/>
      <c r="U213" s="6"/>
      <c r="V213" s="6"/>
      <c r="W213" s="6"/>
      <c r="X213" s="6"/>
      <c r="Y213" s="6"/>
      <c r="Z213" s="6"/>
      <c r="AA213" s="6"/>
      <c r="AB213" s="6"/>
      <c r="AC213" s="6"/>
      <c r="AD213" s="6"/>
      <c r="AE213" s="6"/>
      <c r="AF213" s="6"/>
      <c r="AG213" s="6"/>
    </row>
    <row r="214" ht="14.25" customHeight="1">
      <c r="A214" s="6"/>
      <c r="B214" s="6"/>
      <c r="C214" s="6">
        <v>207.0</v>
      </c>
      <c r="D214" s="6"/>
      <c r="E214" s="6">
        <v>5311703.912360127</v>
      </c>
      <c r="F214" s="6">
        <v>457.11525792890535</v>
      </c>
      <c r="G214" s="6">
        <v>5.805712979533158</v>
      </c>
      <c r="H214" s="6">
        <v>5215878.431227094</v>
      </c>
      <c r="I214" s="6">
        <v>453.92738858371604</v>
      </c>
      <c r="J214" s="6">
        <v>4.3979362407570655</v>
      </c>
      <c r="K214" s="6"/>
      <c r="L214" s="6"/>
      <c r="M214" s="6"/>
      <c r="N214" s="6">
        <f t="shared" ref="N214:P214" si="217">IF(LEN($C214)&gt;0,H214-E214,"")</f>
        <v>-95825.48113</v>
      </c>
      <c r="O214" s="6">
        <f t="shared" si="217"/>
        <v>-3.187869345</v>
      </c>
      <c r="P214" s="6">
        <f t="shared" si="217"/>
        <v>-1.407776739</v>
      </c>
      <c r="Q214" s="6"/>
      <c r="R214" s="6"/>
      <c r="S214" s="6"/>
      <c r="T214" s="6"/>
      <c r="U214" s="6"/>
      <c r="V214" s="6"/>
      <c r="W214" s="6"/>
      <c r="X214" s="6"/>
      <c r="Y214" s="6"/>
      <c r="Z214" s="6"/>
      <c r="AA214" s="6"/>
      <c r="AB214" s="6"/>
      <c r="AC214" s="6"/>
      <c r="AD214" s="6"/>
      <c r="AE214" s="6"/>
      <c r="AF214" s="6"/>
      <c r="AG214" s="6"/>
    </row>
    <row r="215" ht="14.25" customHeight="1">
      <c r="A215" s="6"/>
      <c r="B215" s="6"/>
      <c r="C215" s="6">
        <v>208.0</v>
      </c>
      <c r="D215" s="6"/>
      <c r="E215" s="6">
        <v>7890538.867124665</v>
      </c>
      <c r="F215" s="6">
        <v>456.87392960248496</v>
      </c>
      <c r="G215" s="6">
        <v>5.875672945605691</v>
      </c>
      <c r="H215" s="6">
        <v>7662367.339274414</v>
      </c>
      <c r="I215" s="6">
        <v>447.74642071614375</v>
      </c>
      <c r="J215" s="6">
        <v>3.906825324041475</v>
      </c>
      <c r="K215" s="6"/>
      <c r="L215" s="6"/>
      <c r="M215" s="6"/>
      <c r="N215" s="6">
        <f t="shared" ref="N215:P215" si="218">IF(LEN($C215)&gt;0,H215-E215,"")</f>
        <v>-228171.5279</v>
      </c>
      <c r="O215" s="6">
        <f t="shared" si="218"/>
        <v>-9.127508886</v>
      </c>
      <c r="P215" s="6">
        <f t="shared" si="218"/>
        <v>-1.968847622</v>
      </c>
      <c r="Q215" s="6"/>
      <c r="R215" s="6"/>
      <c r="S215" s="6"/>
      <c r="T215" s="6"/>
      <c r="U215" s="6"/>
      <c r="V215" s="6"/>
      <c r="W215" s="6"/>
      <c r="X215" s="6"/>
      <c r="Y215" s="6"/>
      <c r="Z215" s="6"/>
      <c r="AA215" s="6"/>
      <c r="AB215" s="6"/>
      <c r="AC215" s="6"/>
      <c r="AD215" s="6"/>
      <c r="AE215" s="6"/>
      <c r="AF215" s="6"/>
      <c r="AG215" s="6"/>
    </row>
    <row r="216" ht="14.25" customHeight="1">
      <c r="A216" s="6"/>
      <c r="B216" s="6"/>
      <c r="C216" s="6">
        <v>209.0</v>
      </c>
      <c r="D216" s="6"/>
      <c r="E216" s="6">
        <v>7520187.969870651</v>
      </c>
      <c r="F216" s="6">
        <v>484.1494620048293</v>
      </c>
      <c r="G216" s="6">
        <v>5.35221745435653</v>
      </c>
      <c r="H216" s="6">
        <v>7463037.024494549</v>
      </c>
      <c r="I216" s="6">
        <v>482.4790017593336</v>
      </c>
      <c r="J216" s="6">
        <v>4.379731809198753</v>
      </c>
      <c r="K216" s="6"/>
      <c r="L216" s="6"/>
      <c r="M216" s="6"/>
      <c r="N216" s="6">
        <f t="shared" ref="N216:P216" si="219">IF(LEN($C216)&gt;0,H216-E216,"")</f>
        <v>-57150.94538</v>
      </c>
      <c r="O216" s="6">
        <f t="shared" si="219"/>
        <v>-1.670460245</v>
      </c>
      <c r="P216" s="6">
        <f t="shared" si="219"/>
        <v>-0.9724856452</v>
      </c>
      <c r="Q216" s="6"/>
      <c r="R216" s="6"/>
      <c r="S216" s="6"/>
      <c r="T216" s="6"/>
      <c r="U216" s="6"/>
      <c r="V216" s="6"/>
      <c r="W216" s="6"/>
      <c r="X216" s="6"/>
      <c r="Y216" s="6"/>
      <c r="Z216" s="6"/>
      <c r="AA216" s="6"/>
      <c r="AB216" s="6"/>
      <c r="AC216" s="6"/>
      <c r="AD216" s="6"/>
      <c r="AE216" s="6"/>
      <c r="AF216" s="6"/>
      <c r="AG216" s="6"/>
    </row>
    <row r="217" ht="14.25" customHeight="1">
      <c r="A217" s="6"/>
      <c r="B217" s="6"/>
      <c r="C217" s="6">
        <v>210.0</v>
      </c>
      <c r="D217" s="6"/>
      <c r="E217" s="6">
        <v>7557994.223958825</v>
      </c>
      <c r="F217" s="6">
        <v>465.09746519759574</v>
      </c>
      <c r="G217" s="6">
        <v>4.67468261942104</v>
      </c>
      <c r="H217" s="6">
        <v>7408089.462747538</v>
      </c>
      <c r="I217" s="6">
        <v>457.9646369657433</v>
      </c>
      <c r="J217" s="6">
        <v>3.3447303659207996</v>
      </c>
      <c r="K217" s="6"/>
      <c r="L217" s="6"/>
      <c r="M217" s="6"/>
      <c r="N217" s="6">
        <f t="shared" ref="N217:P217" si="220">IF(LEN($C217)&gt;0,H217-E217,"")</f>
        <v>-149904.7612</v>
      </c>
      <c r="O217" s="6">
        <f t="shared" si="220"/>
        <v>-7.132828232</v>
      </c>
      <c r="P217" s="6">
        <f t="shared" si="220"/>
        <v>-1.329952254</v>
      </c>
      <c r="Q217" s="6"/>
      <c r="R217" s="6"/>
      <c r="S217" s="6"/>
      <c r="T217" s="6"/>
      <c r="U217" s="6"/>
      <c r="V217" s="6"/>
      <c r="W217" s="6"/>
      <c r="X217" s="6"/>
      <c r="Y217" s="6"/>
      <c r="Z217" s="6"/>
      <c r="AA217" s="6"/>
      <c r="AB217" s="6"/>
      <c r="AC217" s="6"/>
      <c r="AD217" s="6"/>
      <c r="AE217" s="6"/>
      <c r="AF217" s="6"/>
      <c r="AG217" s="6"/>
    </row>
    <row r="218" ht="14.25" customHeight="1">
      <c r="A218" s="6"/>
      <c r="B218" s="6"/>
      <c r="C218" s="6">
        <v>211.0</v>
      </c>
      <c r="D218" s="6"/>
      <c r="E218" s="6">
        <v>5877769.077443303</v>
      </c>
      <c r="F218" s="6">
        <v>457.48790049666013</v>
      </c>
      <c r="G218" s="6">
        <v>4.946353253820005</v>
      </c>
      <c r="H218" s="6">
        <v>5833715.307585997</v>
      </c>
      <c r="I218" s="6">
        <v>456.00075799713966</v>
      </c>
      <c r="J218" s="6">
        <v>4.152100413179198</v>
      </c>
      <c r="K218" s="6"/>
      <c r="L218" s="6"/>
      <c r="M218" s="6"/>
      <c r="N218" s="6">
        <f t="shared" ref="N218:P218" si="221">IF(LEN($C218)&gt;0,H218-E218,"")</f>
        <v>-44053.76986</v>
      </c>
      <c r="O218" s="6">
        <f t="shared" si="221"/>
        <v>-1.4871425</v>
      </c>
      <c r="P218" s="6">
        <f t="shared" si="221"/>
        <v>-0.7942528406</v>
      </c>
      <c r="Q218" s="6"/>
      <c r="R218" s="6"/>
      <c r="S218" s="6"/>
      <c r="T218" s="6"/>
      <c r="U218" s="6"/>
      <c r="V218" s="6"/>
      <c r="W218" s="6"/>
      <c r="X218" s="6"/>
      <c r="Y218" s="6"/>
      <c r="Z218" s="6"/>
      <c r="AA218" s="6"/>
      <c r="AB218" s="6"/>
      <c r="AC218" s="6"/>
      <c r="AD218" s="6"/>
      <c r="AE218" s="6"/>
      <c r="AF218" s="6"/>
      <c r="AG218" s="6"/>
    </row>
    <row r="219" ht="14.25" customHeight="1">
      <c r="A219" s="6"/>
      <c r="B219" s="6"/>
      <c r="C219" s="6">
        <v>212.0</v>
      </c>
      <c r="D219" s="6"/>
      <c r="E219" s="6">
        <v>7848437.959478663</v>
      </c>
      <c r="F219" s="6">
        <v>493.44600483316725</v>
      </c>
      <c r="G219" s="6">
        <v>5.454608220118442</v>
      </c>
      <c r="H219" s="6">
        <v>7692701.015721383</v>
      </c>
      <c r="I219" s="6">
        <v>486.6934112910732</v>
      </c>
      <c r="J219" s="6">
        <v>4.302539079323108</v>
      </c>
      <c r="K219" s="6"/>
      <c r="L219" s="6"/>
      <c r="M219" s="6"/>
      <c r="N219" s="6">
        <f t="shared" ref="N219:P219" si="222">IF(LEN($C219)&gt;0,H219-E219,"")</f>
        <v>-155736.9438</v>
      </c>
      <c r="O219" s="6">
        <f t="shared" si="222"/>
        <v>-6.752593542</v>
      </c>
      <c r="P219" s="6">
        <f t="shared" si="222"/>
        <v>-1.152069141</v>
      </c>
      <c r="Q219" s="6"/>
      <c r="R219" s="6"/>
      <c r="S219" s="6"/>
      <c r="T219" s="6"/>
      <c r="U219" s="6"/>
      <c r="V219" s="6"/>
      <c r="W219" s="6"/>
      <c r="X219" s="6"/>
      <c r="Y219" s="6"/>
      <c r="Z219" s="6"/>
      <c r="AA219" s="6"/>
      <c r="AB219" s="6"/>
      <c r="AC219" s="6"/>
      <c r="AD219" s="6"/>
      <c r="AE219" s="6"/>
      <c r="AF219" s="6"/>
      <c r="AG219" s="6"/>
    </row>
    <row r="220" ht="14.25" customHeight="1">
      <c r="A220" s="6"/>
      <c r="B220" s="6"/>
      <c r="C220" s="6">
        <v>213.0</v>
      </c>
      <c r="D220" s="6"/>
      <c r="E220" s="6">
        <v>8263068.737937682</v>
      </c>
      <c r="F220" s="6">
        <v>453.66803985757167</v>
      </c>
      <c r="G220" s="6">
        <v>4.604511528814621</v>
      </c>
      <c r="H220" s="6">
        <v>8137750.697468004</v>
      </c>
      <c r="I220" s="6">
        <v>449.55105845732373</v>
      </c>
      <c r="J220" s="6">
        <v>3.211546636337205</v>
      </c>
      <c r="K220" s="6"/>
      <c r="L220" s="6"/>
      <c r="M220" s="6"/>
      <c r="N220" s="6">
        <f t="shared" ref="N220:P220" si="223">IF(LEN($C220)&gt;0,H220-E220,"")</f>
        <v>-125318.0405</v>
      </c>
      <c r="O220" s="6">
        <f t="shared" si="223"/>
        <v>-4.1169814</v>
      </c>
      <c r="P220" s="6">
        <f t="shared" si="223"/>
        <v>-1.392964892</v>
      </c>
      <c r="Q220" s="6"/>
      <c r="R220" s="6"/>
      <c r="S220" s="6"/>
      <c r="T220" s="6"/>
      <c r="U220" s="6"/>
      <c r="V220" s="6"/>
      <c r="W220" s="6"/>
      <c r="X220" s="6"/>
      <c r="Y220" s="6"/>
      <c r="Z220" s="6"/>
      <c r="AA220" s="6"/>
      <c r="AB220" s="6"/>
      <c r="AC220" s="6"/>
      <c r="AD220" s="6"/>
      <c r="AE220" s="6"/>
      <c r="AF220" s="6"/>
      <c r="AG220" s="6"/>
    </row>
    <row r="221" ht="14.25" customHeight="1">
      <c r="A221" s="6"/>
      <c r="B221" s="6"/>
      <c r="C221" s="6">
        <v>214.0</v>
      </c>
      <c r="D221" s="6"/>
      <c r="E221" s="6">
        <v>6683094.32282407</v>
      </c>
      <c r="F221" s="6">
        <v>489.31034273029246</v>
      </c>
      <c r="G221" s="6">
        <v>4.310272164692269</v>
      </c>
      <c r="H221" s="6">
        <v>6503859.136593695</v>
      </c>
      <c r="I221" s="6">
        <v>480.64554109433686</v>
      </c>
      <c r="J221" s="6">
        <v>2.810156607631618</v>
      </c>
      <c r="K221" s="6"/>
      <c r="L221" s="6"/>
      <c r="M221" s="6"/>
      <c r="N221" s="6">
        <f t="shared" ref="N221:P221" si="224">IF(LEN($C221)&gt;0,H221-E221,"")</f>
        <v>-179235.1862</v>
      </c>
      <c r="O221" s="6">
        <f t="shared" si="224"/>
        <v>-8.664801636</v>
      </c>
      <c r="P221" s="6">
        <f t="shared" si="224"/>
        <v>-1.500115557</v>
      </c>
      <c r="Q221" s="6"/>
      <c r="R221" s="6"/>
      <c r="S221" s="6"/>
      <c r="T221" s="6"/>
      <c r="U221" s="6"/>
      <c r="V221" s="6"/>
      <c r="W221" s="6"/>
      <c r="X221" s="6"/>
      <c r="Y221" s="6"/>
      <c r="Z221" s="6"/>
      <c r="AA221" s="6"/>
      <c r="AB221" s="6"/>
      <c r="AC221" s="6"/>
      <c r="AD221" s="6"/>
      <c r="AE221" s="6"/>
      <c r="AF221" s="6"/>
      <c r="AG221" s="6"/>
    </row>
    <row r="222" ht="14.25" customHeight="1">
      <c r="A222" s="6"/>
      <c r="B222" s="6"/>
      <c r="C222" s="6">
        <v>215.0</v>
      </c>
      <c r="D222" s="6"/>
      <c r="E222" s="6">
        <v>7527970.393726283</v>
      </c>
      <c r="F222" s="6">
        <v>477.4047433309754</v>
      </c>
      <c r="G222" s="6">
        <v>4.269707625469799</v>
      </c>
      <c r="H222" s="6">
        <v>7405782.2272333</v>
      </c>
      <c r="I222" s="6">
        <v>472.1174848872449</v>
      </c>
      <c r="J222" s="6">
        <v>3.187023238288639</v>
      </c>
      <c r="K222" s="6"/>
      <c r="L222" s="6"/>
      <c r="M222" s="6"/>
      <c r="N222" s="6">
        <f t="shared" ref="N222:P222" si="225">IF(LEN($C222)&gt;0,H222-E222,"")</f>
        <v>-122188.1665</v>
      </c>
      <c r="O222" s="6">
        <f t="shared" si="225"/>
        <v>-5.287258444</v>
      </c>
      <c r="P222" s="6">
        <f t="shared" si="225"/>
        <v>-1.082684387</v>
      </c>
      <c r="Q222" s="6"/>
      <c r="R222" s="6"/>
      <c r="S222" s="6"/>
      <c r="T222" s="6"/>
      <c r="U222" s="6"/>
      <c r="V222" s="6"/>
      <c r="W222" s="6"/>
      <c r="X222" s="6"/>
      <c r="Y222" s="6"/>
      <c r="Z222" s="6"/>
      <c r="AA222" s="6"/>
      <c r="AB222" s="6"/>
      <c r="AC222" s="6"/>
      <c r="AD222" s="6"/>
      <c r="AE222" s="6"/>
      <c r="AF222" s="6"/>
      <c r="AG222" s="6"/>
    </row>
    <row r="223" ht="14.25" customHeight="1">
      <c r="A223" s="6"/>
      <c r="B223" s="6"/>
      <c r="C223" s="6">
        <v>216.0</v>
      </c>
      <c r="D223" s="6"/>
      <c r="E223" s="6">
        <v>7308997.451920872</v>
      </c>
      <c r="F223" s="6">
        <v>466.8130481672887</v>
      </c>
      <c r="G223" s="6">
        <v>6.014769438906434</v>
      </c>
      <c r="H223" s="6">
        <v>7237142.7842101995</v>
      </c>
      <c r="I223" s="6">
        <v>464.1256480275809</v>
      </c>
      <c r="J223" s="6">
        <v>5.028130041347286</v>
      </c>
      <c r="K223" s="6"/>
      <c r="L223" s="6"/>
      <c r="M223" s="6"/>
      <c r="N223" s="6">
        <f t="shared" ref="N223:P223" si="226">IF(LEN($C223)&gt;0,H223-E223,"")</f>
        <v>-71854.66771</v>
      </c>
      <c r="O223" s="6">
        <f t="shared" si="226"/>
        <v>-2.68740014</v>
      </c>
      <c r="P223" s="6">
        <f t="shared" si="226"/>
        <v>-0.9866393976</v>
      </c>
      <c r="Q223" s="6"/>
      <c r="R223" s="6"/>
      <c r="S223" s="6"/>
      <c r="T223" s="6"/>
      <c r="U223" s="6"/>
      <c r="V223" s="6"/>
      <c r="W223" s="6"/>
      <c r="X223" s="6"/>
      <c r="Y223" s="6"/>
      <c r="Z223" s="6"/>
      <c r="AA223" s="6"/>
      <c r="AB223" s="6"/>
      <c r="AC223" s="6"/>
      <c r="AD223" s="6"/>
      <c r="AE223" s="6"/>
      <c r="AF223" s="6"/>
      <c r="AG223" s="6"/>
    </row>
    <row r="224" ht="14.25" customHeight="1">
      <c r="A224" s="6"/>
      <c r="B224" s="6"/>
      <c r="C224" s="6">
        <v>217.0</v>
      </c>
      <c r="D224" s="6"/>
      <c r="E224" s="6">
        <v>5418052.549239079</v>
      </c>
      <c r="F224" s="6">
        <v>451.60323597611836</v>
      </c>
      <c r="G224" s="6">
        <v>5.39276952003709</v>
      </c>
      <c r="H224" s="6">
        <v>5319219.902231119</v>
      </c>
      <c r="I224" s="6">
        <v>448.4761957534653</v>
      </c>
      <c r="J224" s="6">
        <v>3.852006665810363</v>
      </c>
      <c r="K224" s="6"/>
      <c r="L224" s="6"/>
      <c r="M224" s="6"/>
      <c r="N224" s="6">
        <f t="shared" ref="N224:P224" si="227">IF(LEN($C224)&gt;0,H224-E224,"")</f>
        <v>-98832.64701</v>
      </c>
      <c r="O224" s="6">
        <f t="shared" si="227"/>
        <v>-3.127040223</v>
      </c>
      <c r="P224" s="6">
        <f t="shared" si="227"/>
        <v>-1.540762854</v>
      </c>
      <c r="Q224" s="6"/>
      <c r="R224" s="6"/>
      <c r="S224" s="6"/>
      <c r="T224" s="6"/>
      <c r="U224" s="6"/>
      <c r="V224" s="6"/>
      <c r="W224" s="6"/>
      <c r="X224" s="6"/>
      <c r="Y224" s="6"/>
      <c r="Z224" s="6"/>
      <c r="AA224" s="6"/>
      <c r="AB224" s="6"/>
      <c r="AC224" s="6"/>
      <c r="AD224" s="6"/>
      <c r="AE224" s="6"/>
      <c r="AF224" s="6"/>
      <c r="AG224" s="6"/>
    </row>
    <row r="225" ht="14.25" customHeight="1">
      <c r="A225" s="6"/>
      <c r="B225" s="6"/>
      <c r="C225" s="6">
        <v>218.0</v>
      </c>
      <c r="D225" s="6"/>
      <c r="E225" s="6">
        <v>4396029.962196887</v>
      </c>
      <c r="F225" s="6">
        <v>452.40144101222796</v>
      </c>
      <c r="G225" s="6">
        <v>6.18431859023647</v>
      </c>
      <c r="H225" s="6">
        <v>4274777.104133334</v>
      </c>
      <c r="I225" s="6">
        <v>446.7036427948501</v>
      </c>
      <c r="J225" s="6">
        <v>4.646245347018606</v>
      </c>
      <c r="K225" s="6"/>
      <c r="L225" s="6"/>
      <c r="M225" s="6"/>
      <c r="N225" s="6">
        <f t="shared" ref="N225:P225" si="228">IF(LEN($C225)&gt;0,H225-E225,"")</f>
        <v>-121252.8581</v>
      </c>
      <c r="O225" s="6">
        <f t="shared" si="228"/>
        <v>-5.697798217</v>
      </c>
      <c r="P225" s="6">
        <f t="shared" si="228"/>
        <v>-1.538073243</v>
      </c>
      <c r="Q225" s="6"/>
      <c r="R225" s="6"/>
      <c r="S225" s="6"/>
      <c r="T225" s="6"/>
      <c r="U225" s="6"/>
      <c r="V225" s="6"/>
      <c r="W225" s="6"/>
      <c r="X225" s="6"/>
      <c r="Y225" s="6"/>
      <c r="Z225" s="6"/>
      <c r="AA225" s="6"/>
      <c r="AB225" s="6"/>
      <c r="AC225" s="6"/>
      <c r="AD225" s="6"/>
      <c r="AE225" s="6"/>
      <c r="AF225" s="6"/>
      <c r="AG225" s="6"/>
    </row>
    <row r="226" ht="14.25" customHeight="1">
      <c r="A226" s="6"/>
      <c r="B226" s="6"/>
      <c r="C226" s="6">
        <v>219.0</v>
      </c>
      <c r="D226" s="6"/>
      <c r="E226" s="6">
        <v>7057543.181482729</v>
      </c>
      <c r="F226" s="6">
        <v>501.4633575025667</v>
      </c>
      <c r="G226" s="6">
        <v>5.44505717266678</v>
      </c>
      <c r="H226" s="6">
        <v>6961839.854788069</v>
      </c>
      <c r="I226" s="6">
        <v>497.02059965994783</v>
      </c>
      <c r="J226" s="6">
        <v>3.9604525947316214</v>
      </c>
      <c r="K226" s="6"/>
      <c r="L226" s="6"/>
      <c r="M226" s="6"/>
      <c r="N226" s="6">
        <f t="shared" ref="N226:P226" si="229">IF(LEN($C226)&gt;0,H226-E226,"")</f>
        <v>-95703.32669</v>
      </c>
      <c r="O226" s="6">
        <f t="shared" si="229"/>
        <v>-4.442757843</v>
      </c>
      <c r="P226" s="6">
        <f t="shared" si="229"/>
        <v>-1.484604578</v>
      </c>
      <c r="Q226" s="6"/>
      <c r="R226" s="6"/>
      <c r="S226" s="6"/>
      <c r="T226" s="6"/>
      <c r="U226" s="6"/>
      <c r="V226" s="6"/>
      <c r="W226" s="6"/>
      <c r="X226" s="6"/>
      <c r="Y226" s="6"/>
      <c r="Z226" s="6"/>
      <c r="AA226" s="6"/>
      <c r="AB226" s="6"/>
      <c r="AC226" s="6"/>
      <c r="AD226" s="6"/>
      <c r="AE226" s="6"/>
      <c r="AF226" s="6"/>
      <c r="AG226" s="6"/>
    </row>
    <row r="227" ht="14.25" customHeight="1">
      <c r="A227" s="6"/>
      <c r="B227" s="6"/>
      <c r="C227" s="6">
        <v>220.0</v>
      </c>
      <c r="D227" s="6"/>
      <c r="E227" s="6">
        <v>6527640.547944612</v>
      </c>
      <c r="F227" s="6">
        <v>445.8041361514609</v>
      </c>
      <c r="G227" s="6">
        <v>5.049740243736069</v>
      </c>
      <c r="H227" s="6">
        <v>6389808.128051485</v>
      </c>
      <c r="I227" s="6">
        <v>440.4962477300782</v>
      </c>
      <c r="J227" s="6">
        <v>3.45552402308411</v>
      </c>
      <c r="K227" s="6"/>
      <c r="L227" s="6"/>
      <c r="M227" s="6"/>
      <c r="N227" s="6">
        <f t="shared" ref="N227:P227" si="230">IF(LEN($C227)&gt;0,H227-E227,"")</f>
        <v>-137832.4199</v>
      </c>
      <c r="O227" s="6">
        <f t="shared" si="230"/>
        <v>-5.307888421</v>
      </c>
      <c r="P227" s="6">
        <f t="shared" si="230"/>
        <v>-1.594216221</v>
      </c>
      <c r="Q227" s="6"/>
      <c r="R227" s="6"/>
      <c r="S227" s="6"/>
      <c r="T227" s="6"/>
      <c r="U227" s="6"/>
      <c r="V227" s="6"/>
      <c r="W227" s="6"/>
      <c r="X227" s="6"/>
      <c r="Y227" s="6"/>
      <c r="Z227" s="6"/>
      <c r="AA227" s="6"/>
      <c r="AB227" s="6"/>
      <c r="AC227" s="6"/>
      <c r="AD227" s="6"/>
      <c r="AE227" s="6"/>
      <c r="AF227" s="6"/>
      <c r="AG227" s="6"/>
    </row>
    <row r="228" ht="14.25" customHeight="1">
      <c r="A228" s="6"/>
      <c r="B228" s="6"/>
      <c r="C228" s="6">
        <v>221.0</v>
      </c>
      <c r="D228" s="6"/>
      <c r="E228" s="6">
        <v>7368009.345613497</v>
      </c>
      <c r="F228" s="6">
        <v>481.585823167186</v>
      </c>
      <c r="G228" s="6">
        <v>5.8328611800036185</v>
      </c>
      <c r="H228" s="6">
        <v>7269542.370301334</v>
      </c>
      <c r="I228" s="6">
        <v>479.29261573387595</v>
      </c>
      <c r="J228" s="6">
        <v>4.151756251125782</v>
      </c>
      <c r="K228" s="6"/>
      <c r="L228" s="6"/>
      <c r="M228" s="6"/>
      <c r="N228" s="6">
        <f t="shared" ref="N228:P228" si="231">IF(LEN($C228)&gt;0,H228-E228,"")</f>
        <v>-98466.97531</v>
      </c>
      <c r="O228" s="6">
        <f t="shared" si="231"/>
        <v>-2.293207433</v>
      </c>
      <c r="P228" s="6">
        <f t="shared" si="231"/>
        <v>-1.681104929</v>
      </c>
      <c r="Q228" s="6"/>
      <c r="R228" s="6"/>
      <c r="S228" s="6"/>
      <c r="T228" s="6"/>
      <c r="U228" s="6"/>
      <c r="V228" s="6"/>
      <c r="W228" s="6"/>
      <c r="X228" s="6"/>
      <c r="Y228" s="6"/>
      <c r="Z228" s="6"/>
      <c r="AA228" s="6"/>
      <c r="AB228" s="6"/>
      <c r="AC228" s="6"/>
      <c r="AD228" s="6"/>
      <c r="AE228" s="6"/>
      <c r="AF228" s="6"/>
      <c r="AG228" s="6"/>
    </row>
    <row r="229" ht="14.25" customHeight="1">
      <c r="A229" s="6"/>
      <c r="B229" s="6"/>
      <c r="C229" s="6">
        <v>222.0</v>
      </c>
      <c r="D229" s="6"/>
      <c r="E229" s="6">
        <v>9377469.25402077</v>
      </c>
      <c r="F229" s="6">
        <v>450.2230738604369</v>
      </c>
      <c r="G229" s="6">
        <v>4.3060936315547735</v>
      </c>
      <c r="H229" s="6">
        <v>9297200.191110833</v>
      </c>
      <c r="I229" s="6">
        <v>447.5549592641599</v>
      </c>
      <c r="J229" s="6">
        <v>3.1972920506598888</v>
      </c>
      <c r="K229" s="6"/>
      <c r="L229" s="6"/>
      <c r="M229" s="6"/>
      <c r="N229" s="6">
        <f t="shared" ref="N229:P229" si="232">IF(LEN($C229)&gt;0,H229-E229,"")</f>
        <v>-80269.06291</v>
      </c>
      <c r="O229" s="6">
        <f t="shared" si="232"/>
        <v>-2.668114596</v>
      </c>
      <c r="P229" s="6">
        <f t="shared" si="232"/>
        <v>-1.108801581</v>
      </c>
      <c r="Q229" s="6"/>
      <c r="R229" s="6"/>
      <c r="S229" s="6"/>
      <c r="T229" s="6"/>
      <c r="U229" s="6"/>
      <c r="V229" s="6"/>
      <c r="W229" s="6"/>
      <c r="X229" s="6"/>
      <c r="Y229" s="6"/>
      <c r="Z229" s="6"/>
      <c r="AA229" s="6"/>
      <c r="AB229" s="6"/>
      <c r="AC229" s="6"/>
      <c r="AD229" s="6"/>
      <c r="AE229" s="6"/>
      <c r="AF229" s="6"/>
      <c r="AG229" s="6"/>
    </row>
    <row r="230" ht="14.25" customHeight="1">
      <c r="A230" s="6"/>
      <c r="B230" s="6"/>
      <c r="C230" s="6">
        <v>223.0</v>
      </c>
      <c r="D230" s="6"/>
      <c r="E230" s="6">
        <v>9192760.045502027</v>
      </c>
      <c r="F230" s="6">
        <v>476.1032205359135</v>
      </c>
      <c r="G230" s="6">
        <v>5.037114062213047</v>
      </c>
      <c r="H230" s="6">
        <v>9113650.240712926</v>
      </c>
      <c r="I230" s="6">
        <v>471.78270905287354</v>
      </c>
      <c r="J230" s="6">
        <v>4.078820323837682</v>
      </c>
      <c r="K230" s="6"/>
      <c r="L230" s="6"/>
      <c r="M230" s="6"/>
      <c r="N230" s="6">
        <f t="shared" ref="N230:P230" si="233">IF(LEN($C230)&gt;0,H230-E230,"")</f>
        <v>-79109.80479</v>
      </c>
      <c r="O230" s="6">
        <f t="shared" si="233"/>
        <v>-4.320511483</v>
      </c>
      <c r="P230" s="6">
        <f t="shared" si="233"/>
        <v>-0.9582937384</v>
      </c>
      <c r="Q230" s="6"/>
      <c r="R230" s="6"/>
      <c r="S230" s="6"/>
      <c r="T230" s="6"/>
      <c r="U230" s="6"/>
      <c r="V230" s="6"/>
      <c r="W230" s="6"/>
      <c r="X230" s="6"/>
      <c r="Y230" s="6"/>
      <c r="Z230" s="6"/>
      <c r="AA230" s="6"/>
      <c r="AB230" s="6"/>
      <c r="AC230" s="6"/>
      <c r="AD230" s="6"/>
      <c r="AE230" s="6"/>
      <c r="AF230" s="6"/>
      <c r="AG230" s="6"/>
    </row>
    <row r="231" ht="14.25" customHeight="1">
      <c r="A231" s="6"/>
      <c r="B231" s="6"/>
      <c r="C231" s="6">
        <v>224.0</v>
      </c>
      <c r="D231" s="6"/>
      <c r="E231" s="6">
        <v>6297773.955814654</v>
      </c>
      <c r="F231" s="6">
        <v>508.32262146866</v>
      </c>
      <c r="G231" s="6">
        <v>4.402193031607538</v>
      </c>
      <c r="H231" s="6">
        <v>6196512.372207373</v>
      </c>
      <c r="I231" s="6">
        <v>503.6215623803489</v>
      </c>
      <c r="J231" s="6">
        <v>3.148928712369716</v>
      </c>
      <c r="K231" s="6"/>
      <c r="L231" s="6"/>
      <c r="M231" s="6"/>
      <c r="N231" s="6">
        <f t="shared" ref="N231:P231" si="234">IF(LEN($C231)&gt;0,H231-E231,"")</f>
        <v>-101261.5836</v>
      </c>
      <c r="O231" s="6">
        <f t="shared" si="234"/>
        <v>-4.701059088</v>
      </c>
      <c r="P231" s="6">
        <f t="shared" si="234"/>
        <v>-1.253264319</v>
      </c>
      <c r="Q231" s="6"/>
      <c r="R231" s="6"/>
      <c r="S231" s="6"/>
      <c r="T231" s="6"/>
      <c r="U231" s="6"/>
      <c r="V231" s="6"/>
      <c r="W231" s="6"/>
      <c r="X231" s="6"/>
      <c r="Y231" s="6"/>
      <c r="Z231" s="6"/>
      <c r="AA231" s="6"/>
      <c r="AB231" s="6"/>
      <c r="AC231" s="6"/>
      <c r="AD231" s="6"/>
      <c r="AE231" s="6"/>
      <c r="AF231" s="6"/>
      <c r="AG231" s="6"/>
    </row>
    <row r="232" ht="14.25" customHeight="1">
      <c r="A232" s="6"/>
      <c r="B232" s="6"/>
      <c r="C232" s="6">
        <v>225.0</v>
      </c>
      <c r="D232" s="6"/>
      <c r="E232" s="6">
        <v>7794959.273302244</v>
      </c>
      <c r="F232" s="6">
        <v>468.08814214498915</v>
      </c>
      <c r="G232" s="6">
        <v>5.681848672117395</v>
      </c>
      <c r="H232" s="6">
        <v>7695364.924095395</v>
      </c>
      <c r="I232" s="6">
        <v>463.26001472617395</v>
      </c>
      <c r="J232" s="6">
        <v>4.3058248013601474</v>
      </c>
      <c r="K232" s="6"/>
      <c r="L232" s="6"/>
      <c r="M232" s="6"/>
      <c r="N232" s="6">
        <f t="shared" ref="N232:P232" si="235">IF(LEN($C232)&gt;0,H232-E232,"")</f>
        <v>-99594.34921</v>
      </c>
      <c r="O232" s="6">
        <f t="shared" si="235"/>
        <v>-4.828127419</v>
      </c>
      <c r="P232" s="6">
        <f t="shared" si="235"/>
        <v>-1.376023871</v>
      </c>
      <c r="Q232" s="6"/>
      <c r="R232" s="6"/>
      <c r="S232" s="6"/>
      <c r="T232" s="6"/>
      <c r="U232" s="6"/>
      <c r="V232" s="6"/>
      <c r="W232" s="6"/>
      <c r="X232" s="6"/>
      <c r="Y232" s="6"/>
      <c r="Z232" s="6"/>
      <c r="AA232" s="6"/>
      <c r="AB232" s="6"/>
      <c r="AC232" s="6"/>
      <c r="AD232" s="6"/>
      <c r="AE232" s="6"/>
      <c r="AF232" s="6"/>
      <c r="AG232" s="6"/>
    </row>
    <row r="233" ht="14.25" customHeight="1">
      <c r="A233" s="6"/>
      <c r="B233" s="6"/>
      <c r="C233" s="6">
        <v>226.0</v>
      </c>
      <c r="D233" s="6"/>
      <c r="E233" s="6">
        <v>6773147.091221872</v>
      </c>
      <c r="F233" s="6">
        <v>472.67742206943007</v>
      </c>
      <c r="G233" s="6">
        <v>4.332918449535716</v>
      </c>
      <c r="H233" s="6">
        <v>6696560.708433326</v>
      </c>
      <c r="I233" s="6">
        <v>470.0148618807635</v>
      </c>
      <c r="J233" s="6">
        <v>3.5879304771499125</v>
      </c>
      <c r="K233" s="6"/>
      <c r="L233" s="6"/>
      <c r="M233" s="6"/>
      <c r="N233" s="6">
        <f t="shared" ref="N233:P233" si="236">IF(LEN($C233)&gt;0,H233-E233,"")</f>
        <v>-76586.38279</v>
      </c>
      <c r="O233" s="6">
        <f t="shared" si="236"/>
        <v>-2.662560189</v>
      </c>
      <c r="P233" s="6">
        <f t="shared" si="236"/>
        <v>-0.7449879724</v>
      </c>
      <c r="Q233" s="6"/>
      <c r="R233" s="6"/>
      <c r="S233" s="6"/>
      <c r="T233" s="6"/>
      <c r="U233" s="6"/>
      <c r="V233" s="6"/>
      <c r="W233" s="6"/>
      <c r="X233" s="6"/>
      <c r="Y233" s="6"/>
      <c r="Z233" s="6"/>
      <c r="AA233" s="6"/>
      <c r="AB233" s="6"/>
      <c r="AC233" s="6"/>
      <c r="AD233" s="6"/>
      <c r="AE233" s="6"/>
      <c r="AF233" s="6"/>
      <c r="AG233" s="6"/>
    </row>
    <row r="234" ht="14.25" customHeight="1">
      <c r="A234" s="6"/>
      <c r="B234" s="6"/>
      <c r="C234" s="6">
        <v>227.0</v>
      </c>
      <c r="D234" s="6"/>
      <c r="E234" s="6">
        <v>6584581.421298987</v>
      </c>
      <c r="F234" s="6">
        <v>450.9230903807921</v>
      </c>
      <c r="G234" s="6">
        <v>4.841009835723471</v>
      </c>
      <c r="H234" s="6">
        <v>6463448.539917361</v>
      </c>
      <c r="I234" s="6">
        <v>445.23596566573195</v>
      </c>
      <c r="J234" s="6">
        <v>3.5104407161011997</v>
      </c>
      <c r="K234" s="6"/>
      <c r="L234" s="6"/>
      <c r="M234" s="6"/>
      <c r="N234" s="6">
        <f t="shared" ref="N234:P234" si="237">IF(LEN($C234)&gt;0,H234-E234,"")</f>
        <v>-121132.8814</v>
      </c>
      <c r="O234" s="6">
        <f t="shared" si="237"/>
        <v>-5.687124715</v>
      </c>
      <c r="P234" s="6">
        <f t="shared" si="237"/>
        <v>-1.33056912</v>
      </c>
      <c r="Q234" s="6"/>
      <c r="R234" s="6"/>
      <c r="S234" s="6"/>
      <c r="T234" s="6"/>
      <c r="U234" s="6"/>
      <c r="V234" s="6"/>
      <c r="W234" s="6"/>
      <c r="X234" s="6"/>
      <c r="Y234" s="6"/>
      <c r="Z234" s="6"/>
      <c r="AA234" s="6"/>
      <c r="AB234" s="6"/>
      <c r="AC234" s="6"/>
      <c r="AD234" s="6"/>
      <c r="AE234" s="6"/>
      <c r="AF234" s="6"/>
      <c r="AG234" s="6"/>
    </row>
    <row r="235" ht="14.25" customHeight="1">
      <c r="A235" s="6"/>
      <c r="B235" s="6"/>
      <c r="C235" s="6">
        <v>228.0</v>
      </c>
      <c r="D235" s="6"/>
      <c r="E235" s="6">
        <v>7932323.577784624</v>
      </c>
      <c r="F235" s="6">
        <v>490.8500115678354</v>
      </c>
      <c r="G235" s="6">
        <v>6.302377728992975</v>
      </c>
      <c r="H235" s="6">
        <v>7798245.166641042</v>
      </c>
      <c r="I235" s="6">
        <v>487.89289550667</v>
      </c>
      <c r="J235" s="6">
        <v>4.694561841447791</v>
      </c>
      <c r="K235" s="6"/>
      <c r="L235" s="6"/>
      <c r="M235" s="6"/>
      <c r="N235" s="6">
        <f t="shared" ref="N235:P235" si="238">IF(LEN($C235)&gt;0,H235-E235,"")</f>
        <v>-134078.4111</v>
      </c>
      <c r="O235" s="6">
        <f t="shared" si="238"/>
        <v>-2.957116061</v>
      </c>
      <c r="P235" s="6">
        <f t="shared" si="238"/>
        <v>-1.607815888</v>
      </c>
      <c r="Q235" s="6"/>
      <c r="R235" s="6"/>
      <c r="S235" s="6"/>
      <c r="T235" s="6"/>
      <c r="U235" s="6"/>
      <c r="V235" s="6"/>
      <c r="W235" s="6"/>
      <c r="X235" s="6"/>
      <c r="Y235" s="6"/>
      <c r="Z235" s="6"/>
      <c r="AA235" s="6"/>
      <c r="AB235" s="6"/>
      <c r="AC235" s="6"/>
      <c r="AD235" s="6"/>
      <c r="AE235" s="6"/>
      <c r="AF235" s="6"/>
      <c r="AG235" s="6"/>
    </row>
    <row r="236" ht="14.25" customHeight="1">
      <c r="A236" s="6"/>
      <c r="B236" s="6"/>
      <c r="C236" s="6">
        <v>229.0</v>
      </c>
      <c r="D236" s="6"/>
      <c r="E236" s="6">
        <v>7188048.272306084</v>
      </c>
      <c r="F236" s="6">
        <v>463.7071048280174</v>
      </c>
      <c r="G236" s="6">
        <v>5.165658238269447</v>
      </c>
      <c r="H236" s="6">
        <v>7123406.479705243</v>
      </c>
      <c r="I236" s="6">
        <v>461.9508494395812</v>
      </c>
      <c r="J236" s="6">
        <v>4.149818277835151</v>
      </c>
      <c r="K236" s="6"/>
      <c r="L236" s="6"/>
      <c r="M236" s="6"/>
      <c r="N236" s="6">
        <f t="shared" ref="N236:P236" si="239">IF(LEN($C236)&gt;0,H236-E236,"")</f>
        <v>-64641.7926</v>
      </c>
      <c r="O236" s="6">
        <f t="shared" si="239"/>
        <v>-1.756255388</v>
      </c>
      <c r="P236" s="6">
        <f t="shared" si="239"/>
        <v>-1.01583996</v>
      </c>
      <c r="Q236" s="6"/>
      <c r="R236" s="6"/>
      <c r="S236" s="6"/>
      <c r="T236" s="6"/>
      <c r="U236" s="6"/>
      <c r="V236" s="6"/>
      <c r="W236" s="6"/>
      <c r="X236" s="6"/>
      <c r="Y236" s="6"/>
      <c r="Z236" s="6"/>
      <c r="AA236" s="6"/>
      <c r="AB236" s="6"/>
      <c r="AC236" s="6"/>
      <c r="AD236" s="6"/>
      <c r="AE236" s="6"/>
      <c r="AF236" s="6"/>
      <c r="AG236" s="6"/>
    </row>
    <row r="237" ht="14.25" customHeight="1">
      <c r="A237" s="6"/>
      <c r="B237" s="6"/>
      <c r="C237" s="6">
        <v>230.0</v>
      </c>
      <c r="D237" s="6"/>
      <c r="E237" s="6">
        <v>6687354.410819407</v>
      </c>
      <c r="F237" s="6">
        <v>460.6221172906525</v>
      </c>
      <c r="G237" s="6">
        <v>5.167070180882419</v>
      </c>
      <c r="H237" s="6">
        <v>6599993.0460673785</v>
      </c>
      <c r="I237" s="6">
        <v>457.31801280624865</v>
      </c>
      <c r="J237" s="6">
        <v>4.41195891893437</v>
      </c>
      <c r="K237" s="6"/>
      <c r="L237" s="6"/>
      <c r="M237" s="6"/>
      <c r="N237" s="6">
        <f t="shared" ref="N237:P237" si="240">IF(LEN($C237)&gt;0,H237-E237,"")</f>
        <v>-87361.36475</v>
      </c>
      <c r="O237" s="6">
        <f t="shared" si="240"/>
        <v>-3.304104484</v>
      </c>
      <c r="P237" s="6">
        <f t="shared" si="240"/>
        <v>-0.7551112619</v>
      </c>
      <c r="Q237" s="6"/>
      <c r="R237" s="6"/>
      <c r="S237" s="6"/>
      <c r="T237" s="6"/>
      <c r="U237" s="6"/>
      <c r="V237" s="6"/>
      <c r="W237" s="6"/>
      <c r="X237" s="6"/>
      <c r="Y237" s="6"/>
      <c r="Z237" s="6"/>
      <c r="AA237" s="6"/>
      <c r="AB237" s="6"/>
      <c r="AC237" s="6"/>
      <c r="AD237" s="6"/>
      <c r="AE237" s="6"/>
      <c r="AF237" s="6"/>
      <c r="AG237" s="6"/>
    </row>
    <row r="238" ht="14.25" customHeight="1">
      <c r="A238" s="6"/>
      <c r="B238" s="6"/>
      <c r="C238" s="6">
        <v>231.0</v>
      </c>
      <c r="D238" s="6"/>
      <c r="E238" s="6">
        <v>6871050.001535946</v>
      </c>
      <c r="F238" s="6">
        <v>462.2712846875503</v>
      </c>
      <c r="G238" s="6">
        <v>4.90698307547837</v>
      </c>
      <c r="H238" s="6">
        <v>6771206.537532366</v>
      </c>
      <c r="I238" s="6">
        <v>457.5912150808285</v>
      </c>
      <c r="J238" s="6">
        <v>3.902936134987738</v>
      </c>
      <c r="K238" s="6"/>
      <c r="L238" s="6"/>
      <c r="M238" s="6"/>
      <c r="N238" s="6">
        <f t="shared" ref="N238:P238" si="241">IF(LEN($C238)&gt;0,H238-E238,"")</f>
        <v>-99843.464</v>
      </c>
      <c r="O238" s="6">
        <f t="shared" si="241"/>
        <v>-4.680069607</v>
      </c>
      <c r="P238" s="6">
        <f t="shared" si="241"/>
        <v>-1.00404694</v>
      </c>
      <c r="Q238" s="6"/>
      <c r="R238" s="6"/>
      <c r="S238" s="6"/>
      <c r="T238" s="6"/>
      <c r="U238" s="6"/>
      <c r="V238" s="6"/>
      <c r="W238" s="6"/>
      <c r="X238" s="6"/>
      <c r="Y238" s="6"/>
      <c r="Z238" s="6"/>
      <c r="AA238" s="6"/>
      <c r="AB238" s="6"/>
      <c r="AC238" s="6"/>
      <c r="AD238" s="6"/>
      <c r="AE238" s="6"/>
      <c r="AF238" s="6"/>
      <c r="AG238" s="6"/>
    </row>
    <row r="239" ht="14.25" customHeight="1">
      <c r="A239" s="6"/>
      <c r="B239" s="6"/>
      <c r="C239" s="6">
        <v>232.0</v>
      </c>
      <c r="D239" s="6"/>
      <c r="E239" s="6">
        <v>7499774.575558452</v>
      </c>
      <c r="F239" s="6">
        <v>440.3489429108305</v>
      </c>
      <c r="G239" s="6">
        <v>5.874083913564608</v>
      </c>
      <c r="H239" s="6">
        <v>7343342.074605923</v>
      </c>
      <c r="I239" s="6">
        <v>435.07348167906684</v>
      </c>
      <c r="J239" s="6">
        <v>3.7675194924776862</v>
      </c>
      <c r="K239" s="6"/>
      <c r="L239" s="6"/>
      <c r="M239" s="6"/>
      <c r="N239" s="6">
        <f t="shared" ref="N239:P239" si="242">IF(LEN($C239)&gt;0,H239-E239,"")</f>
        <v>-156432.501</v>
      </c>
      <c r="O239" s="6">
        <f t="shared" si="242"/>
        <v>-5.275461232</v>
      </c>
      <c r="P239" s="6">
        <f t="shared" si="242"/>
        <v>-2.106564421</v>
      </c>
      <c r="Q239" s="6"/>
      <c r="R239" s="6"/>
      <c r="S239" s="6"/>
      <c r="T239" s="6"/>
      <c r="U239" s="6"/>
      <c r="V239" s="6"/>
      <c r="W239" s="6"/>
      <c r="X239" s="6"/>
      <c r="Y239" s="6"/>
      <c r="Z239" s="6"/>
      <c r="AA239" s="6"/>
      <c r="AB239" s="6"/>
      <c r="AC239" s="6"/>
      <c r="AD239" s="6"/>
      <c r="AE239" s="6"/>
      <c r="AF239" s="6"/>
      <c r="AG239" s="6"/>
    </row>
    <row r="240" ht="14.25" customHeight="1">
      <c r="A240" s="6"/>
      <c r="B240" s="6"/>
      <c r="C240" s="6">
        <v>233.0</v>
      </c>
      <c r="D240" s="6"/>
      <c r="E240" s="6">
        <v>8221980.359935297</v>
      </c>
      <c r="F240" s="6">
        <v>460.82370682508645</v>
      </c>
      <c r="G240" s="6">
        <v>6.061282349840139</v>
      </c>
      <c r="H240" s="6">
        <v>8132149.862015402</v>
      </c>
      <c r="I240" s="6">
        <v>457.825886267363</v>
      </c>
      <c r="J240" s="6">
        <v>5.048532945572405</v>
      </c>
      <c r="K240" s="6"/>
      <c r="L240" s="6"/>
      <c r="M240" s="6"/>
      <c r="N240" s="6">
        <f t="shared" ref="N240:P240" si="243">IF(LEN($C240)&gt;0,H240-E240,"")</f>
        <v>-89830.49792</v>
      </c>
      <c r="O240" s="6">
        <f t="shared" si="243"/>
        <v>-2.997820558</v>
      </c>
      <c r="P240" s="6">
        <f t="shared" si="243"/>
        <v>-1.012749404</v>
      </c>
      <c r="Q240" s="6"/>
      <c r="R240" s="6"/>
      <c r="S240" s="6"/>
      <c r="T240" s="6"/>
      <c r="U240" s="6"/>
      <c r="V240" s="6"/>
      <c r="W240" s="6"/>
      <c r="X240" s="6"/>
      <c r="Y240" s="6"/>
      <c r="Z240" s="6"/>
      <c r="AA240" s="6"/>
      <c r="AB240" s="6"/>
      <c r="AC240" s="6"/>
      <c r="AD240" s="6"/>
      <c r="AE240" s="6"/>
      <c r="AF240" s="6"/>
      <c r="AG240" s="6"/>
    </row>
    <row r="241" ht="14.25" customHeight="1">
      <c r="A241" s="6"/>
      <c r="B241" s="6"/>
      <c r="C241" s="6">
        <v>234.0</v>
      </c>
      <c r="D241" s="6"/>
      <c r="E241" s="6">
        <v>5609832.412852749</v>
      </c>
      <c r="F241" s="6">
        <v>434.0235845795705</v>
      </c>
      <c r="G241" s="6">
        <v>5.124057043983818</v>
      </c>
      <c r="H241" s="6">
        <v>5485875.359014897</v>
      </c>
      <c r="I241" s="6">
        <v>429.7894018133573</v>
      </c>
      <c r="J241" s="6">
        <v>3.438007923049353</v>
      </c>
      <c r="K241" s="6"/>
      <c r="L241" s="6"/>
      <c r="M241" s="6"/>
      <c r="N241" s="6">
        <f t="shared" ref="N241:P241" si="244">IF(LEN($C241)&gt;0,H241-E241,"")</f>
        <v>-123957.0538</v>
      </c>
      <c r="O241" s="6">
        <f t="shared" si="244"/>
        <v>-4.234182766</v>
      </c>
      <c r="P241" s="6">
        <f t="shared" si="244"/>
        <v>-1.686049121</v>
      </c>
      <c r="Q241" s="6"/>
      <c r="R241" s="6"/>
      <c r="S241" s="6"/>
      <c r="T241" s="6"/>
      <c r="U241" s="6"/>
      <c r="V241" s="6"/>
      <c r="W241" s="6"/>
      <c r="X241" s="6"/>
      <c r="Y241" s="6"/>
      <c r="Z241" s="6"/>
      <c r="AA241" s="6"/>
      <c r="AB241" s="6"/>
      <c r="AC241" s="6"/>
      <c r="AD241" s="6"/>
      <c r="AE241" s="6"/>
      <c r="AF241" s="6"/>
      <c r="AG241" s="6"/>
    </row>
    <row r="242" ht="14.25" customHeight="1">
      <c r="A242" s="6"/>
      <c r="B242" s="6"/>
      <c r="C242" s="6">
        <v>235.0</v>
      </c>
      <c r="D242" s="6"/>
      <c r="E242" s="6">
        <v>7470460.342730328</v>
      </c>
      <c r="F242" s="6">
        <v>467.39019151134454</v>
      </c>
      <c r="G242" s="6">
        <v>5.474689538591637</v>
      </c>
      <c r="H242" s="6">
        <v>7315473.1342903515</v>
      </c>
      <c r="I242" s="6">
        <v>458.75763379180285</v>
      </c>
      <c r="J242" s="6">
        <v>3.653816463175471</v>
      </c>
      <c r="K242" s="6"/>
      <c r="L242" s="6"/>
      <c r="M242" s="6"/>
      <c r="N242" s="6">
        <f t="shared" ref="N242:P242" si="245">IF(LEN($C242)&gt;0,H242-E242,"")</f>
        <v>-154987.2084</v>
      </c>
      <c r="O242" s="6">
        <f t="shared" si="245"/>
        <v>-8.63255772</v>
      </c>
      <c r="P242" s="6">
        <f t="shared" si="245"/>
        <v>-1.820873075</v>
      </c>
      <c r="Q242" s="6"/>
      <c r="R242" s="6"/>
      <c r="S242" s="6"/>
      <c r="T242" s="6"/>
      <c r="U242" s="6"/>
      <c r="V242" s="6"/>
      <c r="W242" s="6"/>
      <c r="X242" s="6"/>
      <c r="Y242" s="6"/>
      <c r="Z242" s="6"/>
      <c r="AA242" s="6"/>
      <c r="AB242" s="6"/>
      <c r="AC242" s="6"/>
      <c r="AD242" s="6"/>
      <c r="AE242" s="6"/>
      <c r="AF242" s="6"/>
      <c r="AG242" s="6"/>
    </row>
    <row r="243" ht="14.25" customHeight="1">
      <c r="A243" s="6"/>
      <c r="B243" s="6"/>
      <c r="C243" s="6">
        <v>236.0</v>
      </c>
      <c r="D243" s="6"/>
      <c r="E243" s="6">
        <v>6708373.704876198</v>
      </c>
      <c r="F243" s="6">
        <v>482.6063765142247</v>
      </c>
      <c r="G243" s="6">
        <v>5.034249013848666</v>
      </c>
      <c r="H243" s="6">
        <v>6636443.786404926</v>
      </c>
      <c r="I243" s="6">
        <v>480.2998643957128</v>
      </c>
      <c r="J243" s="6">
        <v>3.7471659062370386</v>
      </c>
      <c r="K243" s="6"/>
      <c r="L243" s="6"/>
      <c r="M243" s="6"/>
      <c r="N243" s="6">
        <f t="shared" ref="N243:P243" si="246">IF(LEN($C243)&gt;0,H243-E243,"")</f>
        <v>-71929.91847</v>
      </c>
      <c r="O243" s="6">
        <f t="shared" si="246"/>
        <v>-2.306512119</v>
      </c>
      <c r="P243" s="6">
        <f t="shared" si="246"/>
        <v>-1.287083108</v>
      </c>
      <c r="Q243" s="6"/>
      <c r="R243" s="6"/>
      <c r="S243" s="6"/>
      <c r="T243" s="6"/>
      <c r="U243" s="6"/>
      <c r="V243" s="6"/>
      <c r="W243" s="6"/>
      <c r="X243" s="6"/>
      <c r="Y243" s="6"/>
      <c r="Z243" s="6"/>
      <c r="AA243" s="6"/>
      <c r="AB243" s="6"/>
      <c r="AC243" s="6"/>
      <c r="AD243" s="6"/>
      <c r="AE243" s="6"/>
      <c r="AF243" s="6"/>
      <c r="AG243" s="6"/>
    </row>
    <row r="244" ht="14.25" customHeight="1">
      <c r="A244" s="6"/>
      <c r="B244" s="6"/>
      <c r="C244" s="6">
        <v>237.0</v>
      </c>
      <c r="D244" s="6"/>
      <c r="E244" s="6">
        <v>6563738.258835014</v>
      </c>
      <c r="F244" s="6">
        <v>489.0265163015899</v>
      </c>
      <c r="G244" s="6">
        <v>5.240300216340737</v>
      </c>
      <c r="H244" s="6">
        <v>6425474.01003192</v>
      </c>
      <c r="I244" s="6">
        <v>480.9854305292698</v>
      </c>
      <c r="J244" s="6">
        <v>3.0061052260704524</v>
      </c>
      <c r="K244" s="6"/>
      <c r="L244" s="6"/>
      <c r="M244" s="6"/>
      <c r="N244" s="6">
        <f t="shared" ref="N244:P244" si="247">IF(LEN($C244)&gt;0,H244-E244,"")</f>
        <v>-138264.2488</v>
      </c>
      <c r="O244" s="6">
        <f t="shared" si="247"/>
        <v>-8.041085772</v>
      </c>
      <c r="P244" s="6">
        <f t="shared" si="247"/>
        <v>-2.23419499</v>
      </c>
      <c r="Q244" s="6"/>
      <c r="R244" s="6"/>
      <c r="S244" s="6"/>
      <c r="T244" s="6"/>
      <c r="U244" s="6"/>
      <c r="V244" s="6"/>
      <c r="W244" s="6"/>
      <c r="X244" s="6"/>
      <c r="Y244" s="6"/>
      <c r="Z244" s="6"/>
      <c r="AA244" s="6"/>
      <c r="AB244" s="6"/>
      <c r="AC244" s="6"/>
      <c r="AD244" s="6"/>
      <c r="AE244" s="6"/>
      <c r="AF244" s="6"/>
      <c r="AG244" s="6"/>
    </row>
    <row r="245" ht="14.25" customHeight="1">
      <c r="A245" s="6"/>
      <c r="B245" s="6"/>
      <c r="C245" s="6">
        <v>238.0</v>
      </c>
      <c r="D245" s="6"/>
      <c r="E245" s="6">
        <v>7022841.6392228715</v>
      </c>
      <c r="F245" s="6">
        <v>456.95562630824014</v>
      </c>
      <c r="G245" s="6">
        <v>4.733805085706717</v>
      </c>
      <c r="H245" s="6">
        <v>6863741.518967291</v>
      </c>
      <c r="I245" s="6">
        <v>450.3549630918184</v>
      </c>
      <c r="J245" s="6">
        <v>3.1688676774062916</v>
      </c>
      <c r="K245" s="6"/>
      <c r="L245" s="6"/>
      <c r="M245" s="6"/>
      <c r="N245" s="6">
        <f t="shared" ref="N245:P245" si="248">IF(LEN($C245)&gt;0,H245-E245,"")</f>
        <v>-159100.1203</v>
      </c>
      <c r="O245" s="6">
        <f t="shared" si="248"/>
        <v>-6.600663216</v>
      </c>
      <c r="P245" s="6">
        <f t="shared" si="248"/>
        <v>-1.564937408</v>
      </c>
      <c r="Q245" s="6"/>
      <c r="R245" s="6"/>
      <c r="S245" s="6"/>
      <c r="T245" s="6"/>
      <c r="U245" s="6"/>
      <c r="V245" s="6"/>
      <c r="W245" s="6"/>
      <c r="X245" s="6"/>
      <c r="Y245" s="6"/>
      <c r="Z245" s="6"/>
      <c r="AA245" s="6"/>
      <c r="AB245" s="6"/>
      <c r="AC245" s="6"/>
      <c r="AD245" s="6"/>
      <c r="AE245" s="6"/>
      <c r="AF245" s="6"/>
      <c r="AG245" s="6"/>
    </row>
    <row r="246" ht="14.25" customHeight="1">
      <c r="A246" s="6"/>
      <c r="B246" s="6"/>
      <c r="C246" s="6">
        <v>239.0</v>
      </c>
      <c r="D246" s="6"/>
      <c r="E246" s="6">
        <v>6172556.301966273</v>
      </c>
      <c r="F246" s="6">
        <v>437.94979759973035</v>
      </c>
      <c r="G246" s="6">
        <v>6.288483929506022</v>
      </c>
      <c r="H246" s="6">
        <v>6083210.57738291</v>
      </c>
      <c r="I246" s="6">
        <v>434.53783319545494</v>
      </c>
      <c r="J246" s="6">
        <v>4.744249565018444</v>
      </c>
      <c r="K246" s="6"/>
      <c r="L246" s="6"/>
      <c r="M246" s="6"/>
      <c r="N246" s="6">
        <f t="shared" ref="N246:P246" si="249">IF(LEN($C246)&gt;0,H246-E246,"")</f>
        <v>-89345.72458</v>
      </c>
      <c r="O246" s="6">
        <f t="shared" si="249"/>
        <v>-3.411964404</v>
      </c>
      <c r="P246" s="6">
        <f t="shared" si="249"/>
        <v>-1.544234364</v>
      </c>
      <c r="Q246" s="6"/>
      <c r="R246" s="6"/>
      <c r="S246" s="6"/>
      <c r="T246" s="6"/>
      <c r="U246" s="6"/>
      <c r="V246" s="6"/>
      <c r="W246" s="6"/>
      <c r="X246" s="6"/>
      <c r="Y246" s="6"/>
      <c r="Z246" s="6"/>
      <c r="AA246" s="6"/>
      <c r="AB246" s="6"/>
      <c r="AC246" s="6"/>
      <c r="AD246" s="6"/>
      <c r="AE246" s="6"/>
      <c r="AF246" s="6"/>
      <c r="AG246" s="6"/>
    </row>
    <row r="247" ht="14.25" customHeight="1">
      <c r="A247" s="6"/>
      <c r="B247" s="6"/>
      <c r="C247" s="6">
        <v>240.0</v>
      </c>
      <c r="D247" s="6"/>
      <c r="E247" s="6">
        <v>8473580.262893857</v>
      </c>
      <c r="F247" s="6">
        <v>480.94704163206217</v>
      </c>
      <c r="G247" s="6">
        <v>4.650183380346302</v>
      </c>
      <c r="H247" s="6">
        <v>8368175.232932536</v>
      </c>
      <c r="I247" s="6">
        <v>474.0437264494311</v>
      </c>
      <c r="J247" s="6">
        <v>3.6798768515871387</v>
      </c>
      <c r="K247" s="6"/>
      <c r="L247" s="6"/>
      <c r="M247" s="6"/>
      <c r="N247" s="6">
        <f t="shared" ref="N247:P247" si="250">IF(LEN($C247)&gt;0,H247-E247,"")</f>
        <v>-105405.03</v>
      </c>
      <c r="O247" s="6">
        <f t="shared" si="250"/>
        <v>-6.903315183</v>
      </c>
      <c r="P247" s="6">
        <f t="shared" si="250"/>
        <v>-0.9703065288</v>
      </c>
      <c r="Q247" s="6"/>
      <c r="R247" s="6"/>
      <c r="S247" s="6"/>
      <c r="T247" s="6"/>
      <c r="U247" s="6"/>
      <c r="V247" s="6"/>
      <c r="W247" s="6"/>
      <c r="X247" s="6"/>
      <c r="Y247" s="6"/>
      <c r="Z247" s="6"/>
      <c r="AA247" s="6"/>
      <c r="AB247" s="6"/>
      <c r="AC247" s="6"/>
      <c r="AD247" s="6"/>
      <c r="AE247" s="6"/>
      <c r="AF247" s="6"/>
      <c r="AG247" s="6"/>
    </row>
    <row r="248" ht="14.25" customHeight="1">
      <c r="A248" s="6"/>
      <c r="B248" s="6"/>
      <c r="C248" s="6">
        <v>241.0</v>
      </c>
      <c r="D248" s="6"/>
      <c r="E248" s="6">
        <v>5136836.837738637</v>
      </c>
      <c r="F248" s="6">
        <v>434.0567367359166</v>
      </c>
      <c r="G248" s="6">
        <v>4.614419516471921</v>
      </c>
      <c r="H248" s="6">
        <v>5066852.886944455</v>
      </c>
      <c r="I248" s="6">
        <v>429.94814147988006</v>
      </c>
      <c r="J248" s="6">
        <v>3.4217674326374166</v>
      </c>
      <c r="K248" s="6"/>
      <c r="L248" s="6"/>
      <c r="M248" s="6"/>
      <c r="N248" s="6">
        <f t="shared" ref="N248:P248" si="251">IF(LEN($C248)&gt;0,H248-E248,"")</f>
        <v>-69983.95079</v>
      </c>
      <c r="O248" s="6">
        <f t="shared" si="251"/>
        <v>-4.108595256</v>
      </c>
      <c r="P248" s="6">
        <f t="shared" si="251"/>
        <v>-1.192652084</v>
      </c>
      <c r="Q248" s="6"/>
      <c r="R248" s="6"/>
      <c r="S248" s="6"/>
      <c r="T248" s="6"/>
      <c r="U248" s="6"/>
      <c r="V248" s="6"/>
      <c r="W248" s="6"/>
      <c r="X248" s="6"/>
      <c r="Y248" s="6"/>
      <c r="Z248" s="6"/>
      <c r="AA248" s="6"/>
      <c r="AB248" s="6"/>
      <c r="AC248" s="6"/>
      <c r="AD248" s="6"/>
      <c r="AE248" s="6"/>
      <c r="AF248" s="6"/>
      <c r="AG248" s="6"/>
    </row>
    <row r="249" ht="14.25" customHeight="1">
      <c r="A249" s="6"/>
      <c r="B249" s="6"/>
      <c r="C249" s="6">
        <v>242.0</v>
      </c>
      <c r="D249" s="6"/>
      <c r="E249" s="6">
        <v>6237294.169613843</v>
      </c>
      <c r="F249" s="6">
        <v>467.7130902657554</v>
      </c>
      <c r="G249" s="6">
        <v>4.307990923676227</v>
      </c>
      <c r="H249" s="6">
        <v>6195575.451644489</v>
      </c>
      <c r="I249" s="6">
        <v>465.9853813112995</v>
      </c>
      <c r="J249" s="6">
        <v>3.5609832301258204</v>
      </c>
      <c r="K249" s="6"/>
      <c r="L249" s="6"/>
      <c r="M249" s="6"/>
      <c r="N249" s="6">
        <f t="shared" ref="N249:P249" si="252">IF(LEN($C249)&gt;0,H249-E249,"")</f>
        <v>-41718.71797</v>
      </c>
      <c r="O249" s="6">
        <f t="shared" si="252"/>
        <v>-1.727708954</v>
      </c>
      <c r="P249" s="6">
        <f t="shared" si="252"/>
        <v>-0.7470076936</v>
      </c>
      <c r="Q249" s="6"/>
      <c r="R249" s="6"/>
      <c r="S249" s="6"/>
      <c r="T249" s="6"/>
      <c r="U249" s="6"/>
      <c r="V249" s="6"/>
      <c r="W249" s="6"/>
      <c r="X249" s="6"/>
      <c r="Y249" s="6"/>
      <c r="Z249" s="6"/>
      <c r="AA249" s="6"/>
      <c r="AB249" s="6"/>
      <c r="AC249" s="6"/>
      <c r="AD249" s="6"/>
      <c r="AE249" s="6"/>
      <c r="AF249" s="6"/>
      <c r="AG249" s="6"/>
    </row>
    <row r="250" ht="14.25" customHeight="1">
      <c r="A250" s="6"/>
      <c r="B250" s="6"/>
      <c r="C250" s="6">
        <v>243.0</v>
      </c>
      <c r="D250" s="6"/>
      <c r="E250" s="6">
        <v>6346214.770348455</v>
      </c>
      <c r="F250" s="6">
        <v>475.63009465678414</v>
      </c>
      <c r="G250" s="6">
        <v>5.216383734587703</v>
      </c>
      <c r="H250" s="6">
        <v>6245445.028327336</v>
      </c>
      <c r="I250" s="6">
        <v>471.54744192794095</v>
      </c>
      <c r="J250" s="6">
        <v>4.102655178600921</v>
      </c>
      <c r="K250" s="6"/>
      <c r="L250" s="6"/>
      <c r="M250" s="6"/>
      <c r="N250" s="6">
        <f t="shared" ref="N250:P250" si="253">IF(LEN($C250)&gt;0,H250-E250,"")</f>
        <v>-100769.742</v>
      </c>
      <c r="O250" s="6">
        <f t="shared" si="253"/>
        <v>-4.082652729</v>
      </c>
      <c r="P250" s="6">
        <f t="shared" si="253"/>
        <v>-1.113728556</v>
      </c>
      <c r="Q250" s="6"/>
      <c r="R250" s="6"/>
      <c r="S250" s="6"/>
      <c r="T250" s="6"/>
      <c r="U250" s="6"/>
      <c r="V250" s="6"/>
      <c r="W250" s="6"/>
      <c r="X250" s="6"/>
      <c r="Y250" s="6"/>
      <c r="Z250" s="6"/>
      <c r="AA250" s="6"/>
      <c r="AB250" s="6"/>
      <c r="AC250" s="6"/>
      <c r="AD250" s="6"/>
      <c r="AE250" s="6"/>
      <c r="AF250" s="6"/>
      <c r="AG250" s="6"/>
    </row>
    <row r="251" ht="14.25" customHeight="1">
      <c r="A251" s="6"/>
      <c r="B251" s="6"/>
      <c r="C251" s="6">
        <v>244.0</v>
      </c>
      <c r="D251" s="6"/>
      <c r="E251" s="6">
        <v>7021412.532300103</v>
      </c>
      <c r="F251" s="6">
        <v>444.3874679219153</v>
      </c>
      <c r="G251" s="6">
        <v>4.808583400733709</v>
      </c>
      <c r="H251" s="6">
        <v>6934075.7259573415</v>
      </c>
      <c r="I251" s="6">
        <v>439.88633726023346</v>
      </c>
      <c r="J251" s="6">
        <v>3.983195248271965</v>
      </c>
      <c r="K251" s="6"/>
      <c r="L251" s="6"/>
      <c r="M251" s="6"/>
      <c r="N251" s="6">
        <f t="shared" ref="N251:P251" si="254">IF(LEN($C251)&gt;0,H251-E251,"")</f>
        <v>-87336.80634</v>
      </c>
      <c r="O251" s="6">
        <f t="shared" si="254"/>
        <v>-4.501130662</v>
      </c>
      <c r="P251" s="6">
        <f t="shared" si="254"/>
        <v>-0.8253881525</v>
      </c>
      <c r="Q251" s="6"/>
      <c r="R251" s="6"/>
      <c r="S251" s="6"/>
      <c r="T251" s="6"/>
      <c r="U251" s="6"/>
      <c r="V251" s="6"/>
      <c r="W251" s="6"/>
      <c r="X251" s="6"/>
      <c r="Y251" s="6"/>
      <c r="Z251" s="6"/>
      <c r="AA251" s="6"/>
      <c r="AB251" s="6"/>
      <c r="AC251" s="6"/>
      <c r="AD251" s="6"/>
      <c r="AE251" s="6"/>
      <c r="AF251" s="6"/>
      <c r="AG251" s="6"/>
    </row>
    <row r="252" ht="14.25" customHeight="1">
      <c r="A252" s="6"/>
      <c r="B252" s="6"/>
      <c r="C252" s="6">
        <v>245.0</v>
      </c>
      <c r="D252" s="6"/>
      <c r="E252" s="6">
        <v>6123865.424704676</v>
      </c>
      <c r="F252" s="6">
        <v>441.55977314787805</v>
      </c>
      <c r="G252" s="6">
        <v>4.752567675553406</v>
      </c>
      <c r="H252" s="6">
        <v>5957704.214660593</v>
      </c>
      <c r="I252" s="6">
        <v>435.34174631068225</v>
      </c>
      <c r="J252" s="6">
        <v>3.075639396995486</v>
      </c>
      <c r="K252" s="6"/>
      <c r="L252" s="6"/>
      <c r="M252" s="6"/>
      <c r="N252" s="6">
        <f t="shared" ref="N252:P252" si="255">IF(LEN($C252)&gt;0,H252-E252,"")</f>
        <v>-166161.21</v>
      </c>
      <c r="O252" s="6">
        <f t="shared" si="255"/>
        <v>-6.218026837</v>
      </c>
      <c r="P252" s="6">
        <f t="shared" si="255"/>
        <v>-1.676928279</v>
      </c>
      <c r="Q252" s="6"/>
      <c r="R252" s="6"/>
      <c r="S252" s="6"/>
      <c r="T252" s="6"/>
      <c r="U252" s="6"/>
      <c r="V252" s="6"/>
      <c r="W252" s="6"/>
      <c r="X252" s="6"/>
      <c r="Y252" s="6"/>
      <c r="Z252" s="6"/>
      <c r="AA252" s="6"/>
      <c r="AB252" s="6"/>
      <c r="AC252" s="6"/>
      <c r="AD252" s="6"/>
      <c r="AE252" s="6"/>
      <c r="AF252" s="6"/>
      <c r="AG252" s="6"/>
    </row>
    <row r="253" ht="14.25" customHeight="1">
      <c r="A253" s="6"/>
      <c r="B253" s="6"/>
      <c r="C253" s="6">
        <v>246.0</v>
      </c>
      <c r="D253" s="6"/>
      <c r="E253" s="6">
        <v>7685137.384476682</v>
      </c>
      <c r="F253" s="6">
        <v>478.3175081926029</v>
      </c>
      <c r="G253" s="6">
        <v>4.486141963027805</v>
      </c>
      <c r="H253" s="6">
        <v>7599119.717587177</v>
      </c>
      <c r="I253" s="6">
        <v>475.7293850421876</v>
      </c>
      <c r="J253" s="6">
        <v>3.482049431638586</v>
      </c>
      <c r="K253" s="6"/>
      <c r="L253" s="6"/>
      <c r="M253" s="6"/>
      <c r="N253" s="6">
        <f t="shared" ref="N253:P253" si="256">IF(LEN($C253)&gt;0,H253-E253,"")</f>
        <v>-86017.66689</v>
      </c>
      <c r="O253" s="6">
        <f t="shared" si="256"/>
        <v>-2.58812315</v>
      </c>
      <c r="P253" s="6">
        <f t="shared" si="256"/>
        <v>-1.004092531</v>
      </c>
      <c r="Q253" s="6"/>
      <c r="R253" s="6"/>
      <c r="S253" s="6"/>
      <c r="T253" s="6"/>
      <c r="U253" s="6"/>
      <c r="V253" s="6"/>
      <c r="W253" s="6"/>
      <c r="X253" s="6"/>
      <c r="Y253" s="6"/>
      <c r="Z253" s="6"/>
      <c r="AA253" s="6"/>
      <c r="AB253" s="6"/>
      <c r="AC253" s="6"/>
      <c r="AD253" s="6"/>
      <c r="AE253" s="6"/>
      <c r="AF253" s="6"/>
      <c r="AG253" s="6"/>
    </row>
    <row r="254" ht="14.25" customHeight="1">
      <c r="A254" s="6"/>
      <c r="B254" s="6"/>
      <c r="C254" s="6">
        <v>247.0</v>
      </c>
      <c r="D254" s="6"/>
      <c r="E254" s="6">
        <v>8120088.525440731</v>
      </c>
      <c r="F254" s="6">
        <v>510.7501579452231</v>
      </c>
      <c r="G254" s="6">
        <v>4.312750848140344</v>
      </c>
      <c r="H254" s="6">
        <v>7933282.601419035</v>
      </c>
      <c r="I254" s="6">
        <v>501.06516746544935</v>
      </c>
      <c r="J254" s="6">
        <v>3.148569865187188</v>
      </c>
      <c r="K254" s="6"/>
      <c r="L254" s="6"/>
      <c r="M254" s="6"/>
      <c r="N254" s="6">
        <f t="shared" ref="N254:P254" si="257">IF(LEN($C254)&gt;0,H254-E254,"")</f>
        <v>-186805.924</v>
      </c>
      <c r="O254" s="6">
        <f t="shared" si="257"/>
        <v>-9.68499048</v>
      </c>
      <c r="P254" s="6">
        <f t="shared" si="257"/>
        <v>-1.164180983</v>
      </c>
      <c r="Q254" s="6"/>
      <c r="R254" s="6"/>
      <c r="S254" s="6"/>
      <c r="T254" s="6"/>
      <c r="U254" s="6"/>
      <c r="V254" s="6"/>
      <c r="W254" s="6"/>
      <c r="X254" s="6"/>
      <c r="Y254" s="6"/>
      <c r="Z254" s="6"/>
      <c r="AA254" s="6"/>
      <c r="AB254" s="6"/>
      <c r="AC254" s="6"/>
      <c r="AD254" s="6"/>
      <c r="AE254" s="6"/>
      <c r="AF254" s="6"/>
      <c r="AG254" s="6"/>
    </row>
    <row r="255" ht="14.25" customHeight="1">
      <c r="A255" s="6"/>
      <c r="B255" s="6"/>
      <c r="C255" s="6">
        <v>248.0</v>
      </c>
      <c r="D255" s="6"/>
      <c r="E255" s="6">
        <v>6432439.522153872</v>
      </c>
      <c r="F255" s="6">
        <v>483.6228082110905</v>
      </c>
      <c r="G255" s="6">
        <v>5.766199022314678</v>
      </c>
      <c r="H255" s="6">
        <v>6306043.970534121</v>
      </c>
      <c r="I255" s="6">
        <v>479.1652871668683</v>
      </c>
      <c r="J255" s="6">
        <v>4.0368543310340215</v>
      </c>
      <c r="K255" s="6"/>
      <c r="L255" s="6"/>
      <c r="M255" s="6"/>
      <c r="N255" s="6">
        <f t="shared" ref="N255:P255" si="258">IF(LEN($C255)&gt;0,H255-E255,"")</f>
        <v>-126395.5516</v>
      </c>
      <c r="O255" s="6">
        <f t="shared" si="258"/>
        <v>-4.457521044</v>
      </c>
      <c r="P255" s="6">
        <f t="shared" si="258"/>
        <v>-1.729344691</v>
      </c>
      <c r="Q255" s="6"/>
      <c r="R255" s="6"/>
      <c r="S255" s="6"/>
      <c r="T255" s="6"/>
      <c r="U255" s="6"/>
      <c r="V255" s="6"/>
      <c r="W255" s="6"/>
      <c r="X255" s="6"/>
      <c r="Y255" s="6"/>
      <c r="Z255" s="6"/>
      <c r="AA255" s="6"/>
      <c r="AB255" s="6"/>
      <c r="AC255" s="6"/>
      <c r="AD255" s="6"/>
      <c r="AE255" s="6"/>
      <c r="AF255" s="6"/>
      <c r="AG255" s="6"/>
    </row>
    <row r="256" ht="14.25" customHeight="1">
      <c r="A256" s="6"/>
      <c r="B256" s="6"/>
      <c r="C256" s="6">
        <v>249.0</v>
      </c>
      <c r="D256" s="6"/>
      <c r="E256" s="6">
        <v>7799534.552679803</v>
      </c>
      <c r="F256" s="6">
        <v>483.2779536793366</v>
      </c>
      <c r="G256" s="6">
        <v>4.322132623827467</v>
      </c>
      <c r="H256" s="6">
        <v>7719522.951715673</v>
      </c>
      <c r="I256" s="6">
        <v>479.6205437669937</v>
      </c>
      <c r="J256" s="6">
        <v>3.2537915426357524</v>
      </c>
      <c r="K256" s="6"/>
      <c r="L256" s="6"/>
      <c r="M256" s="6"/>
      <c r="N256" s="6">
        <f t="shared" ref="N256:P256" si="259">IF(LEN($C256)&gt;0,H256-E256,"")</f>
        <v>-80011.60096</v>
      </c>
      <c r="O256" s="6">
        <f t="shared" si="259"/>
        <v>-3.657409912</v>
      </c>
      <c r="P256" s="6">
        <f t="shared" si="259"/>
        <v>-1.068341081</v>
      </c>
      <c r="Q256" s="6"/>
      <c r="R256" s="6"/>
      <c r="S256" s="6"/>
      <c r="T256" s="6"/>
      <c r="U256" s="6"/>
      <c r="V256" s="6"/>
      <c r="W256" s="6"/>
      <c r="X256" s="6"/>
      <c r="Y256" s="6"/>
      <c r="Z256" s="6"/>
      <c r="AA256" s="6"/>
      <c r="AB256" s="6"/>
      <c r="AC256" s="6"/>
      <c r="AD256" s="6"/>
      <c r="AE256" s="6"/>
      <c r="AF256" s="6"/>
      <c r="AG256" s="6"/>
    </row>
    <row r="257" ht="14.25" customHeight="1">
      <c r="A257" s="6"/>
      <c r="B257" s="6"/>
      <c r="C257" s="6">
        <v>250.0</v>
      </c>
      <c r="D257" s="6"/>
      <c r="E257" s="6">
        <v>8094441.542878931</v>
      </c>
      <c r="F257" s="6">
        <v>468.2029348611003</v>
      </c>
      <c r="G257" s="6">
        <v>5.04173287067376</v>
      </c>
      <c r="H257" s="6">
        <v>8020982.75895252</v>
      </c>
      <c r="I257" s="6">
        <v>465.0210553382565</v>
      </c>
      <c r="J257" s="6">
        <v>4.446063086554149</v>
      </c>
      <c r="K257" s="6"/>
      <c r="L257" s="6"/>
      <c r="M257" s="6"/>
      <c r="N257" s="6">
        <f t="shared" ref="N257:P257" si="260">IF(LEN($C257)&gt;0,H257-E257,"")</f>
        <v>-73458.78393</v>
      </c>
      <c r="O257" s="6">
        <f t="shared" si="260"/>
        <v>-3.181879523</v>
      </c>
      <c r="P257" s="6">
        <f t="shared" si="260"/>
        <v>-0.5956697841</v>
      </c>
      <c r="Q257" s="6"/>
      <c r="R257" s="6"/>
      <c r="S257" s="6"/>
      <c r="T257" s="6"/>
      <c r="U257" s="6"/>
      <c r="V257" s="6"/>
      <c r="W257" s="6"/>
      <c r="X257" s="6"/>
      <c r="Y257" s="6"/>
      <c r="Z257" s="6"/>
      <c r="AA257" s="6"/>
      <c r="AB257" s="6"/>
      <c r="AC257" s="6"/>
      <c r="AD257" s="6"/>
      <c r="AE257" s="6"/>
      <c r="AF257" s="6"/>
      <c r="AG257" s="6"/>
    </row>
    <row r="258" ht="14.25" customHeight="1">
      <c r="A258" s="6"/>
      <c r="B258" s="6"/>
      <c r="C258" s="6">
        <v>251.0</v>
      </c>
      <c r="D258" s="6"/>
      <c r="E258" s="6">
        <v>9239263.628991762</v>
      </c>
      <c r="F258" s="6">
        <v>495.2612700524848</v>
      </c>
      <c r="G258" s="6">
        <v>4.7506370311884</v>
      </c>
      <c r="H258" s="6">
        <v>9135505.613787126</v>
      </c>
      <c r="I258" s="6">
        <v>491.38952090081364</v>
      </c>
      <c r="J258" s="6">
        <v>3.578695391088559</v>
      </c>
      <c r="K258" s="6"/>
      <c r="L258" s="6"/>
      <c r="M258" s="6"/>
      <c r="N258" s="6">
        <f t="shared" ref="N258:P258" si="261">IF(LEN($C258)&gt;0,H258-E258,"")</f>
        <v>-103758.0152</v>
      </c>
      <c r="O258" s="6">
        <f t="shared" si="261"/>
        <v>-3.871749152</v>
      </c>
      <c r="P258" s="6">
        <f t="shared" si="261"/>
        <v>-1.17194164</v>
      </c>
      <c r="Q258" s="6"/>
      <c r="R258" s="6"/>
      <c r="S258" s="6"/>
      <c r="T258" s="6"/>
      <c r="U258" s="6"/>
      <c r="V258" s="6"/>
      <c r="W258" s="6"/>
      <c r="X258" s="6"/>
      <c r="Y258" s="6"/>
      <c r="Z258" s="6"/>
      <c r="AA258" s="6"/>
      <c r="AB258" s="6"/>
      <c r="AC258" s="6"/>
      <c r="AD258" s="6"/>
      <c r="AE258" s="6"/>
      <c r="AF258" s="6"/>
      <c r="AG258" s="6"/>
    </row>
    <row r="259" ht="14.25" customHeight="1">
      <c r="A259" s="6"/>
      <c r="B259" s="6"/>
      <c r="C259" s="6">
        <v>252.0</v>
      </c>
      <c r="D259" s="6"/>
      <c r="E259" s="6">
        <v>7273502.134816801</v>
      </c>
      <c r="F259" s="6">
        <v>478.46860755844807</v>
      </c>
      <c r="G259" s="6">
        <v>5.278458425186514</v>
      </c>
      <c r="H259" s="6">
        <v>7168736.972267264</v>
      </c>
      <c r="I259" s="6">
        <v>474.2201105778131</v>
      </c>
      <c r="J259" s="6">
        <v>3.8222410660168187</v>
      </c>
      <c r="K259" s="6"/>
      <c r="L259" s="6"/>
      <c r="M259" s="6"/>
      <c r="N259" s="6">
        <f t="shared" ref="N259:P259" si="262">IF(LEN($C259)&gt;0,H259-E259,"")</f>
        <v>-104765.1625</v>
      </c>
      <c r="O259" s="6">
        <f t="shared" si="262"/>
        <v>-4.248496981</v>
      </c>
      <c r="P259" s="6">
        <f t="shared" si="262"/>
        <v>-1.456217359</v>
      </c>
      <c r="Q259" s="6"/>
      <c r="R259" s="6"/>
      <c r="S259" s="6"/>
      <c r="T259" s="6"/>
      <c r="U259" s="6"/>
      <c r="V259" s="6"/>
      <c r="W259" s="6"/>
      <c r="X259" s="6"/>
      <c r="Y259" s="6"/>
      <c r="Z259" s="6"/>
      <c r="AA259" s="6"/>
      <c r="AB259" s="6"/>
      <c r="AC259" s="6"/>
      <c r="AD259" s="6"/>
      <c r="AE259" s="6"/>
      <c r="AF259" s="6"/>
      <c r="AG259" s="6"/>
    </row>
    <row r="260" ht="14.25" customHeight="1">
      <c r="A260" s="6"/>
      <c r="B260" s="6"/>
      <c r="C260" s="6">
        <v>253.0</v>
      </c>
      <c r="D260" s="6"/>
      <c r="E260" s="6">
        <v>7829976.55969815</v>
      </c>
      <c r="F260" s="6">
        <v>450.4759657150511</v>
      </c>
      <c r="G260" s="6">
        <v>3.936276435249714</v>
      </c>
      <c r="H260" s="6">
        <v>7689619.889790463</v>
      </c>
      <c r="I260" s="6">
        <v>443.5481317098976</v>
      </c>
      <c r="J260" s="6">
        <v>2.720790409679832</v>
      </c>
      <c r="K260" s="6"/>
      <c r="L260" s="6"/>
      <c r="M260" s="6"/>
      <c r="N260" s="6">
        <f t="shared" ref="N260:P260" si="263">IF(LEN($C260)&gt;0,H260-E260,"")</f>
        <v>-140356.6699</v>
      </c>
      <c r="O260" s="6">
        <f t="shared" si="263"/>
        <v>-6.927834005</v>
      </c>
      <c r="P260" s="6">
        <f t="shared" si="263"/>
        <v>-1.215486026</v>
      </c>
      <c r="Q260" s="6"/>
      <c r="R260" s="6"/>
      <c r="S260" s="6"/>
      <c r="T260" s="6"/>
      <c r="U260" s="6"/>
      <c r="V260" s="6"/>
      <c r="W260" s="6"/>
      <c r="X260" s="6"/>
      <c r="Y260" s="6"/>
      <c r="Z260" s="6"/>
      <c r="AA260" s="6"/>
      <c r="AB260" s="6"/>
      <c r="AC260" s="6"/>
      <c r="AD260" s="6"/>
      <c r="AE260" s="6"/>
      <c r="AF260" s="6"/>
      <c r="AG260" s="6"/>
    </row>
    <row r="261" ht="14.25" customHeight="1">
      <c r="A261" s="6"/>
      <c r="B261" s="6"/>
      <c r="C261" s="6">
        <v>254.0</v>
      </c>
      <c r="D261" s="6"/>
      <c r="E261" s="6">
        <v>8383705.136167068</v>
      </c>
      <c r="F261" s="6">
        <v>472.5424550436049</v>
      </c>
      <c r="G261" s="6">
        <v>5.200972751177094</v>
      </c>
      <c r="H261" s="6">
        <v>8289581.408775378</v>
      </c>
      <c r="I261" s="6">
        <v>468.8864563115751</v>
      </c>
      <c r="J261" s="6">
        <v>3.8164740942436084</v>
      </c>
      <c r="K261" s="6"/>
      <c r="L261" s="6"/>
      <c r="M261" s="6"/>
      <c r="N261" s="6">
        <f t="shared" ref="N261:P261" si="264">IF(LEN($C261)&gt;0,H261-E261,"")</f>
        <v>-94123.72739</v>
      </c>
      <c r="O261" s="6">
        <f t="shared" si="264"/>
        <v>-3.655998732</v>
      </c>
      <c r="P261" s="6">
        <f t="shared" si="264"/>
        <v>-1.384498657</v>
      </c>
      <c r="Q261" s="6"/>
      <c r="R261" s="6"/>
      <c r="S261" s="6"/>
      <c r="T261" s="6"/>
      <c r="U261" s="6"/>
      <c r="V261" s="6"/>
      <c r="W261" s="6"/>
      <c r="X261" s="6"/>
      <c r="Y261" s="6"/>
      <c r="Z261" s="6"/>
      <c r="AA261" s="6"/>
      <c r="AB261" s="6"/>
      <c r="AC261" s="6"/>
      <c r="AD261" s="6"/>
      <c r="AE261" s="6"/>
      <c r="AF261" s="6"/>
      <c r="AG261" s="6"/>
    </row>
    <row r="262" ht="14.25" customHeight="1">
      <c r="A262" s="6"/>
      <c r="B262" s="6"/>
      <c r="C262" s="6">
        <v>255.0</v>
      </c>
      <c r="D262" s="6"/>
      <c r="E262" s="6">
        <v>7662736.37312353</v>
      </c>
      <c r="F262" s="6">
        <v>456.16427278292235</v>
      </c>
      <c r="G262" s="6">
        <v>4.806502305317925</v>
      </c>
      <c r="H262" s="6">
        <v>7502624.906565299</v>
      </c>
      <c r="I262" s="6">
        <v>448.5601725369568</v>
      </c>
      <c r="J262" s="6">
        <v>3.5847313088540993</v>
      </c>
      <c r="K262" s="6"/>
      <c r="L262" s="6"/>
      <c r="M262" s="6"/>
      <c r="N262" s="6">
        <f t="shared" ref="N262:P262" si="265">IF(LEN($C262)&gt;0,H262-E262,"")</f>
        <v>-160111.4666</v>
      </c>
      <c r="O262" s="6">
        <f t="shared" si="265"/>
        <v>-7.604100246</v>
      </c>
      <c r="P262" s="6">
        <f t="shared" si="265"/>
        <v>-1.221770996</v>
      </c>
      <c r="Q262" s="6"/>
      <c r="R262" s="6"/>
      <c r="S262" s="6"/>
      <c r="T262" s="6"/>
      <c r="U262" s="6"/>
      <c r="V262" s="6"/>
      <c r="W262" s="6"/>
      <c r="X262" s="6"/>
      <c r="Y262" s="6"/>
      <c r="Z262" s="6"/>
      <c r="AA262" s="6"/>
      <c r="AB262" s="6"/>
      <c r="AC262" s="6"/>
      <c r="AD262" s="6"/>
      <c r="AE262" s="6"/>
      <c r="AF262" s="6"/>
      <c r="AG262" s="6"/>
    </row>
    <row r="263" ht="14.25" customHeight="1">
      <c r="A263" s="6"/>
      <c r="B263" s="6"/>
      <c r="C263" s="6">
        <v>256.0</v>
      </c>
      <c r="D263" s="6"/>
      <c r="E263" s="6">
        <v>7417201.12457394</v>
      </c>
      <c r="F263" s="6">
        <v>476.2572334105359</v>
      </c>
      <c r="G263" s="6">
        <v>5.070717787908546</v>
      </c>
      <c r="H263" s="6">
        <v>7306173.043915437</v>
      </c>
      <c r="I263" s="6">
        <v>471.6932344168838</v>
      </c>
      <c r="J263" s="6">
        <v>3.473064849486307</v>
      </c>
      <c r="K263" s="6"/>
      <c r="L263" s="6"/>
      <c r="M263" s="6"/>
      <c r="N263" s="6">
        <f t="shared" ref="N263:P263" si="266">IF(LEN($C263)&gt;0,H263-E263,"")</f>
        <v>-111028.0807</v>
      </c>
      <c r="O263" s="6">
        <f t="shared" si="266"/>
        <v>-4.563998994</v>
      </c>
      <c r="P263" s="6">
        <f t="shared" si="266"/>
        <v>-1.597652938</v>
      </c>
      <c r="Q263" s="6"/>
      <c r="R263" s="6"/>
      <c r="S263" s="6"/>
      <c r="T263" s="6"/>
      <c r="U263" s="6"/>
      <c r="V263" s="6"/>
      <c r="W263" s="6"/>
      <c r="X263" s="6"/>
      <c r="Y263" s="6"/>
      <c r="Z263" s="6"/>
      <c r="AA263" s="6"/>
      <c r="AB263" s="6"/>
      <c r="AC263" s="6"/>
      <c r="AD263" s="6"/>
      <c r="AE263" s="6"/>
      <c r="AF263" s="6"/>
      <c r="AG263" s="6"/>
    </row>
    <row r="264" ht="14.25" customHeight="1">
      <c r="A264" s="6"/>
      <c r="B264" s="6"/>
      <c r="C264" s="6">
        <v>257.0</v>
      </c>
      <c r="D264" s="6"/>
      <c r="E264" s="6">
        <v>7550315.884081127</v>
      </c>
      <c r="F264" s="6">
        <v>480.5619770548751</v>
      </c>
      <c r="G264" s="6">
        <v>4.500178403523904</v>
      </c>
      <c r="H264" s="6">
        <v>7395475.170465702</v>
      </c>
      <c r="I264" s="6">
        <v>473.6035473266064</v>
      </c>
      <c r="J264" s="6">
        <v>3.2291750178918806</v>
      </c>
      <c r="K264" s="6"/>
      <c r="L264" s="6"/>
      <c r="M264" s="6"/>
      <c r="N264" s="6">
        <f t="shared" ref="N264:P264" si="267">IF(LEN($C264)&gt;0,H264-E264,"")</f>
        <v>-154840.7136</v>
      </c>
      <c r="O264" s="6">
        <f t="shared" si="267"/>
        <v>-6.958429728</v>
      </c>
      <c r="P264" s="6">
        <f t="shared" si="267"/>
        <v>-1.271003386</v>
      </c>
      <c r="Q264" s="6"/>
      <c r="R264" s="6"/>
      <c r="S264" s="6"/>
      <c r="T264" s="6"/>
      <c r="U264" s="6"/>
      <c r="V264" s="6"/>
      <c r="W264" s="6"/>
      <c r="X264" s="6"/>
      <c r="Y264" s="6"/>
      <c r="Z264" s="6"/>
      <c r="AA264" s="6"/>
      <c r="AB264" s="6"/>
      <c r="AC264" s="6"/>
      <c r="AD264" s="6"/>
      <c r="AE264" s="6"/>
      <c r="AF264" s="6"/>
      <c r="AG264" s="6"/>
    </row>
    <row r="265" ht="14.25" customHeight="1">
      <c r="A265" s="6"/>
      <c r="B265" s="6"/>
      <c r="C265" s="6">
        <v>258.0</v>
      </c>
      <c r="D265" s="6"/>
      <c r="E265" s="6">
        <v>7135173.910065167</v>
      </c>
      <c r="F265" s="6">
        <v>455.8806635088547</v>
      </c>
      <c r="G265" s="6">
        <v>4.770403470763937</v>
      </c>
      <c r="H265" s="6">
        <v>6945218.122084448</v>
      </c>
      <c r="I265" s="6">
        <v>446.8450734984491</v>
      </c>
      <c r="J265" s="6">
        <v>3.1362496704442133</v>
      </c>
      <c r="K265" s="6"/>
      <c r="L265" s="6"/>
      <c r="M265" s="6"/>
      <c r="N265" s="6">
        <f t="shared" ref="N265:P265" si="268">IF(LEN($C265)&gt;0,H265-E265,"")</f>
        <v>-189955.788</v>
      </c>
      <c r="O265" s="6">
        <f t="shared" si="268"/>
        <v>-9.03559001</v>
      </c>
      <c r="P265" s="6">
        <f t="shared" si="268"/>
        <v>-1.6341538</v>
      </c>
      <c r="Q265" s="6"/>
      <c r="R265" s="6"/>
      <c r="S265" s="6"/>
      <c r="T265" s="6"/>
      <c r="U265" s="6"/>
      <c r="V265" s="6"/>
      <c r="W265" s="6"/>
      <c r="X265" s="6"/>
      <c r="Y265" s="6"/>
      <c r="Z265" s="6"/>
      <c r="AA265" s="6"/>
      <c r="AB265" s="6"/>
      <c r="AC265" s="6"/>
      <c r="AD265" s="6"/>
      <c r="AE265" s="6"/>
      <c r="AF265" s="6"/>
      <c r="AG265" s="6"/>
    </row>
    <row r="266" ht="14.25" customHeight="1">
      <c r="A266" s="6"/>
      <c r="B266" s="6"/>
      <c r="C266" s="6">
        <v>259.0</v>
      </c>
      <c r="D266" s="6"/>
      <c r="E266" s="6">
        <v>7229849.308677528</v>
      </c>
      <c r="F266" s="6">
        <v>468.2692673497793</v>
      </c>
      <c r="G266" s="6">
        <v>4.8326924197640455</v>
      </c>
      <c r="H266" s="6">
        <v>7133603.909559857</v>
      </c>
      <c r="I266" s="6">
        <v>463.82178814725796</v>
      </c>
      <c r="J266" s="6">
        <v>3.8187219694397276</v>
      </c>
      <c r="K266" s="6"/>
      <c r="L266" s="6"/>
      <c r="M266" s="6"/>
      <c r="N266" s="6">
        <f t="shared" ref="N266:P266" si="269">IF(LEN($C266)&gt;0,H266-E266,"")</f>
        <v>-96245.39912</v>
      </c>
      <c r="O266" s="6">
        <f t="shared" si="269"/>
        <v>-4.447479203</v>
      </c>
      <c r="P266" s="6">
        <f t="shared" si="269"/>
        <v>-1.01397045</v>
      </c>
      <c r="Q266" s="6"/>
      <c r="R266" s="6"/>
      <c r="S266" s="6"/>
      <c r="T266" s="6"/>
      <c r="U266" s="6"/>
      <c r="V266" s="6"/>
      <c r="W266" s="6"/>
      <c r="X266" s="6"/>
      <c r="Y266" s="6"/>
      <c r="Z266" s="6"/>
      <c r="AA266" s="6"/>
      <c r="AB266" s="6"/>
      <c r="AC266" s="6"/>
      <c r="AD266" s="6"/>
      <c r="AE266" s="6"/>
      <c r="AF266" s="6"/>
      <c r="AG266" s="6"/>
    </row>
    <row r="267" ht="14.25" customHeight="1">
      <c r="A267" s="6"/>
      <c r="B267" s="6"/>
      <c r="C267" s="6">
        <v>260.0</v>
      </c>
      <c r="D267" s="6"/>
      <c r="E267" s="6">
        <v>9205746.386654511</v>
      </c>
      <c r="F267" s="6">
        <v>491.93451752936113</v>
      </c>
      <c r="G267" s="6">
        <v>5.312982715993532</v>
      </c>
      <c r="H267" s="6">
        <v>9092521.398966663</v>
      </c>
      <c r="I267" s="6">
        <v>487.96658516470046</v>
      </c>
      <c r="J267" s="6">
        <v>4.110153803620758</v>
      </c>
      <c r="K267" s="6"/>
      <c r="L267" s="6"/>
      <c r="M267" s="6"/>
      <c r="N267" s="6">
        <f t="shared" ref="N267:P267" si="270">IF(LEN($C267)&gt;0,H267-E267,"")</f>
        <v>-113224.9877</v>
      </c>
      <c r="O267" s="6">
        <f t="shared" si="270"/>
        <v>-3.967932365</v>
      </c>
      <c r="P267" s="6">
        <f t="shared" si="270"/>
        <v>-1.202828912</v>
      </c>
      <c r="Q267" s="6"/>
      <c r="R267" s="6"/>
      <c r="S267" s="6"/>
      <c r="T267" s="6"/>
      <c r="U267" s="6"/>
      <c r="V267" s="6"/>
      <c r="W267" s="6"/>
      <c r="X267" s="6"/>
      <c r="Y267" s="6"/>
      <c r="Z267" s="6"/>
      <c r="AA267" s="6"/>
      <c r="AB267" s="6"/>
      <c r="AC267" s="6"/>
      <c r="AD267" s="6"/>
      <c r="AE267" s="6"/>
      <c r="AF267" s="6"/>
      <c r="AG267" s="6"/>
    </row>
    <row r="268" ht="14.25" customHeight="1">
      <c r="A268" s="6"/>
      <c r="B268" s="6"/>
      <c r="C268" s="6">
        <v>261.0</v>
      </c>
      <c r="D268" s="6"/>
      <c r="E268" s="6">
        <v>6332417.304945432</v>
      </c>
      <c r="F268" s="6">
        <v>497.1043738489728</v>
      </c>
      <c r="G268" s="6">
        <v>4.947882570878075</v>
      </c>
      <c r="H268" s="6">
        <v>6257260.73518937</v>
      </c>
      <c r="I268" s="6">
        <v>492.11909932258607</v>
      </c>
      <c r="J268" s="6">
        <v>3.7971235322045787</v>
      </c>
      <c r="K268" s="6"/>
      <c r="L268" s="6"/>
      <c r="M268" s="6"/>
      <c r="N268" s="6">
        <f t="shared" ref="N268:P268" si="271">IF(LEN($C268)&gt;0,H268-E268,"")</f>
        <v>-75156.56976</v>
      </c>
      <c r="O268" s="6">
        <f t="shared" si="271"/>
        <v>-4.985274526</v>
      </c>
      <c r="P268" s="6">
        <f t="shared" si="271"/>
        <v>-1.150759039</v>
      </c>
      <c r="Q268" s="6"/>
      <c r="R268" s="6"/>
      <c r="S268" s="6"/>
      <c r="T268" s="6"/>
      <c r="U268" s="6"/>
      <c r="V268" s="6"/>
      <c r="W268" s="6"/>
      <c r="X268" s="6"/>
      <c r="Y268" s="6"/>
      <c r="Z268" s="6"/>
      <c r="AA268" s="6"/>
      <c r="AB268" s="6"/>
      <c r="AC268" s="6"/>
      <c r="AD268" s="6"/>
      <c r="AE268" s="6"/>
      <c r="AF268" s="6"/>
      <c r="AG268" s="6"/>
    </row>
    <row r="269" ht="14.25" customHeight="1">
      <c r="A269" s="6"/>
      <c r="B269" s="6"/>
      <c r="C269" s="6">
        <v>262.0</v>
      </c>
      <c r="D269" s="6"/>
      <c r="E269" s="6">
        <v>6792688.551926746</v>
      </c>
      <c r="F269" s="6">
        <v>489.9874581666368</v>
      </c>
      <c r="G269" s="6">
        <v>4.4116287552381666</v>
      </c>
      <c r="H269" s="6">
        <v>6680005.464840145</v>
      </c>
      <c r="I269" s="6">
        <v>487.15112223280073</v>
      </c>
      <c r="J269" s="6">
        <v>2.8783518576302236</v>
      </c>
      <c r="K269" s="6"/>
      <c r="L269" s="6"/>
      <c r="M269" s="6"/>
      <c r="N269" s="6">
        <f t="shared" ref="N269:P269" si="272">IF(LEN($C269)&gt;0,H269-E269,"")</f>
        <v>-112683.0871</v>
      </c>
      <c r="O269" s="6">
        <f t="shared" si="272"/>
        <v>-2.836335934</v>
      </c>
      <c r="P269" s="6">
        <f t="shared" si="272"/>
        <v>-1.533276898</v>
      </c>
      <c r="Q269" s="6"/>
      <c r="R269" s="6"/>
      <c r="S269" s="6"/>
      <c r="T269" s="6"/>
      <c r="U269" s="6"/>
      <c r="V269" s="6"/>
      <c r="W269" s="6"/>
      <c r="X269" s="6"/>
      <c r="Y269" s="6"/>
      <c r="Z269" s="6"/>
      <c r="AA269" s="6"/>
      <c r="AB269" s="6"/>
      <c r="AC269" s="6"/>
      <c r="AD269" s="6"/>
      <c r="AE269" s="6"/>
      <c r="AF269" s="6"/>
      <c r="AG269" s="6"/>
    </row>
    <row r="270" ht="14.25" customHeight="1">
      <c r="A270" s="6"/>
      <c r="B270" s="6"/>
      <c r="C270" s="6">
        <v>263.0</v>
      </c>
      <c r="D270" s="6"/>
      <c r="E270" s="6">
        <v>5632631.4739696095</v>
      </c>
      <c r="F270" s="6">
        <v>442.8996465850932</v>
      </c>
      <c r="G270" s="6">
        <v>4.165045742932275</v>
      </c>
      <c r="H270" s="6">
        <v>5550231.6180087635</v>
      </c>
      <c r="I270" s="6">
        <v>439.4515992291333</v>
      </c>
      <c r="J270" s="6">
        <v>2.788352166894268</v>
      </c>
      <c r="K270" s="6"/>
      <c r="L270" s="6"/>
      <c r="M270" s="6"/>
      <c r="N270" s="6">
        <f t="shared" ref="N270:P270" si="273">IF(LEN($C270)&gt;0,H270-E270,"")</f>
        <v>-82399.85596</v>
      </c>
      <c r="O270" s="6">
        <f t="shared" si="273"/>
        <v>-3.448047356</v>
      </c>
      <c r="P270" s="6">
        <f t="shared" si="273"/>
        <v>-1.376693576</v>
      </c>
      <c r="Q270" s="6"/>
      <c r="R270" s="6"/>
      <c r="S270" s="6"/>
      <c r="T270" s="6"/>
      <c r="U270" s="6"/>
      <c r="V270" s="6"/>
      <c r="W270" s="6"/>
      <c r="X270" s="6"/>
      <c r="Y270" s="6"/>
      <c r="Z270" s="6"/>
      <c r="AA270" s="6"/>
      <c r="AB270" s="6"/>
      <c r="AC270" s="6"/>
      <c r="AD270" s="6"/>
      <c r="AE270" s="6"/>
      <c r="AF270" s="6"/>
      <c r="AG270" s="6"/>
    </row>
    <row r="271" ht="14.25" customHeight="1">
      <c r="A271" s="6"/>
      <c r="B271" s="6"/>
      <c r="C271" s="6">
        <v>264.0</v>
      </c>
      <c r="D271" s="6"/>
      <c r="E271" s="6">
        <v>6779033.451599989</v>
      </c>
      <c r="F271" s="6">
        <v>438.34698484293926</v>
      </c>
      <c r="G271" s="6">
        <v>4.713248108456801</v>
      </c>
      <c r="H271" s="6">
        <v>6695174.292254996</v>
      </c>
      <c r="I271" s="6">
        <v>435.1022485356002</v>
      </c>
      <c r="J271" s="6">
        <v>3.323608385527177</v>
      </c>
      <c r="K271" s="6"/>
      <c r="L271" s="6"/>
      <c r="M271" s="6"/>
      <c r="N271" s="6">
        <f t="shared" ref="N271:P271" si="274">IF(LEN($C271)&gt;0,H271-E271,"")</f>
        <v>-83859.15934</v>
      </c>
      <c r="O271" s="6">
        <f t="shared" si="274"/>
        <v>-3.244736307</v>
      </c>
      <c r="P271" s="6">
        <f t="shared" si="274"/>
        <v>-1.389639723</v>
      </c>
      <c r="Q271" s="6"/>
      <c r="R271" s="6"/>
      <c r="S271" s="6"/>
      <c r="T271" s="6"/>
      <c r="U271" s="6"/>
      <c r="V271" s="6"/>
      <c r="W271" s="6"/>
      <c r="X271" s="6"/>
      <c r="Y271" s="6"/>
      <c r="Z271" s="6"/>
      <c r="AA271" s="6"/>
      <c r="AB271" s="6"/>
      <c r="AC271" s="6"/>
      <c r="AD271" s="6"/>
      <c r="AE271" s="6"/>
      <c r="AF271" s="6"/>
      <c r="AG271" s="6"/>
    </row>
    <row r="272" ht="14.25" customHeight="1">
      <c r="A272" s="6"/>
      <c r="B272" s="6"/>
      <c r="C272" s="6">
        <v>265.0</v>
      </c>
      <c r="D272" s="6"/>
      <c r="E272" s="6">
        <v>6118796.94086615</v>
      </c>
      <c r="F272" s="6">
        <v>454.1035954741946</v>
      </c>
      <c r="G272" s="6">
        <v>7.277562878108007</v>
      </c>
      <c r="H272" s="6">
        <v>5961358.212290797</v>
      </c>
      <c r="I272" s="6">
        <v>450.32693842776143</v>
      </c>
      <c r="J272" s="6">
        <v>4.636903427087935</v>
      </c>
      <c r="K272" s="6"/>
      <c r="L272" s="6"/>
      <c r="M272" s="6"/>
      <c r="N272" s="6">
        <f t="shared" ref="N272:P272" si="275">IF(LEN($C272)&gt;0,H272-E272,"")</f>
        <v>-157438.7286</v>
      </c>
      <c r="O272" s="6">
        <f t="shared" si="275"/>
        <v>-3.776657046</v>
      </c>
      <c r="P272" s="6">
        <f t="shared" si="275"/>
        <v>-2.640659451</v>
      </c>
      <c r="Q272" s="6"/>
      <c r="R272" s="6"/>
      <c r="S272" s="6"/>
      <c r="T272" s="6"/>
      <c r="U272" s="6"/>
      <c r="V272" s="6"/>
      <c r="W272" s="6"/>
      <c r="X272" s="6"/>
      <c r="Y272" s="6"/>
      <c r="Z272" s="6"/>
      <c r="AA272" s="6"/>
      <c r="AB272" s="6"/>
      <c r="AC272" s="6"/>
      <c r="AD272" s="6"/>
      <c r="AE272" s="6"/>
      <c r="AF272" s="6"/>
      <c r="AG272" s="6"/>
    </row>
    <row r="273" ht="14.25" customHeight="1">
      <c r="A273" s="6"/>
      <c r="B273" s="6"/>
      <c r="C273" s="6">
        <v>266.0</v>
      </c>
      <c r="D273" s="6"/>
      <c r="E273" s="6">
        <v>7979560.384491968</v>
      </c>
      <c r="F273" s="6">
        <v>457.76115297414543</v>
      </c>
      <c r="G273" s="6">
        <v>4.892515132184358</v>
      </c>
      <c r="H273" s="6">
        <v>7928922.339356247</v>
      </c>
      <c r="I273" s="6">
        <v>456.19909722756046</v>
      </c>
      <c r="J273" s="6">
        <v>4.030255207706287</v>
      </c>
      <c r="K273" s="6"/>
      <c r="L273" s="6"/>
      <c r="M273" s="6"/>
      <c r="N273" s="6">
        <f t="shared" ref="N273:P273" si="276">IF(LEN($C273)&gt;0,H273-E273,"")</f>
        <v>-50638.04514</v>
      </c>
      <c r="O273" s="6">
        <f t="shared" si="276"/>
        <v>-1.562055747</v>
      </c>
      <c r="P273" s="6">
        <f t="shared" si="276"/>
        <v>-0.8622599245</v>
      </c>
      <c r="Q273" s="6"/>
      <c r="R273" s="6"/>
      <c r="S273" s="6"/>
      <c r="T273" s="6"/>
      <c r="U273" s="6"/>
      <c r="V273" s="6"/>
      <c r="W273" s="6"/>
      <c r="X273" s="6"/>
      <c r="Y273" s="6"/>
      <c r="Z273" s="6"/>
      <c r="AA273" s="6"/>
      <c r="AB273" s="6"/>
      <c r="AC273" s="6"/>
      <c r="AD273" s="6"/>
      <c r="AE273" s="6"/>
      <c r="AF273" s="6"/>
      <c r="AG273" s="6"/>
    </row>
    <row r="274" ht="14.25" customHeight="1">
      <c r="A274" s="6"/>
      <c r="B274" s="6"/>
      <c r="C274" s="6">
        <v>267.0</v>
      </c>
      <c r="D274" s="6"/>
      <c r="E274" s="6">
        <v>6337213.866514612</v>
      </c>
      <c r="F274" s="6">
        <v>448.4950214545792</v>
      </c>
      <c r="G274" s="6">
        <v>5.551441169647168</v>
      </c>
      <c r="H274" s="6">
        <v>6241419.716520454</v>
      </c>
      <c r="I274" s="6">
        <v>445.12296037355935</v>
      </c>
      <c r="J274" s="6">
        <v>4.185283584954368</v>
      </c>
      <c r="K274" s="6"/>
      <c r="L274" s="6"/>
      <c r="M274" s="6"/>
      <c r="N274" s="6">
        <f t="shared" ref="N274:P274" si="277">IF(LEN($C274)&gt;0,H274-E274,"")</f>
        <v>-95794.14999</v>
      </c>
      <c r="O274" s="6">
        <f t="shared" si="277"/>
        <v>-3.372061081</v>
      </c>
      <c r="P274" s="6">
        <f t="shared" si="277"/>
        <v>-1.366157585</v>
      </c>
      <c r="Q274" s="6"/>
      <c r="R274" s="6"/>
      <c r="S274" s="6"/>
      <c r="T274" s="6"/>
      <c r="U274" s="6"/>
      <c r="V274" s="6"/>
      <c r="W274" s="6"/>
      <c r="X274" s="6"/>
      <c r="Y274" s="6"/>
      <c r="Z274" s="6"/>
      <c r="AA274" s="6"/>
      <c r="AB274" s="6"/>
      <c r="AC274" s="6"/>
      <c r="AD274" s="6"/>
      <c r="AE274" s="6"/>
      <c r="AF274" s="6"/>
      <c r="AG274" s="6"/>
    </row>
    <row r="275" ht="14.25" customHeight="1">
      <c r="A275" s="6"/>
      <c r="B275" s="6"/>
      <c r="C275" s="6">
        <v>268.0</v>
      </c>
      <c r="D275" s="6"/>
      <c r="E275" s="6">
        <v>6311804.434571929</v>
      </c>
      <c r="F275" s="6">
        <v>464.68605372604077</v>
      </c>
      <c r="G275" s="6">
        <v>5.313082067496886</v>
      </c>
      <c r="H275" s="6">
        <v>6250199.781688518</v>
      </c>
      <c r="I275" s="6">
        <v>461.7222934892816</v>
      </c>
      <c r="J275" s="6">
        <v>3.959910344034987</v>
      </c>
      <c r="K275" s="6"/>
      <c r="L275" s="6"/>
      <c r="M275" s="6"/>
      <c r="N275" s="6">
        <f t="shared" ref="N275:P275" si="278">IF(LEN($C275)&gt;0,H275-E275,"")</f>
        <v>-61604.65288</v>
      </c>
      <c r="O275" s="6">
        <f t="shared" si="278"/>
        <v>-2.963760237</v>
      </c>
      <c r="P275" s="6">
        <f t="shared" si="278"/>
        <v>-1.353171723</v>
      </c>
      <c r="Q275" s="6"/>
      <c r="R275" s="6"/>
      <c r="S275" s="6"/>
      <c r="T275" s="6"/>
      <c r="U275" s="6"/>
      <c r="V275" s="6"/>
      <c r="W275" s="6"/>
      <c r="X275" s="6"/>
      <c r="Y275" s="6"/>
      <c r="Z275" s="6"/>
      <c r="AA275" s="6"/>
      <c r="AB275" s="6"/>
      <c r="AC275" s="6"/>
      <c r="AD275" s="6"/>
      <c r="AE275" s="6"/>
      <c r="AF275" s="6"/>
      <c r="AG275" s="6"/>
    </row>
    <row r="276" ht="14.25" customHeight="1">
      <c r="A276" s="6"/>
      <c r="B276" s="6"/>
      <c r="C276" s="6">
        <v>269.0</v>
      </c>
      <c r="D276" s="6"/>
      <c r="E276" s="6">
        <v>6352209.437942288</v>
      </c>
      <c r="F276" s="6">
        <v>488.203783489503</v>
      </c>
      <c r="G276" s="6">
        <v>4.99383296469821</v>
      </c>
      <c r="H276" s="6">
        <v>6301418.489692813</v>
      </c>
      <c r="I276" s="6">
        <v>486.8150329181286</v>
      </c>
      <c r="J276" s="6">
        <v>3.817966530905954</v>
      </c>
      <c r="K276" s="6"/>
      <c r="L276" s="6"/>
      <c r="M276" s="6"/>
      <c r="N276" s="6">
        <f t="shared" ref="N276:P276" si="279">IF(LEN($C276)&gt;0,H276-E276,"")</f>
        <v>-50790.94825</v>
      </c>
      <c r="O276" s="6">
        <f t="shared" si="279"/>
        <v>-1.388750571</v>
      </c>
      <c r="P276" s="6">
        <f t="shared" si="279"/>
        <v>-1.175866434</v>
      </c>
      <c r="Q276" s="6"/>
      <c r="R276" s="6"/>
      <c r="S276" s="6"/>
      <c r="T276" s="6"/>
      <c r="U276" s="6"/>
      <c r="V276" s="6"/>
      <c r="W276" s="6"/>
      <c r="X276" s="6"/>
      <c r="Y276" s="6"/>
      <c r="Z276" s="6"/>
      <c r="AA276" s="6"/>
      <c r="AB276" s="6"/>
      <c r="AC276" s="6"/>
      <c r="AD276" s="6"/>
      <c r="AE276" s="6"/>
      <c r="AF276" s="6"/>
      <c r="AG276" s="6"/>
    </row>
    <row r="277" ht="14.25" customHeight="1">
      <c r="A277" s="6"/>
      <c r="B277" s="6"/>
      <c r="C277" s="6">
        <v>270.0</v>
      </c>
      <c r="D277" s="6"/>
      <c r="E277" s="6">
        <v>8475141.084569255</v>
      </c>
      <c r="F277" s="6">
        <v>469.06740156244007</v>
      </c>
      <c r="G277" s="6">
        <v>5.241911951522438</v>
      </c>
      <c r="H277" s="6">
        <v>8389593.555664841</v>
      </c>
      <c r="I277" s="6">
        <v>465.86826063522676</v>
      </c>
      <c r="J277" s="6">
        <v>3.6932702367972223</v>
      </c>
      <c r="K277" s="6"/>
      <c r="L277" s="6"/>
      <c r="M277" s="6"/>
      <c r="N277" s="6">
        <f t="shared" ref="N277:P277" si="280">IF(LEN($C277)&gt;0,H277-E277,"")</f>
        <v>-85547.5289</v>
      </c>
      <c r="O277" s="6">
        <f t="shared" si="280"/>
        <v>-3.199140927</v>
      </c>
      <c r="P277" s="6">
        <f t="shared" si="280"/>
        <v>-1.548641715</v>
      </c>
      <c r="Q277" s="6"/>
      <c r="R277" s="6"/>
      <c r="S277" s="6"/>
      <c r="T277" s="6"/>
      <c r="U277" s="6"/>
      <c r="V277" s="6"/>
      <c r="W277" s="6"/>
      <c r="X277" s="6"/>
      <c r="Y277" s="6"/>
      <c r="Z277" s="6"/>
      <c r="AA277" s="6"/>
      <c r="AB277" s="6"/>
      <c r="AC277" s="6"/>
      <c r="AD277" s="6"/>
      <c r="AE277" s="6"/>
      <c r="AF277" s="6"/>
      <c r="AG277" s="6"/>
    </row>
    <row r="278" ht="14.25" customHeight="1">
      <c r="A278" s="6"/>
      <c r="B278" s="6"/>
      <c r="C278" s="6">
        <v>271.0</v>
      </c>
      <c r="D278" s="6"/>
      <c r="E278" s="6">
        <v>6778639.932627791</v>
      </c>
      <c r="F278" s="6">
        <v>507.13903571960975</v>
      </c>
      <c r="G278" s="6">
        <v>5.209449805772216</v>
      </c>
      <c r="H278" s="6">
        <v>6658266.243364292</v>
      </c>
      <c r="I278" s="6">
        <v>500.14272020728725</v>
      </c>
      <c r="J278" s="6">
        <v>3.8147731438569297</v>
      </c>
      <c r="K278" s="6"/>
      <c r="L278" s="6"/>
      <c r="M278" s="6"/>
      <c r="N278" s="6">
        <f t="shared" ref="N278:P278" si="281">IF(LEN($C278)&gt;0,H278-E278,"")</f>
        <v>-120373.6893</v>
      </c>
      <c r="O278" s="6">
        <f t="shared" si="281"/>
        <v>-6.996315512</v>
      </c>
      <c r="P278" s="6">
        <f t="shared" si="281"/>
        <v>-1.394676662</v>
      </c>
      <c r="Q278" s="6"/>
      <c r="R278" s="6"/>
      <c r="S278" s="6"/>
      <c r="T278" s="6"/>
      <c r="U278" s="6"/>
      <c r="V278" s="6"/>
      <c r="W278" s="6"/>
      <c r="X278" s="6"/>
      <c r="Y278" s="6"/>
      <c r="Z278" s="6"/>
      <c r="AA278" s="6"/>
      <c r="AB278" s="6"/>
      <c r="AC278" s="6"/>
      <c r="AD278" s="6"/>
      <c r="AE278" s="6"/>
      <c r="AF278" s="6"/>
      <c r="AG278" s="6"/>
    </row>
    <row r="279" ht="14.25" customHeight="1">
      <c r="A279" s="6"/>
      <c r="B279" s="6"/>
      <c r="C279" s="6">
        <v>272.0</v>
      </c>
      <c r="D279" s="6"/>
      <c r="E279" s="6">
        <v>8378575.3248590715</v>
      </c>
      <c r="F279" s="6">
        <v>478.2086636882319</v>
      </c>
      <c r="G279" s="6">
        <v>4.313207501577417</v>
      </c>
      <c r="H279" s="6">
        <v>8203876.363555012</v>
      </c>
      <c r="I279" s="6">
        <v>470.58575011851457</v>
      </c>
      <c r="J279" s="6">
        <v>3.0447465118323995</v>
      </c>
      <c r="K279" s="6"/>
      <c r="L279" s="6"/>
      <c r="M279" s="6"/>
      <c r="N279" s="6">
        <f t="shared" ref="N279:P279" si="282">IF(LEN($C279)&gt;0,H279-E279,"")</f>
        <v>-174698.9613</v>
      </c>
      <c r="O279" s="6">
        <f t="shared" si="282"/>
        <v>-7.62291357</v>
      </c>
      <c r="P279" s="6">
        <f t="shared" si="282"/>
        <v>-1.26846099</v>
      </c>
      <c r="Q279" s="6"/>
      <c r="R279" s="6"/>
      <c r="S279" s="6"/>
      <c r="T279" s="6"/>
      <c r="U279" s="6"/>
      <c r="V279" s="6"/>
      <c r="W279" s="6"/>
      <c r="X279" s="6"/>
      <c r="Y279" s="6"/>
      <c r="Z279" s="6"/>
      <c r="AA279" s="6"/>
      <c r="AB279" s="6"/>
      <c r="AC279" s="6"/>
      <c r="AD279" s="6"/>
      <c r="AE279" s="6"/>
      <c r="AF279" s="6"/>
      <c r="AG279" s="6"/>
    </row>
    <row r="280" ht="14.25" customHeight="1">
      <c r="A280" s="6"/>
      <c r="B280" s="6"/>
      <c r="C280" s="6">
        <v>273.0</v>
      </c>
      <c r="D280" s="6"/>
      <c r="E280" s="6">
        <v>5264882.112916516</v>
      </c>
      <c r="F280" s="6">
        <v>470.58456031297766</v>
      </c>
      <c r="G280" s="6">
        <v>4.918184834311445</v>
      </c>
      <c r="H280" s="6">
        <v>5218198.581096139</v>
      </c>
      <c r="I280" s="6">
        <v>468.88179432569603</v>
      </c>
      <c r="J280" s="6">
        <v>4.017802098381287</v>
      </c>
      <c r="K280" s="6"/>
      <c r="L280" s="6"/>
      <c r="M280" s="6"/>
      <c r="N280" s="6">
        <f t="shared" ref="N280:P280" si="283">IF(LEN($C280)&gt;0,H280-E280,"")</f>
        <v>-46683.53182</v>
      </c>
      <c r="O280" s="6">
        <f t="shared" si="283"/>
        <v>-1.702765987</v>
      </c>
      <c r="P280" s="6">
        <f t="shared" si="283"/>
        <v>-0.9003827359</v>
      </c>
      <c r="Q280" s="6"/>
      <c r="R280" s="6"/>
      <c r="S280" s="6"/>
      <c r="T280" s="6"/>
      <c r="U280" s="6"/>
      <c r="V280" s="6"/>
      <c r="W280" s="6"/>
      <c r="X280" s="6"/>
      <c r="Y280" s="6"/>
      <c r="Z280" s="6"/>
      <c r="AA280" s="6"/>
      <c r="AB280" s="6"/>
      <c r="AC280" s="6"/>
      <c r="AD280" s="6"/>
      <c r="AE280" s="6"/>
      <c r="AF280" s="6"/>
      <c r="AG280" s="6"/>
    </row>
    <row r="281" ht="14.25" customHeight="1">
      <c r="A281" s="6"/>
      <c r="B281" s="6"/>
      <c r="C281" s="6">
        <v>274.0</v>
      </c>
      <c r="D281" s="6"/>
      <c r="E281" s="6">
        <v>7867385.260048842</v>
      </c>
      <c r="F281" s="6">
        <v>509.550382429075</v>
      </c>
      <c r="G281" s="6">
        <v>5.14507971262787</v>
      </c>
      <c r="H281" s="6">
        <v>7654691.232592527</v>
      </c>
      <c r="I281" s="6">
        <v>502.0229652987063</v>
      </c>
      <c r="J281" s="6">
        <v>3.5220314545969647</v>
      </c>
      <c r="K281" s="6"/>
      <c r="L281" s="6"/>
      <c r="M281" s="6"/>
      <c r="N281" s="6">
        <f t="shared" ref="N281:P281" si="284">IF(LEN($C281)&gt;0,H281-E281,"")</f>
        <v>-212694.0275</v>
      </c>
      <c r="O281" s="6">
        <f t="shared" si="284"/>
        <v>-7.52741713</v>
      </c>
      <c r="P281" s="6">
        <f t="shared" si="284"/>
        <v>-1.623048258</v>
      </c>
      <c r="Q281" s="6"/>
      <c r="R281" s="6"/>
      <c r="S281" s="6"/>
      <c r="T281" s="6"/>
      <c r="U281" s="6"/>
      <c r="V281" s="6"/>
      <c r="W281" s="6"/>
      <c r="X281" s="6"/>
      <c r="Y281" s="6"/>
      <c r="Z281" s="6"/>
      <c r="AA281" s="6"/>
      <c r="AB281" s="6"/>
      <c r="AC281" s="6"/>
      <c r="AD281" s="6"/>
      <c r="AE281" s="6"/>
      <c r="AF281" s="6"/>
      <c r="AG281" s="6"/>
    </row>
    <row r="282" ht="14.25" customHeight="1">
      <c r="A282" s="6"/>
      <c r="B282" s="6"/>
      <c r="C282" s="6">
        <v>275.0</v>
      </c>
      <c r="D282" s="6"/>
      <c r="E282" s="6">
        <v>8919015.094424915</v>
      </c>
      <c r="F282" s="6">
        <v>466.62222234584556</v>
      </c>
      <c r="G282" s="6">
        <v>5.030103033454451</v>
      </c>
      <c r="H282" s="6">
        <v>8754937.706363339</v>
      </c>
      <c r="I282" s="6">
        <v>462.2354840539111</v>
      </c>
      <c r="J282" s="6">
        <v>3.477198045006242</v>
      </c>
      <c r="K282" s="6"/>
      <c r="L282" s="6"/>
      <c r="M282" s="6"/>
      <c r="N282" s="6">
        <f t="shared" ref="N282:P282" si="285">IF(LEN($C282)&gt;0,H282-E282,"")</f>
        <v>-164077.3881</v>
      </c>
      <c r="O282" s="6">
        <f t="shared" si="285"/>
        <v>-4.386738292</v>
      </c>
      <c r="P282" s="6">
        <f t="shared" si="285"/>
        <v>-1.552904988</v>
      </c>
      <c r="Q282" s="6"/>
      <c r="R282" s="6"/>
      <c r="S282" s="6"/>
      <c r="T282" s="6"/>
      <c r="U282" s="6"/>
      <c r="V282" s="6"/>
      <c r="W282" s="6"/>
      <c r="X282" s="6"/>
      <c r="Y282" s="6"/>
      <c r="Z282" s="6"/>
      <c r="AA282" s="6"/>
      <c r="AB282" s="6"/>
      <c r="AC282" s="6"/>
      <c r="AD282" s="6"/>
      <c r="AE282" s="6"/>
      <c r="AF282" s="6"/>
      <c r="AG282" s="6"/>
    </row>
    <row r="283" ht="14.25" customHeight="1">
      <c r="A283" s="6"/>
      <c r="B283" s="6"/>
      <c r="C283" s="6">
        <v>276.0</v>
      </c>
      <c r="D283" s="6"/>
      <c r="E283" s="6">
        <v>6851322.980121983</v>
      </c>
      <c r="F283" s="6">
        <v>439.9874953321726</v>
      </c>
      <c r="G283" s="6">
        <v>5.162962920241478</v>
      </c>
      <c r="H283" s="6">
        <v>6754382.830454068</v>
      </c>
      <c r="I283" s="6">
        <v>436.1328213718861</v>
      </c>
      <c r="J283" s="6">
        <v>3.9277417296578796</v>
      </c>
      <c r="K283" s="6"/>
      <c r="L283" s="6"/>
      <c r="M283" s="6"/>
      <c r="N283" s="6">
        <f t="shared" ref="N283:P283" si="286">IF(LEN($C283)&gt;0,H283-E283,"")</f>
        <v>-96940.14967</v>
      </c>
      <c r="O283" s="6">
        <f t="shared" si="286"/>
        <v>-3.85467396</v>
      </c>
      <c r="P283" s="6">
        <f t="shared" si="286"/>
        <v>-1.235221191</v>
      </c>
      <c r="Q283" s="6"/>
      <c r="R283" s="6"/>
      <c r="S283" s="6"/>
      <c r="T283" s="6"/>
      <c r="U283" s="6"/>
      <c r="V283" s="6"/>
      <c r="W283" s="6"/>
      <c r="X283" s="6"/>
      <c r="Y283" s="6"/>
      <c r="Z283" s="6"/>
      <c r="AA283" s="6"/>
      <c r="AB283" s="6"/>
      <c r="AC283" s="6"/>
      <c r="AD283" s="6"/>
      <c r="AE283" s="6"/>
      <c r="AF283" s="6"/>
      <c r="AG283" s="6"/>
    </row>
    <row r="284" ht="14.25" customHeight="1">
      <c r="A284" s="6"/>
      <c r="B284" s="6"/>
      <c r="C284" s="6">
        <v>277.0</v>
      </c>
      <c r="D284" s="6"/>
      <c r="E284" s="6">
        <v>7454228.264615144</v>
      </c>
      <c r="F284" s="6">
        <v>458.50246618124675</v>
      </c>
      <c r="G284" s="6">
        <v>6.340513970919992</v>
      </c>
      <c r="H284" s="6">
        <v>7287499.735373992</v>
      </c>
      <c r="I284" s="6">
        <v>449.35303592256065</v>
      </c>
      <c r="J284" s="6">
        <v>4.595353503535284</v>
      </c>
      <c r="K284" s="6"/>
      <c r="L284" s="6"/>
      <c r="M284" s="6"/>
      <c r="N284" s="6">
        <f t="shared" ref="N284:P284" si="287">IF(LEN($C284)&gt;0,H284-E284,"")</f>
        <v>-166728.5292</v>
      </c>
      <c r="O284" s="6">
        <f t="shared" si="287"/>
        <v>-9.149430259</v>
      </c>
      <c r="P284" s="6">
        <f t="shared" si="287"/>
        <v>-1.745160467</v>
      </c>
      <c r="Q284" s="6"/>
      <c r="R284" s="6"/>
      <c r="S284" s="6"/>
      <c r="T284" s="6"/>
      <c r="U284" s="6"/>
      <c r="V284" s="6"/>
      <c r="W284" s="6"/>
      <c r="X284" s="6"/>
      <c r="Y284" s="6"/>
      <c r="Z284" s="6"/>
      <c r="AA284" s="6"/>
      <c r="AB284" s="6"/>
      <c r="AC284" s="6"/>
      <c r="AD284" s="6"/>
      <c r="AE284" s="6"/>
      <c r="AF284" s="6"/>
      <c r="AG284" s="6"/>
    </row>
    <row r="285" ht="14.25" customHeight="1">
      <c r="A285" s="6"/>
      <c r="B285" s="6"/>
      <c r="C285" s="6">
        <v>278.0</v>
      </c>
      <c r="D285" s="6"/>
      <c r="E285" s="6">
        <v>6890936.444584415</v>
      </c>
      <c r="F285" s="6">
        <v>478.8472979825909</v>
      </c>
      <c r="G285" s="6">
        <v>4.255236414121039</v>
      </c>
      <c r="H285" s="6">
        <v>6781704.390879421</v>
      </c>
      <c r="I285" s="6">
        <v>474.7782067560037</v>
      </c>
      <c r="J285" s="6">
        <v>3.3799736478765374</v>
      </c>
      <c r="K285" s="6"/>
      <c r="L285" s="6"/>
      <c r="M285" s="6"/>
      <c r="N285" s="6">
        <f t="shared" ref="N285:P285" si="288">IF(LEN($C285)&gt;0,H285-E285,"")</f>
        <v>-109232.0537</v>
      </c>
      <c r="O285" s="6">
        <f t="shared" si="288"/>
        <v>-4.069091227</v>
      </c>
      <c r="P285" s="6">
        <f t="shared" si="288"/>
        <v>-0.8752627662</v>
      </c>
      <c r="Q285" s="6"/>
      <c r="R285" s="6"/>
      <c r="S285" s="6"/>
      <c r="T285" s="6"/>
      <c r="U285" s="6"/>
      <c r="V285" s="6"/>
      <c r="W285" s="6"/>
      <c r="X285" s="6"/>
      <c r="Y285" s="6"/>
      <c r="Z285" s="6"/>
      <c r="AA285" s="6"/>
      <c r="AB285" s="6"/>
      <c r="AC285" s="6"/>
      <c r="AD285" s="6"/>
      <c r="AE285" s="6"/>
      <c r="AF285" s="6"/>
      <c r="AG285" s="6"/>
    </row>
    <row r="286" ht="14.25" customHeight="1">
      <c r="A286" s="6"/>
      <c r="B286" s="6"/>
      <c r="C286" s="6">
        <v>279.0</v>
      </c>
      <c r="D286" s="6"/>
      <c r="E286" s="6">
        <v>7347481.1681557195</v>
      </c>
      <c r="F286" s="6">
        <v>505.273474466511</v>
      </c>
      <c r="G286" s="6">
        <v>6.288364285733341</v>
      </c>
      <c r="H286" s="6">
        <v>7259203.356822308</v>
      </c>
      <c r="I286" s="6">
        <v>501.0491501423797</v>
      </c>
      <c r="J286" s="6">
        <v>4.842435866016353</v>
      </c>
      <c r="K286" s="6"/>
      <c r="L286" s="6"/>
      <c r="M286" s="6"/>
      <c r="N286" s="6">
        <f t="shared" ref="N286:P286" si="289">IF(LEN($C286)&gt;0,H286-E286,"")</f>
        <v>-88277.81133</v>
      </c>
      <c r="O286" s="6">
        <f t="shared" si="289"/>
        <v>-4.224324324</v>
      </c>
      <c r="P286" s="6">
        <f t="shared" si="289"/>
        <v>-1.44592842</v>
      </c>
      <c r="Q286" s="6"/>
      <c r="R286" s="6"/>
      <c r="S286" s="6"/>
      <c r="T286" s="6"/>
      <c r="U286" s="6"/>
      <c r="V286" s="6"/>
      <c r="W286" s="6"/>
      <c r="X286" s="6"/>
      <c r="Y286" s="6"/>
      <c r="Z286" s="6"/>
      <c r="AA286" s="6"/>
      <c r="AB286" s="6"/>
      <c r="AC286" s="6"/>
      <c r="AD286" s="6"/>
      <c r="AE286" s="6"/>
      <c r="AF286" s="6"/>
      <c r="AG286" s="6"/>
    </row>
    <row r="287" ht="14.25" customHeight="1">
      <c r="A287" s="6"/>
      <c r="B287" s="6"/>
      <c r="C287" s="6">
        <v>280.0</v>
      </c>
      <c r="D287" s="6"/>
      <c r="E287" s="6">
        <v>9160593.628707383</v>
      </c>
      <c r="F287" s="6">
        <v>456.0397641459599</v>
      </c>
      <c r="G287" s="6">
        <v>5.339316626841861</v>
      </c>
      <c r="H287" s="6">
        <v>9035234.969512627</v>
      </c>
      <c r="I287" s="6">
        <v>451.3309990555072</v>
      </c>
      <c r="J287" s="6">
        <v>4.383903426596616</v>
      </c>
      <c r="K287" s="6"/>
      <c r="L287" s="6"/>
      <c r="M287" s="6"/>
      <c r="N287" s="6">
        <f t="shared" ref="N287:P287" si="290">IF(LEN($C287)&gt;0,H287-E287,"")</f>
        <v>-125358.6592</v>
      </c>
      <c r="O287" s="6">
        <f t="shared" si="290"/>
        <v>-4.70876509</v>
      </c>
      <c r="P287" s="6">
        <f t="shared" si="290"/>
        <v>-0.9554132002</v>
      </c>
      <c r="Q287" s="6"/>
      <c r="R287" s="6"/>
      <c r="S287" s="6"/>
      <c r="T287" s="6"/>
      <c r="U287" s="6"/>
      <c r="V287" s="6"/>
      <c r="W287" s="6"/>
      <c r="X287" s="6"/>
      <c r="Y287" s="6"/>
      <c r="Z287" s="6"/>
      <c r="AA287" s="6"/>
      <c r="AB287" s="6"/>
      <c r="AC287" s="6"/>
      <c r="AD287" s="6"/>
      <c r="AE287" s="6"/>
      <c r="AF287" s="6"/>
      <c r="AG287" s="6"/>
    </row>
    <row r="288" ht="14.25" customHeight="1">
      <c r="A288" s="6"/>
      <c r="B288" s="6"/>
      <c r="C288" s="6">
        <v>281.0</v>
      </c>
      <c r="D288" s="6"/>
      <c r="E288" s="6">
        <v>7586514.910695016</v>
      </c>
      <c r="F288" s="6">
        <v>449.29101861898636</v>
      </c>
      <c r="G288" s="6">
        <v>4.408930272472405</v>
      </c>
      <c r="H288" s="6">
        <v>7403184.435631239</v>
      </c>
      <c r="I288" s="6">
        <v>440.26546690513493</v>
      </c>
      <c r="J288" s="6">
        <v>2.887980134356778</v>
      </c>
      <c r="K288" s="6"/>
      <c r="L288" s="6"/>
      <c r="M288" s="6"/>
      <c r="N288" s="6">
        <f t="shared" ref="N288:P288" si="291">IF(LEN($C288)&gt;0,H288-E288,"")</f>
        <v>-183330.4751</v>
      </c>
      <c r="O288" s="6">
        <f t="shared" si="291"/>
        <v>-9.025551714</v>
      </c>
      <c r="P288" s="6">
        <f t="shared" si="291"/>
        <v>-1.520950138</v>
      </c>
      <c r="Q288" s="6"/>
      <c r="R288" s="6"/>
      <c r="S288" s="6"/>
      <c r="T288" s="6"/>
      <c r="U288" s="6"/>
      <c r="V288" s="6"/>
      <c r="W288" s="6"/>
      <c r="X288" s="6"/>
      <c r="Y288" s="6"/>
      <c r="Z288" s="6"/>
      <c r="AA288" s="6"/>
      <c r="AB288" s="6"/>
      <c r="AC288" s="6"/>
      <c r="AD288" s="6"/>
      <c r="AE288" s="6"/>
      <c r="AF288" s="6"/>
      <c r="AG288" s="6"/>
    </row>
    <row r="289" ht="14.25" customHeight="1">
      <c r="A289" s="6"/>
      <c r="B289" s="6"/>
      <c r="C289" s="6">
        <v>282.0</v>
      </c>
      <c r="D289" s="6"/>
      <c r="E289" s="6">
        <v>6055447.102497773</v>
      </c>
      <c r="F289" s="6">
        <v>441.36244520432797</v>
      </c>
      <c r="G289" s="6">
        <v>4.502473264027328</v>
      </c>
      <c r="H289" s="6">
        <v>5991446.95581124</v>
      </c>
      <c r="I289" s="6">
        <v>438.32552782269823</v>
      </c>
      <c r="J289" s="6">
        <v>3.4165797488399208</v>
      </c>
      <c r="K289" s="6"/>
      <c r="L289" s="6"/>
      <c r="M289" s="6"/>
      <c r="N289" s="6">
        <f t="shared" ref="N289:P289" si="292">IF(LEN($C289)&gt;0,H289-E289,"")</f>
        <v>-64000.14669</v>
      </c>
      <c r="O289" s="6">
        <f t="shared" si="292"/>
        <v>-3.036917382</v>
      </c>
      <c r="P289" s="6">
        <f t="shared" si="292"/>
        <v>-1.085893515</v>
      </c>
      <c r="Q289" s="6"/>
      <c r="R289" s="6"/>
      <c r="S289" s="6"/>
      <c r="T289" s="6"/>
      <c r="U289" s="6"/>
      <c r="V289" s="6"/>
      <c r="W289" s="6"/>
      <c r="X289" s="6"/>
      <c r="Y289" s="6"/>
      <c r="Z289" s="6"/>
      <c r="AA289" s="6"/>
      <c r="AB289" s="6"/>
      <c r="AC289" s="6"/>
      <c r="AD289" s="6"/>
      <c r="AE289" s="6"/>
      <c r="AF289" s="6"/>
      <c r="AG289" s="6"/>
    </row>
    <row r="290" ht="14.25" customHeight="1">
      <c r="A290" s="6"/>
      <c r="B290" s="6"/>
      <c r="C290" s="6">
        <v>283.0</v>
      </c>
      <c r="D290" s="6"/>
      <c r="E290" s="6">
        <v>5415533.540644197</v>
      </c>
      <c r="F290" s="6">
        <v>438.5635501088399</v>
      </c>
      <c r="G290" s="6">
        <v>6.739353275279695</v>
      </c>
      <c r="H290" s="6">
        <v>5345013.804644004</v>
      </c>
      <c r="I290" s="6">
        <v>436.1148366668011</v>
      </c>
      <c r="J290" s="6">
        <v>5.480935001761683</v>
      </c>
      <c r="K290" s="6"/>
      <c r="L290" s="6"/>
      <c r="M290" s="6"/>
      <c r="N290" s="6">
        <f t="shared" ref="N290:P290" si="293">IF(LEN($C290)&gt;0,H290-E290,"")</f>
        <v>-70519.736</v>
      </c>
      <c r="O290" s="6">
        <f t="shared" si="293"/>
        <v>-2.448713442</v>
      </c>
      <c r="P290" s="6">
        <f t="shared" si="293"/>
        <v>-1.258418274</v>
      </c>
      <c r="Q290" s="6"/>
      <c r="R290" s="6"/>
      <c r="S290" s="6"/>
      <c r="T290" s="6"/>
      <c r="U290" s="6"/>
      <c r="V290" s="6"/>
      <c r="W290" s="6"/>
      <c r="X290" s="6"/>
      <c r="Y290" s="6"/>
      <c r="Z290" s="6"/>
      <c r="AA290" s="6"/>
      <c r="AB290" s="6"/>
      <c r="AC290" s="6"/>
      <c r="AD290" s="6"/>
      <c r="AE290" s="6"/>
      <c r="AF290" s="6"/>
      <c r="AG290" s="6"/>
    </row>
    <row r="291" ht="14.25" customHeight="1">
      <c r="A291" s="6"/>
      <c r="B291" s="6"/>
      <c r="C291" s="6">
        <v>284.0</v>
      </c>
      <c r="D291" s="6"/>
      <c r="E291" s="6">
        <v>5236149.578620653</v>
      </c>
      <c r="F291" s="6">
        <v>442.1267134621031</v>
      </c>
      <c r="G291" s="6">
        <v>4.86454865190227</v>
      </c>
      <c r="H291" s="6">
        <v>5172988.455604961</v>
      </c>
      <c r="I291" s="6">
        <v>438.7265252063794</v>
      </c>
      <c r="J291" s="6">
        <v>3.752259599996906</v>
      </c>
      <c r="K291" s="6"/>
      <c r="L291" s="6"/>
      <c r="M291" s="6"/>
      <c r="N291" s="6">
        <f t="shared" ref="N291:P291" si="294">IF(LEN($C291)&gt;0,H291-E291,"")</f>
        <v>-63161.12302</v>
      </c>
      <c r="O291" s="6">
        <f t="shared" si="294"/>
        <v>-3.400188256</v>
      </c>
      <c r="P291" s="6">
        <f t="shared" si="294"/>
        <v>-1.112289052</v>
      </c>
      <c r="Q291" s="6"/>
      <c r="R291" s="6"/>
      <c r="S291" s="6"/>
      <c r="T291" s="6"/>
      <c r="U291" s="6"/>
      <c r="V291" s="6"/>
      <c r="W291" s="6"/>
      <c r="X291" s="6"/>
      <c r="Y291" s="6"/>
      <c r="Z291" s="6"/>
      <c r="AA291" s="6"/>
      <c r="AB291" s="6"/>
      <c r="AC291" s="6"/>
      <c r="AD291" s="6"/>
      <c r="AE291" s="6"/>
      <c r="AF291" s="6"/>
      <c r="AG291" s="6"/>
    </row>
    <row r="292" ht="14.25" customHeight="1">
      <c r="A292" s="6"/>
      <c r="B292" s="6"/>
      <c r="C292" s="6">
        <v>285.0</v>
      </c>
      <c r="D292" s="6"/>
      <c r="E292" s="6">
        <v>5057286.890372665</v>
      </c>
      <c r="F292" s="6">
        <v>436.7041061276117</v>
      </c>
      <c r="G292" s="6">
        <v>5.740655680284796</v>
      </c>
      <c r="H292" s="6">
        <v>4952811.94516408</v>
      </c>
      <c r="I292" s="6">
        <v>433.95893639823635</v>
      </c>
      <c r="J292" s="6">
        <v>3.7955913652198516</v>
      </c>
      <c r="K292" s="6"/>
      <c r="L292" s="6"/>
      <c r="M292" s="6"/>
      <c r="N292" s="6">
        <f t="shared" ref="N292:P292" si="295">IF(LEN($C292)&gt;0,H292-E292,"")</f>
        <v>-104474.9452</v>
      </c>
      <c r="O292" s="6">
        <f t="shared" si="295"/>
        <v>-2.745169729</v>
      </c>
      <c r="P292" s="6">
        <f t="shared" si="295"/>
        <v>-1.945064315</v>
      </c>
      <c r="Q292" s="6"/>
      <c r="R292" s="6"/>
      <c r="S292" s="6"/>
      <c r="T292" s="6"/>
      <c r="U292" s="6"/>
      <c r="V292" s="6"/>
      <c r="W292" s="6"/>
      <c r="X292" s="6"/>
      <c r="Y292" s="6"/>
      <c r="Z292" s="6"/>
      <c r="AA292" s="6"/>
      <c r="AB292" s="6"/>
      <c r="AC292" s="6"/>
      <c r="AD292" s="6"/>
      <c r="AE292" s="6"/>
      <c r="AF292" s="6"/>
      <c r="AG292" s="6"/>
    </row>
    <row r="293" ht="14.25" customHeight="1">
      <c r="A293" s="6"/>
      <c r="B293" s="6"/>
      <c r="C293" s="6">
        <v>286.0</v>
      </c>
      <c r="D293" s="6"/>
      <c r="E293" s="6">
        <v>7472271.755787242</v>
      </c>
      <c r="F293" s="6">
        <v>494.699972155439</v>
      </c>
      <c r="G293" s="6">
        <v>4.523388850277617</v>
      </c>
      <c r="H293" s="6">
        <v>7300834.8038624395</v>
      </c>
      <c r="I293" s="6">
        <v>488.26695520248603</v>
      </c>
      <c r="J293" s="6">
        <v>3.2377890384255905</v>
      </c>
      <c r="K293" s="6"/>
      <c r="L293" s="6"/>
      <c r="M293" s="6"/>
      <c r="N293" s="6">
        <f t="shared" ref="N293:P293" si="296">IF(LEN($C293)&gt;0,H293-E293,"")</f>
        <v>-171436.9519</v>
      </c>
      <c r="O293" s="6">
        <f t="shared" si="296"/>
        <v>-6.433016953</v>
      </c>
      <c r="P293" s="6">
        <f t="shared" si="296"/>
        <v>-1.285599812</v>
      </c>
      <c r="Q293" s="6"/>
      <c r="R293" s="6"/>
      <c r="S293" s="6"/>
      <c r="T293" s="6"/>
      <c r="U293" s="6"/>
      <c r="V293" s="6"/>
      <c r="W293" s="6"/>
      <c r="X293" s="6"/>
      <c r="Y293" s="6"/>
      <c r="Z293" s="6"/>
      <c r="AA293" s="6"/>
      <c r="AB293" s="6"/>
      <c r="AC293" s="6"/>
      <c r="AD293" s="6"/>
      <c r="AE293" s="6"/>
      <c r="AF293" s="6"/>
      <c r="AG293" s="6"/>
    </row>
    <row r="294" ht="14.25" customHeight="1">
      <c r="A294" s="6"/>
      <c r="B294" s="6"/>
      <c r="C294" s="6">
        <v>287.0</v>
      </c>
      <c r="D294" s="6"/>
      <c r="E294" s="6">
        <v>6709697.412825586</v>
      </c>
      <c r="F294" s="6">
        <v>472.97542812701494</v>
      </c>
      <c r="G294" s="6">
        <v>4.406231136681341</v>
      </c>
      <c r="H294" s="6">
        <v>6612270.565412573</v>
      </c>
      <c r="I294" s="6">
        <v>468.7983728281119</v>
      </c>
      <c r="J294" s="6">
        <v>2.858071141638919</v>
      </c>
      <c r="K294" s="6"/>
      <c r="L294" s="6"/>
      <c r="M294" s="6"/>
      <c r="N294" s="6">
        <f t="shared" ref="N294:P294" si="297">IF(LEN($C294)&gt;0,H294-E294,"")</f>
        <v>-97426.84741</v>
      </c>
      <c r="O294" s="6">
        <f t="shared" si="297"/>
        <v>-4.177055299</v>
      </c>
      <c r="P294" s="6">
        <f t="shared" si="297"/>
        <v>-1.548159995</v>
      </c>
      <c r="Q294" s="6"/>
      <c r="R294" s="6"/>
      <c r="S294" s="6"/>
      <c r="T294" s="6"/>
      <c r="U294" s="6"/>
      <c r="V294" s="6"/>
      <c r="W294" s="6"/>
      <c r="X294" s="6"/>
      <c r="Y294" s="6"/>
      <c r="Z294" s="6"/>
      <c r="AA294" s="6"/>
      <c r="AB294" s="6"/>
      <c r="AC294" s="6"/>
      <c r="AD294" s="6"/>
      <c r="AE294" s="6"/>
      <c r="AF294" s="6"/>
      <c r="AG294" s="6"/>
    </row>
    <row r="295" ht="14.25" customHeight="1">
      <c r="A295" s="6"/>
      <c r="B295" s="6"/>
      <c r="C295" s="6">
        <v>288.0</v>
      </c>
      <c r="D295" s="6"/>
      <c r="E295" s="6">
        <v>7880043.12564702</v>
      </c>
      <c r="F295" s="6">
        <v>466.2092666938239</v>
      </c>
      <c r="G295" s="6">
        <v>4.533117782728427</v>
      </c>
      <c r="H295" s="6">
        <v>7801228.230447649</v>
      </c>
      <c r="I295" s="6">
        <v>462.74895114444615</v>
      </c>
      <c r="J295" s="6">
        <v>3.643532218799583</v>
      </c>
      <c r="K295" s="6"/>
      <c r="L295" s="6"/>
      <c r="M295" s="6"/>
      <c r="N295" s="6">
        <f t="shared" ref="N295:P295" si="298">IF(LEN($C295)&gt;0,H295-E295,"")</f>
        <v>-78814.8952</v>
      </c>
      <c r="O295" s="6">
        <f t="shared" si="298"/>
        <v>-3.460315549</v>
      </c>
      <c r="P295" s="6">
        <f t="shared" si="298"/>
        <v>-0.8895855639</v>
      </c>
      <c r="Q295" s="6"/>
      <c r="R295" s="6"/>
      <c r="S295" s="6"/>
      <c r="T295" s="6"/>
      <c r="U295" s="6"/>
      <c r="V295" s="6"/>
      <c r="W295" s="6"/>
      <c r="X295" s="6"/>
      <c r="Y295" s="6"/>
      <c r="Z295" s="6"/>
      <c r="AA295" s="6"/>
      <c r="AB295" s="6"/>
      <c r="AC295" s="6"/>
      <c r="AD295" s="6"/>
      <c r="AE295" s="6"/>
      <c r="AF295" s="6"/>
      <c r="AG295" s="6"/>
    </row>
    <row r="296" ht="14.25" customHeight="1">
      <c r="A296" s="6"/>
      <c r="B296" s="6"/>
      <c r="C296" s="6">
        <v>289.0</v>
      </c>
      <c r="D296" s="6"/>
      <c r="E296" s="6">
        <v>8190768.3214705</v>
      </c>
      <c r="F296" s="6">
        <v>438.7829740865372</v>
      </c>
      <c r="G296" s="6">
        <v>5.266983051031001</v>
      </c>
      <c r="H296" s="6">
        <v>8132512.20035661</v>
      </c>
      <c r="I296" s="6">
        <v>436.9716379618326</v>
      </c>
      <c r="J296" s="6">
        <v>4.254824116162797</v>
      </c>
      <c r="K296" s="6"/>
      <c r="L296" s="6"/>
      <c r="M296" s="6"/>
      <c r="N296" s="6">
        <f t="shared" ref="N296:P296" si="299">IF(LEN($C296)&gt;0,H296-E296,"")</f>
        <v>-58256.12111</v>
      </c>
      <c r="O296" s="6">
        <f t="shared" si="299"/>
        <v>-1.811336125</v>
      </c>
      <c r="P296" s="6">
        <f t="shared" si="299"/>
        <v>-1.012158935</v>
      </c>
      <c r="Q296" s="6"/>
      <c r="R296" s="6"/>
      <c r="S296" s="6"/>
      <c r="T296" s="6"/>
      <c r="U296" s="6"/>
      <c r="V296" s="6"/>
      <c r="W296" s="6"/>
      <c r="X296" s="6"/>
      <c r="Y296" s="6"/>
      <c r="Z296" s="6"/>
      <c r="AA296" s="6"/>
      <c r="AB296" s="6"/>
      <c r="AC296" s="6"/>
      <c r="AD296" s="6"/>
      <c r="AE296" s="6"/>
      <c r="AF296" s="6"/>
      <c r="AG296" s="6"/>
    </row>
    <row r="297" ht="14.25" customHeight="1">
      <c r="A297" s="6"/>
      <c r="B297" s="6"/>
      <c r="C297" s="6">
        <v>290.0</v>
      </c>
      <c r="D297" s="6"/>
      <c r="E297" s="6">
        <v>8017395.033788284</v>
      </c>
      <c r="F297" s="6">
        <v>492.63473183929847</v>
      </c>
      <c r="G297" s="6">
        <v>5.832533307655099</v>
      </c>
      <c r="H297" s="6">
        <v>7923511.116848549</v>
      </c>
      <c r="I297" s="6">
        <v>488.94522351869506</v>
      </c>
      <c r="J297" s="6">
        <v>4.908321248624418</v>
      </c>
      <c r="K297" s="6"/>
      <c r="L297" s="6"/>
      <c r="M297" s="6"/>
      <c r="N297" s="6">
        <f t="shared" ref="N297:P297" si="300">IF(LEN($C297)&gt;0,H297-E297,"")</f>
        <v>-93883.91694</v>
      </c>
      <c r="O297" s="6">
        <f t="shared" si="300"/>
        <v>-3.689508321</v>
      </c>
      <c r="P297" s="6">
        <f t="shared" si="300"/>
        <v>-0.924212059</v>
      </c>
      <c r="Q297" s="6"/>
      <c r="R297" s="6"/>
      <c r="S297" s="6"/>
      <c r="T297" s="6"/>
      <c r="U297" s="6"/>
      <c r="V297" s="6"/>
      <c r="W297" s="6"/>
      <c r="X297" s="6"/>
      <c r="Y297" s="6"/>
      <c r="Z297" s="6"/>
      <c r="AA297" s="6"/>
      <c r="AB297" s="6"/>
      <c r="AC297" s="6"/>
      <c r="AD297" s="6"/>
      <c r="AE297" s="6"/>
      <c r="AF297" s="6"/>
      <c r="AG297" s="6"/>
    </row>
    <row r="298" ht="14.25" customHeight="1">
      <c r="A298" s="6"/>
      <c r="B298" s="6"/>
      <c r="C298" s="6">
        <v>291.0</v>
      </c>
      <c r="D298" s="6"/>
      <c r="E298" s="6">
        <v>1.082153967585462E7</v>
      </c>
      <c r="F298" s="6">
        <v>464.8830964284689</v>
      </c>
      <c r="G298" s="6">
        <v>5.422132706184292</v>
      </c>
      <c r="H298" s="6">
        <v>1.0703331595944457E7</v>
      </c>
      <c r="I298" s="6">
        <v>461.601920884235</v>
      </c>
      <c r="J298" s="6">
        <v>4.299442463213507</v>
      </c>
      <c r="K298" s="6"/>
      <c r="L298" s="6"/>
      <c r="M298" s="6"/>
      <c r="N298" s="6">
        <f t="shared" ref="N298:P298" si="301">IF(LEN($C298)&gt;0,H298-E298,"")</f>
        <v>-118208.0799</v>
      </c>
      <c r="O298" s="6">
        <f t="shared" si="301"/>
        <v>-3.281175544</v>
      </c>
      <c r="P298" s="6">
        <f t="shared" si="301"/>
        <v>-1.122690243</v>
      </c>
      <c r="Q298" s="6"/>
      <c r="R298" s="6"/>
      <c r="S298" s="6"/>
      <c r="T298" s="6"/>
      <c r="U298" s="6"/>
      <c r="V298" s="6"/>
      <c r="W298" s="6"/>
      <c r="X298" s="6"/>
      <c r="Y298" s="6"/>
      <c r="Z298" s="6"/>
      <c r="AA298" s="6"/>
      <c r="AB298" s="6"/>
      <c r="AC298" s="6"/>
      <c r="AD298" s="6"/>
      <c r="AE298" s="6"/>
      <c r="AF298" s="6"/>
      <c r="AG298" s="6"/>
    </row>
    <row r="299" ht="14.25" customHeight="1">
      <c r="A299" s="6"/>
      <c r="B299" s="6"/>
      <c r="C299" s="6">
        <v>292.0</v>
      </c>
      <c r="D299" s="6"/>
      <c r="E299" s="6">
        <v>8668038.787338119</v>
      </c>
      <c r="F299" s="6">
        <v>435.4654354319419</v>
      </c>
      <c r="G299" s="6">
        <v>3.7675749897141966</v>
      </c>
      <c r="H299" s="6">
        <v>8578797.608654447</v>
      </c>
      <c r="I299" s="6">
        <v>432.2988765970526</v>
      </c>
      <c r="J299" s="6">
        <v>2.7527244637292956</v>
      </c>
      <c r="K299" s="6"/>
      <c r="L299" s="6"/>
      <c r="M299" s="6"/>
      <c r="N299" s="6">
        <f t="shared" ref="N299:P299" si="302">IF(LEN($C299)&gt;0,H299-E299,"")</f>
        <v>-89241.17868</v>
      </c>
      <c r="O299" s="6">
        <f t="shared" si="302"/>
        <v>-3.166558835</v>
      </c>
      <c r="P299" s="6">
        <f t="shared" si="302"/>
        <v>-1.014850526</v>
      </c>
      <c r="Q299" s="6"/>
      <c r="R299" s="6"/>
      <c r="S299" s="6"/>
      <c r="T299" s="6"/>
      <c r="U299" s="6"/>
      <c r="V299" s="6"/>
      <c r="W299" s="6"/>
      <c r="X299" s="6"/>
      <c r="Y299" s="6"/>
      <c r="Z299" s="6"/>
      <c r="AA299" s="6"/>
      <c r="AB299" s="6"/>
      <c r="AC299" s="6"/>
      <c r="AD299" s="6"/>
      <c r="AE299" s="6"/>
      <c r="AF299" s="6"/>
      <c r="AG299" s="6"/>
    </row>
    <row r="300" ht="14.25" customHeight="1">
      <c r="A300" s="6"/>
      <c r="B300" s="6"/>
      <c r="C300" s="6">
        <v>293.0</v>
      </c>
      <c r="D300" s="6"/>
      <c r="E300" s="6">
        <v>5849860.536449063</v>
      </c>
      <c r="F300" s="6">
        <v>483.81276839479835</v>
      </c>
      <c r="G300" s="6">
        <v>5.811236326670073</v>
      </c>
      <c r="H300" s="6">
        <v>5819319.3105197875</v>
      </c>
      <c r="I300" s="6">
        <v>482.7329787714569</v>
      </c>
      <c r="J300" s="6">
        <v>5.143352187712541</v>
      </c>
      <c r="K300" s="6"/>
      <c r="L300" s="6"/>
      <c r="M300" s="6"/>
      <c r="N300" s="6">
        <f t="shared" ref="N300:P300" si="303">IF(LEN($C300)&gt;0,H300-E300,"")</f>
        <v>-30541.22593</v>
      </c>
      <c r="O300" s="6">
        <f t="shared" si="303"/>
        <v>-1.079789623</v>
      </c>
      <c r="P300" s="6">
        <f t="shared" si="303"/>
        <v>-0.667884139</v>
      </c>
      <c r="Q300" s="6"/>
      <c r="R300" s="6"/>
      <c r="S300" s="6"/>
      <c r="T300" s="6"/>
      <c r="U300" s="6"/>
      <c r="V300" s="6"/>
      <c r="W300" s="6"/>
      <c r="X300" s="6"/>
      <c r="Y300" s="6"/>
      <c r="Z300" s="6"/>
      <c r="AA300" s="6"/>
      <c r="AB300" s="6"/>
      <c r="AC300" s="6"/>
      <c r="AD300" s="6"/>
      <c r="AE300" s="6"/>
      <c r="AF300" s="6"/>
      <c r="AG300" s="6"/>
    </row>
    <row r="301" ht="14.25" customHeight="1">
      <c r="A301" s="6"/>
      <c r="B301" s="6"/>
      <c r="C301" s="6">
        <v>294.0</v>
      </c>
      <c r="D301" s="6"/>
      <c r="E301" s="6">
        <v>7911359.449894832</v>
      </c>
      <c r="F301" s="6">
        <v>470.96991381057205</v>
      </c>
      <c r="G301" s="6">
        <v>4.406037600452862</v>
      </c>
      <c r="H301" s="6">
        <v>7826901.11394789</v>
      </c>
      <c r="I301" s="6">
        <v>467.450535331115</v>
      </c>
      <c r="J301" s="6">
        <v>3.35457563750044</v>
      </c>
      <c r="K301" s="6"/>
      <c r="L301" s="6"/>
      <c r="M301" s="6"/>
      <c r="N301" s="6">
        <f t="shared" ref="N301:P301" si="304">IF(LEN($C301)&gt;0,H301-E301,"")</f>
        <v>-84458.33595</v>
      </c>
      <c r="O301" s="6">
        <f t="shared" si="304"/>
        <v>-3.519378479</v>
      </c>
      <c r="P301" s="6">
        <f t="shared" si="304"/>
        <v>-1.051461963</v>
      </c>
      <c r="Q301" s="6"/>
      <c r="R301" s="6"/>
      <c r="S301" s="6"/>
      <c r="T301" s="6"/>
      <c r="U301" s="6"/>
      <c r="V301" s="6"/>
      <c r="W301" s="6"/>
      <c r="X301" s="6"/>
      <c r="Y301" s="6"/>
      <c r="Z301" s="6"/>
      <c r="AA301" s="6"/>
      <c r="AB301" s="6"/>
      <c r="AC301" s="6"/>
      <c r="AD301" s="6"/>
      <c r="AE301" s="6"/>
      <c r="AF301" s="6"/>
      <c r="AG301" s="6"/>
    </row>
    <row r="302" ht="14.25" customHeight="1">
      <c r="A302" s="6"/>
      <c r="B302" s="6"/>
      <c r="C302" s="6">
        <v>295.0</v>
      </c>
      <c r="D302" s="6"/>
      <c r="E302" s="6">
        <v>6086066.5344427</v>
      </c>
      <c r="F302" s="6">
        <v>488.5296647804187</v>
      </c>
      <c r="G302" s="6">
        <v>6.099908023642834</v>
      </c>
      <c r="H302" s="6">
        <v>6011526.256764019</v>
      </c>
      <c r="I302" s="6">
        <v>486.41238659668716</v>
      </c>
      <c r="J302" s="6">
        <v>4.8877663819008</v>
      </c>
      <c r="K302" s="6"/>
      <c r="L302" s="6"/>
      <c r="M302" s="6"/>
      <c r="N302" s="6">
        <f t="shared" ref="N302:P302" si="305">IF(LEN($C302)&gt;0,H302-E302,"")</f>
        <v>-74540.27768</v>
      </c>
      <c r="O302" s="6">
        <f t="shared" si="305"/>
        <v>-2.117278184</v>
      </c>
      <c r="P302" s="6">
        <f t="shared" si="305"/>
        <v>-1.212141642</v>
      </c>
      <c r="Q302" s="6"/>
      <c r="R302" s="6"/>
      <c r="S302" s="6"/>
      <c r="T302" s="6"/>
      <c r="U302" s="6"/>
      <c r="V302" s="6"/>
      <c r="W302" s="6"/>
      <c r="X302" s="6"/>
      <c r="Y302" s="6"/>
      <c r="Z302" s="6"/>
      <c r="AA302" s="6"/>
      <c r="AB302" s="6"/>
      <c r="AC302" s="6"/>
      <c r="AD302" s="6"/>
      <c r="AE302" s="6"/>
      <c r="AF302" s="6"/>
      <c r="AG302" s="6"/>
    </row>
    <row r="303" ht="14.25" customHeight="1">
      <c r="A303" s="6"/>
      <c r="B303" s="6"/>
      <c r="C303" s="6">
        <v>296.0</v>
      </c>
      <c r="D303" s="6"/>
      <c r="E303" s="6">
        <v>7793534.037244622</v>
      </c>
      <c r="F303" s="6">
        <v>461.37755131184093</v>
      </c>
      <c r="G303" s="6">
        <v>4.731051395829136</v>
      </c>
      <c r="H303" s="6">
        <v>7699982.191846208</v>
      </c>
      <c r="I303" s="6">
        <v>457.34058008278413</v>
      </c>
      <c r="J303" s="6">
        <v>3.7958055515074727</v>
      </c>
      <c r="K303" s="6"/>
      <c r="L303" s="6"/>
      <c r="M303" s="6"/>
      <c r="N303" s="6">
        <f t="shared" ref="N303:P303" si="306">IF(LEN($C303)&gt;0,H303-E303,"")</f>
        <v>-93551.8454</v>
      </c>
      <c r="O303" s="6">
        <f t="shared" si="306"/>
        <v>-4.036971229</v>
      </c>
      <c r="P303" s="6">
        <f t="shared" si="306"/>
        <v>-0.9352458443</v>
      </c>
      <c r="Q303" s="6"/>
      <c r="R303" s="6"/>
      <c r="S303" s="6"/>
      <c r="T303" s="6"/>
      <c r="U303" s="6"/>
      <c r="V303" s="6"/>
      <c r="W303" s="6"/>
      <c r="X303" s="6"/>
      <c r="Y303" s="6"/>
      <c r="Z303" s="6"/>
      <c r="AA303" s="6"/>
      <c r="AB303" s="6"/>
      <c r="AC303" s="6"/>
      <c r="AD303" s="6"/>
      <c r="AE303" s="6"/>
      <c r="AF303" s="6"/>
      <c r="AG303" s="6"/>
    </row>
    <row r="304" ht="14.25" customHeight="1">
      <c r="A304" s="6"/>
      <c r="B304" s="6"/>
      <c r="C304" s="6">
        <v>297.0</v>
      </c>
      <c r="D304" s="6"/>
      <c r="E304" s="6">
        <v>8639498.833013255</v>
      </c>
      <c r="F304" s="6">
        <v>482.89361209464766</v>
      </c>
      <c r="G304" s="6">
        <v>5.349236487096812</v>
      </c>
      <c r="H304" s="6">
        <v>8446840.982818596</v>
      </c>
      <c r="I304" s="6">
        <v>476.09897748512714</v>
      </c>
      <c r="J304" s="6">
        <v>3.9043331687415765</v>
      </c>
      <c r="K304" s="6"/>
      <c r="L304" s="6"/>
      <c r="M304" s="6"/>
      <c r="N304" s="6">
        <f t="shared" ref="N304:P304" si="307">IF(LEN($C304)&gt;0,H304-E304,"")</f>
        <v>-192657.8502</v>
      </c>
      <c r="O304" s="6">
        <f t="shared" si="307"/>
        <v>-6.79463461</v>
      </c>
      <c r="P304" s="6">
        <f t="shared" si="307"/>
        <v>-1.444903318</v>
      </c>
      <c r="Q304" s="6"/>
      <c r="R304" s="6"/>
      <c r="S304" s="6"/>
      <c r="T304" s="6"/>
      <c r="U304" s="6"/>
      <c r="V304" s="6"/>
      <c r="W304" s="6"/>
      <c r="X304" s="6"/>
      <c r="Y304" s="6"/>
      <c r="Z304" s="6"/>
      <c r="AA304" s="6"/>
      <c r="AB304" s="6"/>
      <c r="AC304" s="6"/>
      <c r="AD304" s="6"/>
      <c r="AE304" s="6"/>
      <c r="AF304" s="6"/>
      <c r="AG304" s="6"/>
    </row>
    <row r="305" ht="14.25" customHeight="1">
      <c r="A305" s="6"/>
      <c r="B305" s="6"/>
      <c r="C305" s="6">
        <v>298.0</v>
      </c>
      <c r="D305" s="6"/>
      <c r="E305" s="6">
        <v>9670795.011604108</v>
      </c>
      <c r="F305" s="6">
        <v>463.6152574041736</v>
      </c>
      <c r="G305" s="6">
        <v>5.035721369220831</v>
      </c>
      <c r="H305" s="6">
        <v>9571089.427907122</v>
      </c>
      <c r="I305" s="6">
        <v>460.6231338348991</v>
      </c>
      <c r="J305" s="6">
        <v>4.1000734131142345</v>
      </c>
      <c r="K305" s="6"/>
      <c r="L305" s="6"/>
      <c r="M305" s="6"/>
      <c r="N305" s="6">
        <f t="shared" ref="N305:P305" si="308">IF(LEN($C305)&gt;0,H305-E305,"")</f>
        <v>-99705.5837</v>
      </c>
      <c r="O305" s="6">
        <f t="shared" si="308"/>
        <v>-2.992123569</v>
      </c>
      <c r="P305" s="6">
        <f t="shared" si="308"/>
        <v>-0.9356479561</v>
      </c>
      <c r="Q305" s="6"/>
      <c r="R305" s="6"/>
      <c r="S305" s="6"/>
      <c r="T305" s="6"/>
      <c r="U305" s="6"/>
      <c r="V305" s="6"/>
      <c r="W305" s="6"/>
      <c r="X305" s="6"/>
      <c r="Y305" s="6"/>
      <c r="Z305" s="6"/>
      <c r="AA305" s="6"/>
      <c r="AB305" s="6"/>
      <c r="AC305" s="6"/>
      <c r="AD305" s="6"/>
      <c r="AE305" s="6"/>
      <c r="AF305" s="6"/>
      <c r="AG305" s="6"/>
    </row>
    <row r="306" ht="14.25" customHeight="1">
      <c r="A306" s="6"/>
      <c r="B306" s="6"/>
      <c r="C306" s="6">
        <v>299.0</v>
      </c>
      <c r="D306" s="6"/>
      <c r="E306" s="6">
        <v>5509868.224787471</v>
      </c>
      <c r="F306" s="6">
        <v>446.18273567852304</v>
      </c>
      <c r="G306" s="6">
        <v>5.424260575224431</v>
      </c>
      <c r="H306" s="6">
        <v>5422698.845421489</v>
      </c>
      <c r="I306" s="6">
        <v>443.3500065468328</v>
      </c>
      <c r="J306" s="6">
        <v>3.7241858194404296</v>
      </c>
      <c r="K306" s="6"/>
      <c r="L306" s="6"/>
      <c r="M306" s="6"/>
      <c r="N306" s="6">
        <f t="shared" ref="N306:P306" si="309">IF(LEN($C306)&gt;0,H306-E306,"")</f>
        <v>-87169.37937</v>
      </c>
      <c r="O306" s="6">
        <f t="shared" si="309"/>
        <v>-2.832729132</v>
      </c>
      <c r="P306" s="6">
        <f t="shared" si="309"/>
        <v>-1.700074756</v>
      </c>
      <c r="Q306" s="6"/>
      <c r="R306" s="6"/>
      <c r="S306" s="6"/>
      <c r="T306" s="6"/>
      <c r="U306" s="6"/>
      <c r="V306" s="6"/>
      <c r="W306" s="6"/>
      <c r="X306" s="6"/>
      <c r="Y306" s="6"/>
      <c r="Z306" s="6"/>
      <c r="AA306" s="6"/>
      <c r="AB306" s="6"/>
      <c r="AC306" s="6"/>
      <c r="AD306" s="6"/>
      <c r="AE306" s="6"/>
      <c r="AF306" s="6"/>
      <c r="AG306" s="6"/>
    </row>
    <row r="307" ht="14.25" customHeight="1">
      <c r="A307" s="6"/>
      <c r="B307" s="6"/>
      <c r="C307" s="6">
        <v>300.0</v>
      </c>
      <c r="D307" s="6"/>
      <c r="E307" s="6">
        <v>6272902.24415126</v>
      </c>
      <c r="F307" s="6">
        <v>450.1661638448012</v>
      </c>
      <c r="G307" s="6">
        <v>6.456094426903943</v>
      </c>
      <c r="H307" s="6">
        <v>6142909.013404355</v>
      </c>
      <c r="I307" s="6">
        <v>444.725720610489</v>
      </c>
      <c r="J307" s="6">
        <v>4.9020965195958555</v>
      </c>
      <c r="K307" s="6"/>
      <c r="L307" s="6"/>
      <c r="M307" s="6"/>
      <c r="N307" s="6">
        <f t="shared" ref="N307:P307" si="310">IF(LEN($C307)&gt;0,H307-E307,"")</f>
        <v>-129993.2307</v>
      </c>
      <c r="O307" s="6">
        <f t="shared" si="310"/>
        <v>-5.440443234</v>
      </c>
      <c r="P307" s="6">
        <f t="shared" si="310"/>
        <v>-1.553997907</v>
      </c>
      <c r="Q307" s="6"/>
      <c r="R307" s="6"/>
      <c r="S307" s="6"/>
      <c r="T307" s="6"/>
      <c r="U307" s="6"/>
      <c r="V307" s="6"/>
      <c r="W307" s="6"/>
      <c r="X307" s="6"/>
      <c r="Y307" s="6"/>
      <c r="Z307" s="6"/>
      <c r="AA307" s="6"/>
      <c r="AB307" s="6"/>
      <c r="AC307" s="6"/>
      <c r="AD307" s="6"/>
      <c r="AE307" s="6"/>
      <c r="AF307" s="6"/>
      <c r="AG307" s="6"/>
    </row>
    <row r="308" ht="14.25" customHeight="1">
      <c r="A308" s="6"/>
      <c r="B308" s="6"/>
      <c r="C308" s="6">
        <v>301.0</v>
      </c>
      <c r="D308" s="6"/>
      <c r="E308" s="6">
        <v>7862217.702393352</v>
      </c>
      <c r="F308" s="6">
        <v>488.73060630142044</v>
      </c>
      <c r="G308" s="6">
        <v>5.345956410912047</v>
      </c>
      <c r="H308" s="6">
        <v>7755411.125465745</v>
      </c>
      <c r="I308" s="6">
        <v>484.9621553085014</v>
      </c>
      <c r="J308" s="6">
        <v>3.781450176199848</v>
      </c>
      <c r="K308" s="6"/>
      <c r="L308" s="6"/>
      <c r="M308" s="6"/>
      <c r="N308" s="6">
        <f t="shared" ref="N308:P308" si="311">IF(LEN($C308)&gt;0,H308-E308,"")</f>
        <v>-106806.5769</v>
      </c>
      <c r="O308" s="6">
        <f t="shared" si="311"/>
        <v>-3.768450993</v>
      </c>
      <c r="P308" s="6">
        <f t="shared" si="311"/>
        <v>-1.564506235</v>
      </c>
      <c r="Q308" s="6"/>
      <c r="R308" s="6"/>
      <c r="S308" s="6"/>
      <c r="T308" s="6"/>
      <c r="U308" s="6"/>
      <c r="V308" s="6"/>
      <c r="W308" s="6"/>
      <c r="X308" s="6"/>
      <c r="Y308" s="6"/>
      <c r="Z308" s="6"/>
      <c r="AA308" s="6"/>
      <c r="AB308" s="6"/>
      <c r="AC308" s="6"/>
      <c r="AD308" s="6"/>
      <c r="AE308" s="6"/>
      <c r="AF308" s="6"/>
      <c r="AG308" s="6"/>
    </row>
    <row r="309" ht="14.25" customHeight="1">
      <c r="A309" s="6"/>
      <c r="B309" s="6"/>
      <c r="C309" s="6">
        <v>302.0</v>
      </c>
      <c r="D309" s="6"/>
      <c r="E309" s="6">
        <v>7379302.102321742</v>
      </c>
      <c r="F309" s="6">
        <v>479.18517475495446</v>
      </c>
      <c r="G309" s="6">
        <v>5.885588981867041</v>
      </c>
      <c r="H309" s="6">
        <v>7285973.346785316</v>
      </c>
      <c r="I309" s="6">
        <v>475.8601454582962</v>
      </c>
      <c r="J309" s="6">
        <v>4.255953407125679</v>
      </c>
      <c r="K309" s="6"/>
      <c r="L309" s="6"/>
      <c r="M309" s="6"/>
      <c r="N309" s="6">
        <f t="shared" ref="N309:P309" si="312">IF(LEN($C309)&gt;0,H309-E309,"")</f>
        <v>-93328.75554</v>
      </c>
      <c r="O309" s="6">
        <f t="shared" si="312"/>
        <v>-3.325029297</v>
      </c>
      <c r="P309" s="6">
        <f t="shared" si="312"/>
        <v>-1.629635575</v>
      </c>
      <c r="Q309" s="6"/>
      <c r="R309" s="6"/>
      <c r="S309" s="6"/>
      <c r="T309" s="6"/>
      <c r="U309" s="6"/>
      <c r="V309" s="6"/>
      <c r="W309" s="6"/>
      <c r="X309" s="6"/>
      <c r="Y309" s="6"/>
      <c r="Z309" s="6"/>
      <c r="AA309" s="6"/>
      <c r="AB309" s="6"/>
      <c r="AC309" s="6"/>
      <c r="AD309" s="6"/>
      <c r="AE309" s="6"/>
      <c r="AF309" s="6"/>
      <c r="AG309" s="6"/>
    </row>
    <row r="310" ht="14.25" customHeight="1">
      <c r="A310" s="6"/>
      <c r="B310" s="6"/>
      <c r="C310" s="6">
        <v>303.0</v>
      </c>
      <c r="D310" s="6"/>
      <c r="E310" s="6">
        <v>7928804.409517976</v>
      </c>
      <c r="F310" s="6">
        <v>484.51152883289194</v>
      </c>
      <c r="G310" s="6">
        <v>5.8664094611040065</v>
      </c>
      <c r="H310" s="6">
        <v>7801199.982817312</v>
      </c>
      <c r="I310" s="6">
        <v>479.2062160712087</v>
      </c>
      <c r="J310" s="6">
        <v>4.002383847183075</v>
      </c>
      <c r="K310" s="6"/>
      <c r="L310" s="6"/>
      <c r="M310" s="6"/>
      <c r="N310" s="6">
        <f t="shared" ref="N310:P310" si="313">IF(LEN($C310)&gt;0,H310-E310,"")</f>
        <v>-127604.4267</v>
      </c>
      <c r="O310" s="6">
        <f t="shared" si="313"/>
        <v>-5.305312762</v>
      </c>
      <c r="P310" s="6">
        <f t="shared" si="313"/>
        <v>-1.864025614</v>
      </c>
      <c r="Q310" s="6"/>
      <c r="R310" s="6"/>
      <c r="S310" s="6"/>
      <c r="T310" s="6"/>
      <c r="U310" s="6"/>
      <c r="V310" s="6"/>
      <c r="W310" s="6"/>
      <c r="X310" s="6"/>
      <c r="Y310" s="6"/>
      <c r="Z310" s="6"/>
      <c r="AA310" s="6"/>
      <c r="AB310" s="6"/>
      <c r="AC310" s="6"/>
      <c r="AD310" s="6"/>
      <c r="AE310" s="6"/>
      <c r="AF310" s="6"/>
      <c r="AG310" s="6"/>
    </row>
    <row r="311" ht="14.25" customHeight="1">
      <c r="A311" s="6"/>
      <c r="B311" s="6"/>
      <c r="C311" s="6">
        <v>304.0</v>
      </c>
      <c r="D311" s="6"/>
      <c r="E311" s="6">
        <v>5877701.616798306</v>
      </c>
      <c r="F311" s="6">
        <v>445.6573294188252</v>
      </c>
      <c r="G311" s="6">
        <v>3.852753708804302</v>
      </c>
      <c r="H311" s="6">
        <v>5814090.030358658</v>
      </c>
      <c r="I311" s="6">
        <v>442.1799792664051</v>
      </c>
      <c r="J311" s="6">
        <v>2.9109741191765828</v>
      </c>
      <c r="K311" s="6"/>
      <c r="L311" s="6"/>
      <c r="M311" s="6"/>
      <c r="N311" s="6">
        <f t="shared" ref="N311:P311" si="314">IF(LEN($C311)&gt;0,H311-E311,"")</f>
        <v>-63611.58644</v>
      </c>
      <c r="O311" s="6">
        <f t="shared" si="314"/>
        <v>-3.477350152</v>
      </c>
      <c r="P311" s="6">
        <f t="shared" si="314"/>
        <v>-0.9417795896</v>
      </c>
      <c r="Q311" s="6"/>
      <c r="R311" s="6"/>
      <c r="S311" s="6"/>
      <c r="T311" s="6"/>
      <c r="U311" s="6"/>
      <c r="V311" s="6"/>
      <c r="W311" s="6"/>
      <c r="X311" s="6"/>
      <c r="Y311" s="6"/>
      <c r="Z311" s="6"/>
      <c r="AA311" s="6"/>
      <c r="AB311" s="6"/>
      <c r="AC311" s="6"/>
      <c r="AD311" s="6"/>
      <c r="AE311" s="6"/>
      <c r="AF311" s="6"/>
      <c r="AG311" s="6"/>
    </row>
    <row r="312" ht="14.25" customHeight="1">
      <c r="A312" s="6"/>
      <c r="B312" s="6"/>
      <c r="C312" s="6">
        <v>305.0</v>
      </c>
      <c r="D312" s="6"/>
      <c r="E312" s="6">
        <v>1.028644272471294E7</v>
      </c>
      <c r="F312" s="6">
        <v>494.4911652728998</v>
      </c>
      <c r="G312" s="6">
        <v>5.089005310119288</v>
      </c>
      <c r="H312" s="6">
        <v>1.0248884245365335E7</v>
      </c>
      <c r="I312" s="6">
        <v>493.0455765585152</v>
      </c>
      <c r="J312" s="6">
        <v>4.859654605296939</v>
      </c>
      <c r="K312" s="6"/>
      <c r="L312" s="6"/>
      <c r="M312" s="6"/>
      <c r="N312" s="6">
        <f t="shared" ref="N312:P312" si="315">IF(LEN($C312)&gt;0,H312-E312,"")</f>
        <v>-37558.47935</v>
      </c>
      <c r="O312" s="6">
        <f t="shared" si="315"/>
        <v>-1.445588714</v>
      </c>
      <c r="P312" s="6">
        <f t="shared" si="315"/>
        <v>-0.2293507048</v>
      </c>
      <c r="Q312" s="6"/>
      <c r="R312" s="6"/>
      <c r="S312" s="6"/>
      <c r="T312" s="6"/>
      <c r="U312" s="6"/>
      <c r="V312" s="6"/>
      <c r="W312" s="6"/>
      <c r="X312" s="6"/>
      <c r="Y312" s="6"/>
      <c r="Z312" s="6"/>
      <c r="AA312" s="6"/>
      <c r="AB312" s="6"/>
      <c r="AC312" s="6"/>
      <c r="AD312" s="6"/>
      <c r="AE312" s="6"/>
      <c r="AF312" s="6"/>
      <c r="AG312" s="6"/>
    </row>
    <row r="313" ht="14.25" customHeight="1">
      <c r="A313" s="6"/>
      <c r="B313" s="6"/>
      <c r="C313" s="6">
        <v>306.0</v>
      </c>
      <c r="D313" s="6"/>
      <c r="E313" s="6">
        <v>8477476.770323815</v>
      </c>
      <c r="F313" s="6">
        <v>483.70554751885237</v>
      </c>
      <c r="G313" s="6">
        <v>5.692997342795454</v>
      </c>
      <c r="H313" s="6">
        <v>8227100.780562045</v>
      </c>
      <c r="I313" s="6">
        <v>476.0909915448893</v>
      </c>
      <c r="J313" s="6">
        <v>3.8299118461306567</v>
      </c>
      <c r="K313" s="6"/>
      <c r="L313" s="6"/>
      <c r="M313" s="6"/>
      <c r="N313" s="6">
        <f t="shared" ref="N313:P313" si="316">IF(LEN($C313)&gt;0,H313-E313,"")</f>
        <v>-250375.9898</v>
      </c>
      <c r="O313" s="6">
        <f t="shared" si="316"/>
        <v>-7.614555974</v>
      </c>
      <c r="P313" s="6">
        <f t="shared" si="316"/>
        <v>-1.863085497</v>
      </c>
      <c r="Q313" s="6"/>
      <c r="R313" s="6"/>
      <c r="S313" s="6"/>
      <c r="T313" s="6"/>
      <c r="U313" s="6"/>
      <c r="V313" s="6"/>
      <c r="W313" s="6"/>
      <c r="X313" s="6"/>
      <c r="Y313" s="6"/>
      <c r="Z313" s="6"/>
      <c r="AA313" s="6"/>
      <c r="AB313" s="6"/>
      <c r="AC313" s="6"/>
      <c r="AD313" s="6"/>
      <c r="AE313" s="6"/>
      <c r="AF313" s="6"/>
      <c r="AG313" s="6"/>
    </row>
    <row r="314" ht="14.25" customHeight="1">
      <c r="A314" s="6"/>
      <c r="B314" s="6"/>
      <c r="C314" s="6">
        <v>307.0</v>
      </c>
      <c r="D314" s="6"/>
      <c r="E314" s="6">
        <v>5667475.255393475</v>
      </c>
      <c r="F314" s="6">
        <v>435.5609555012627</v>
      </c>
      <c r="G314" s="6">
        <v>5.365363708782238</v>
      </c>
      <c r="H314" s="6">
        <v>5547954.342377735</v>
      </c>
      <c r="I314" s="6">
        <v>431.1373030617331</v>
      </c>
      <c r="J314" s="6">
        <v>3.7877906595490747</v>
      </c>
      <c r="K314" s="6"/>
      <c r="L314" s="6"/>
      <c r="M314" s="6"/>
      <c r="N314" s="6">
        <f t="shared" ref="N314:P314" si="317">IF(LEN($C314)&gt;0,H314-E314,"")</f>
        <v>-119520.913</v>
      </c>
      <c r="O314" s="6">
        <f t="shared" si="317"/>
        <v>-4.42365244</v>
      </c>
      <c r="P314" s="6">
        <f t="shared" si="317"/>
        <v>-1.577573049</v>
      </c>
      <c r="Q314" s="6"/>
      <c r="R314" s="6"/>
      <c r="S314" s="6"/>
      <c r="T314" s="6"/>
      <c r="U314" s="6"/>
      <c r="V314" s="6"/>
      <c r="W314" s="6"/>
      <c r="X314" s="6"/>
      <c r="Y314" s="6"/>
      <c r="Z314" s="6"/>
      <c r="AA314" s="6"/>
      <c r="AB314" s="6"/>
      <c r="AC314" s="6"/>
      <c r="AD314" s="6"/>
      <c r="AE314" s="6"/>
      <c r="AF314" s="6"/>
      <c r="AG314" s="6"/>
    </row>
    <row r="315" ht="14.25" customHeight="1">
      <c r="A315" s="6"/>
      <c r="B315" s="6"/>
      <c r="C315" s="6">
        <v>308.0</v>
      </c>
      <c r="D315" s="6"/>
      <c r="E315" s="6">
        <v>6521274.596995695</v>
      </c>
      <c r="F315" s="6">
        <v>461.25763909729454</v>
      </c>
      <c r="G315" s="6">
        <v>5.436662401107985</v>
      </c>
      <c r="H315" s="6">
        <v>6450891.440876218</v>
      </c>
      <c r="I315" s="6">
        <v>458.76017055929833</v>
      </c>
      <c r="J315" s="6">
        <v>4.468082898183073</v>
      </c>
      <c r="K315" s="6"/>
      <c r="L315" s="6"/>
      <c r="M315" s="6"/>
      <c r="N315" s="6">
        <f t="shared" ref="N315:P315" si="318">IF(LEN($C315)&gt;0,H315-E315,"")</f>
        <v>-70383.15612</v>
      </c>
      <c r="O315" s="6">
        <f t="shared" si="318"/>
        <v>-2.497468538</v>
      </c>
      <c r="P315" s="6">
        <f t="shared" si="318"/>
        <v>-0.9685795029</v>
      </c>
      <c r="Q315" s="6"/>
      <c r="R315" s="6"/>
      <c r="S315" s="6"/>
      <c r="T315" s="6"/>
      <c r="U315" s="6"/>
      <c r="V315" s="6"/>
      <c r="W315" s="6"/>
      <c r="X315" s="6"/>
      <c r="Y315" s="6"/>
      <c r="Z315" s="6"/>
      <c r="AA315" s="6"/>
      <c r="AB315" s="6"/>
      <c r="AC315" s="6"/>
      <c r="AD315" s="6"/>
      <c r="AE315" s="6"/>
      <c r="AF315" s="6"/>
      <c r="AG315" s="6"/>
    </row>
    <row r="316" ht="14.25" customHeight="1">
      <c r="A316" s="6"/>
      <c r="B316" s="6"/>
      <c r="C316" s="6">
        <v>309.0</v>
      </c>
      <c r="D316" s="6"/>
      <c r="E316" s="6">
        <v>8222077.492527927</v>
      </c>
      <c r="F316" s="6">
        <v>443.9539826075792</v>
      </c>
      <c r="G316" s="6">
        <v>5.884989829007502</v>
      </c>
      <c r="H316" s="6">
        <v>8035293.757352402</v>
      </c>
      <c r="I316" s="6">
        <v>436.10374986064824</v>
      </c>
      <c r="J316" s="6">
        <v>4.093125292572597</v>
      </c>
      <c r="K316" s="6"/>
      <c r="L316" s="6"/>
      <c r="M316" s="6"/>
      <c r="N316" s="6">
        <f t="shared" ref="N316:P316" si="319">IF(LEN($C316)&gt;0,H316-E316,"")</f>
        <v>-186783.7352</v>
      </c>
      <c r="O316" s="6">
        <f t="shared" si="319"/>
        <v>-7.850232747</v>
      </c>
      <c r="P316" s="6">
        <f t="shared" si="319"/>
        <v>-1.791864536</v>
      </c>
      <c r="Q316" s="6"/>
      <c r="R316" s="6"/>
      <c r="S316" s="6"/>
      <c r="T316" s="6"/>
      <c r="U316" s="6"/>
      <c r="V316" s="6"/>
      <c r="W316" s="6"/>
      <c r="X316" s="6"/>
      <c r="Y316" s="6"/>
      <c r="Z316" s="6"/>
      <c r="AA316" s="6"/>
      <c r="AB316" s="6"/>
      <c r="AC316" s="6"/>
      <c r="AD316" s="6"/>
      <c r="AE316" s="6"/>
      <c r="AF316" s="6"/>
      <c r="AG316" s="6"/>
    </row>
    <row r="317" ht="14.25" customHeight="1">
      <c r="A317" s="6"/>
      <c r="B317" s="6"/>
      <c r="C317" s="6">
        <v>310.0</v>
      </c>
      <c r="D317" s="6"/>
      <c r="E317" s="6">
        <v>6623860.805585599</v>
      </c>
      <c r="F317" s="6">
        <v>440.58358944800267</v>
      </c>
      <c r="G317" s="6">
        <v>5.006980268919225</v>
      </c>
      <c r="H317" s="6">
        <v>6514748.1044056015</v>
      </c>
      <c r="I317" s="6">
        <v>436.88223439236276</v>
      </c>
      <c r="J317" s="6">
        <v>3.5706021332220663</v>
      </c>
      <c r="K317" s="6"/>
      <c r="L317" s="6"/>
      <c r="M317" s="6"/>
      <c r="N317" s="6">
        <f t="shared" ref="N317:P317" si="320">IF(LEN($C317)&gt;0,H317-E317,"")</f>
        <v>-109112.7012</v>
      </c>
      <c r="O317" s="6">
        <f t="shared" si="320"/>
        <v>-3.701355056</v>
      </c>
      <c r="P317" s="6">
        <f t="shared" si="320"/>
        <v>-1.436378136</v>
      </c>
      <c r="Q317" s="6"/>
      <c r="R317" s="6"/>
      <c r="S317" s="6"/>
      <c r="T317" s="6"/>
      <c r="U317" s="6"/>
      <c r="V317" s="6"/>
      <c r="W317" s="6"/>
      <c r="X317" s="6"/>
      <c r="Y317" s="6"/>
      <c r="Z317" s="6"/>
      <c r="AA317" s="6"/>
      <c r="AB317" s="6"/>
      <c r="AC317" s="6"/>
      <c r="AD317" s="6"/>
      <c r="AE317" s="6"/>
      <c r="AF317" s="6"/>
      <c r="AG317" s="6"/>
    </row>
    <row r="318" ht="14.25" customHeight="1">
      <c r="A318" s="6"/>
      <c r="B318" s="6"/>
      <c r="C318" s="6">
        <v>311.0</v>
      </c>
      <c r="D318" s="6"/>
      <c r="E318" s="6">
        <v>6040225.021064553</v>
      </c>
      <c r="F318" s="6">
        <v>476.18571240228204</v>
      </c>
      <c r="G318" s="6">
        <v>8.204337063877938</v>
      </c>
      <c r="H318" s="6">
        <v>5913631.259537221</v>
      </c>
      <c r="I318" s="6">
        <v>471.4830585883877</v>
      </c>
      <c r="J318" s="6">
        <v>5.845621398955957</v>
      </c>
      <c r="K318" s="6"/>
      <c r="L318" s="6"/>
      <c r="M318" s="6"/>
      <c r="N318" s="6">
        <f t="shared" ref="N318:P318" si="321">IF(LEN($C318)&gt;0,H318-E318,"")</f>
        <v>-126593.7615</v>
      </c>
      <c r="O318" s="6">
        <f t="shared" si="321"/>
        <v>-4.702653814</v>
      </c>
      <c r="P318" s="6">
        <f t="shared" si="321"/>
        <v>-2.358715665</v>
      </c>
      <c r="Q318" s="6"/>
      <c r="R318" s="6"/>
      <c r="S318" s="6"/>
      <c r="T318" s="6"/>
      <c r="U318" s="6"/>
      <c r="V318" s="6"/>
      <c r="W318" s="6"/>
      <c r="X318" s="6"/>
      <c r="Y318" s="6"/>
      <c r="Z318" s="6"/>
      <c r="AA318" s="6"/>
      <c r="AB318" s="6"/>
      <c r="AC318" s="6"/>
      <c r="AD318" s="6"/>
      <c r="AE318" s="6"/>
      <c r="AF318" s="6"/>
      <c r="AG318" s="6"/>
    </row>
    <row r="319" ht="14.25" customHeight="1">
      <c r="A319" s="6"/>
      <c r="B319" s="6"/>
      <c r="C319" s="6">
        <v>312.0</v>
      </c>
      <c r="D319" s="6"/>
      <c r="E319" s="6">
        <v>6519872.835929999</v>
      </c>
      <c r="F319" s="6">
        <v>477.38271931710085</v>
      </c>
      <c r="G319" s="6">
        <v>6.095888461718095</v>
      </c>
      <c r="H319" s="6">
        <v>6457327.241938771</v>
      </c>
      <c r="I319" s="6">
        <v>474.8802275337296</v>
      </c>
      <c r="J319" s="6">
        <v>4.916857017380067</v>
      </c>
      <c r="K319" s="6"/>
      <c r="L319" s="6"/>
      <c r="M319" s="6"/>
      <c r="N319" s="6">
        <f t="shared" ref="N319:P319" si="322">IF(LEN($C319)&gt;0,H319-E319,"")</f>
        <v>-62545.59399</v>
      </c>
      <c r="O319" s="6">
        <f t="shared" si="322"/>
        <v>-2.502491783</v>
      </c>
      <c r="P319" s="6">
        <f t="shared" si="322"/>
        <v>-1.179031444</v>
      </c>
      <c r="Q319" s="6"/>
      <c r="R319" s="6"/>
      <c r="S319" s="6"/>
      <c r="T319" s="6"/>
      <c r="U319" s="6"/>
      <c r="V319" s="6"/>
      <c r="W319" s="6"/>
      <c r="X319" s="6"/>
      <c r="Y319" s="6"/>
      <c r="Z319" s="6"/>
      <c r="AA319" s="6"/>
      <c r="AB319" s="6"/>
      <c r="AC319" s="6"/>
      <c r="AD319" s="6"/>
      <c r="AE319" s="6"/>
      <c r="AF319" s="6"/>
      <c r="AG319" s="6"/>
    </row>
    <row r="320" ht="14.25" customHeight="1">
      <c r="A320" s="6"/>
      <c r="B320" s="6"/>
      <c r="C320" s="6">
        <v>313.0</v>
      </c>
      <c r="D320" s="6"/>
      <c r="E320" s="6">
        <v>8215425.79537772</v>
      </c>
      <c r="F320" s="6">
        <v>474.3854817316683</v>
      </c>
      <c r="G320" s="6">
        <v>5.756274083140609</v>
      </c>
      <c r="H320" s="6">
        <v>8085948.595889332</v>
      </c>
      <c r="I320" s="6">
        <v>470.4314994950846</v>
      </c>
      <c r="J320" s="6">
        <v>4.622602163843572</v>
      </c>
      <c r="K320" s="6"/>
      <c r="L320" s="6"/>
      <c r="M320" s="6"/>
      <c r="N320" s="6">
        <f t="shared" ref="N320:P320" si="323">IF(LEN($C320)&gt;0,H320-E320,"")</f>
        <v>-129477.1995</v>
      </c>
      <c r="O320" s="6">
        <f t="shared" si="323"/>
        <v>-3.953982237</v>
      </c>
      <c r="P320" s="6">
        <f t="shared" si="323"/>
        <v>-1.133671919</v>
      </c>
      <c r="Q320" s="6"/>
      <c r="R320" s="6"/>
      <c r="S320" s="6"/>
      <c r="T320" s="6"/>
      <c r="U320" s="6"/>
      <c r="V320" s="6"/>
      <c r="W320" s="6"/>
      <c r="X320" s="6"/>
      <c r="Y320" s="6"/>
      <c r="Z320" s="6"/>
      <c r="AA320" s="6"/>
      <c r="AB320" s="6"/>
      <c r="AC320" s="6"/>
      <c r="AD320" s="6"/>
      <c r="AE320" s="6"/>
      <c r="AF320" s="6"/>
      <c r="AG320" s="6"/>
    </row>
    <row r="321" ht="14.25" customHeight="1">
      <c r="A321" s="6"/>
      <c r="B321" s="6"/>
      <c r="C321" s="6">
        <v>314.0</v>
      </c>
      <c r="D321" s="6"/>
      <c r="E321" s="6">
        <v>6145390.900042291</v>
      </c>
      <c r="F321" s="6">
        <v>484.3009000134962</v>
      </c>
      <c r="G321" s="6">
        <v>6.116442745503803</v>
      </c>
      <c r="H321" s="6">
        <v>6014590.1842199415</v>
      </c>
      <c r="I321" s="6">
        <v>480.5611926968104</v>
      </c>
      <c r="J321" s="6">
        <v>4.465643318110074</v>
      </c>
      <c r="K321" s="6"/>
      <c r="L321" s="6"/>
      <c r="M321" s="6"/>
      <c r="N321" s="6">
        <f t="shared" ref="N321:P321" si="324">IF(LEN($C321)&gt;0,H321-E321,"")</f>
        <v>-130800.7158</v>
      </c>
      <c r="O321" s="6">
        <f t="shared" si="324"/>
        <v>-3.739707317</v>
      </c>
      <c r="P321" s="6">
        <f t="shared" si="324"/>
        <v>-1.650799427</v>
      </c>
      <c r="Q321" s="6"/>
      <c r="R321" s="6"/>
      <c r="S321" s="6"/>
      <c r="T321" s="6"/>
      <c r="U321" s="6"/>
      <c r="V321" s="6"/>
      <c r="W321" s="6"/>
      <c r="X321" s="6"/>
      <c r="Y321" s="6"/>
      <c r="Z321" s="6"/>
      <c r="AA321" s="6"/>
      <c r="AB321" s="6"/>
      <c r="AC321" s="6"/>
      <c r="AD321" s="6"/>
      <c r="AE321" s="6"/>
      <c r="AF321" s="6"/>
      <c r="AG321" s="6"/>
    </row>
    <row r="322" ht="14.25" customHeight="1">
      <c r="A322" s="6"/>
      <c r="B322" s="6"/>
      <c r="C322" s="6">
        <v>315.0</v>
      </c>
      <c r="D322" s="6"/>
      <c r="E322" s="6">
        <v>6785157.887158869</v>
      </c>
      <c r="F322" s="6">
        <v>478.79749226408865</v>
      </c>
      <c r="G322" s="6">
        <v>5.24302258395123</v>
      </c>
      <c r="H322" s="6">
        <v>6662168.050407274</v>
      </c>
      <c r="I322" s="6">
        <v>475.5319638640995</v>
      </c>
      <c r="J322" s="6">
        <v>3.7084778820056954</v>
      </c>
      <c r="K322" s="6"/>
      <c r="L322" s="6"/>
      <c r="M322" s="6"/>
      <c r="N322" s="6">
        <f t="shared" ref="N322:P322" si="325">IF(LEN($C322)&gt;0,H322-E322,"")</f>
        <v>-122989.8368</v>
      </c>
      <c r="O322" s="6">
        <f t="shared" si="325"/>
        <v>-3.2655284</v>
      </c>
      <c r="P322" s="6">
        <f t="shared" si="325"/>
        <v>-1.534544702</v>
      </c>
      <c r="Q322" s="6"/>
      <c r="R322" s="6"/>
      <c r="S322" s="6"/>
      <c r="T322" s="6"/>
      <c r="U322" s="6"/>
      <c r="V322" s="6"/>
      <c r="W322" s="6"/>
      <c r="X322" s="6"/>
      <c r="Y322" s="6"/>
      <c r="Z322" s="6"/>
      <c r="AA322" s="6"/>
      <c r="AB322" s="6"/>
      <c r="AC322" s="6"/>
      <c r="AD322" s="6"/>
      <c r="AE322" s="6"/>
      <c r="AF322" s="6"/>
      <c r="AG322" s="6"/>
    </row>
    <row r="323" ht="14.25" customHeight="1">
      <c r="A323" s="6"/>
      <c r="B323" s="6"/>
      <c r="C323" s="6">
        <v>316.0</v>
      </c>
      <c r="D323" s="6"/>
      <c r="E323" s="6">
        <v>8310455.9863780495</v>
      </c>
      <c r="F323" s="6">
        <v>469.98530557530154</v>
      </c>
      <c r="G323" s="6">
        <v>5.320681249938461</v>
      </c>
      <c r="H323" s="6">
        <v>8150034.843151586</v>
      </c>
      <c r="I323" s="6">
        <v>462.89689923678014</v>
      </c>
      <c r="J323" s="6">
        <v>3.3639112174990533</v>
      </c>
      <c r="K323" s="6"/>
      <c r="L323" s="6"/>
      <c r="M323" s="6"/>
      <c r="N323" s="6">
        <f t="shared" ref="N323:P323" si="326">IF(LEN($C323)&gt;0,H323-E323,"")</f>
        <v>-160421.1432</v>
      </c>
      <c r="O323" s="6">
        <f t="shared" si="326"/>
        <v>-7.088406339</v>
      </c>
      <c r="P323" s="6">
        <f t="shared" si="326"/>
        <v>-1.956770032</v>
      </c>
      <c r="Q323" s="6"/>
      <c r="R323" s="6"/>
      <c r="S323" s="6"/>
      <c r="T323" s="6"/>
      <c r="U323" s="6"/>
      <c r="V323" s="6"/>
      <c r="W323" s="6"/>
      <c r="X323" s="6"/>
      <c r="Y323" s="6"/>
      <c r="Z323" s="6"/>
      <c r="AA323" s="6"/>
      <c r="AB323" s="6"/>
      <c r="AC323" s="6"/>
      <c r="AD323" s="6"/>
      <c r="AE323" s="6"/>
      <c r="AF323" s="6"/>
      <c r="AG323" s="6"/>
    </row>
    <row r="324" ht="14.25" customHeight="1">
      <c r="A324" s="6"/>
      <c r="B324" s="6"/>
      <c r="C324" s="6">
        <v>317.0</v>
      </c>
      <c r="D324" s="6"/>
      <c r="E324" s="6">
        <v>7886049.708341324</v>
      </c>
      <c r="F324" s="6">
        <v>481.6111990622904</v>
      </c>
      <c r="G324" s="6">
        <v>3.4445760838922785</v>
      </c>
      <c r="H324" s="6">
        <v>7822168.613259134</v>
      </c>
      <c r="I324" s="6">
        <v>479.3106794300062</v>
      </c>
      <c r="J324" s="6">
        <v>3.0480641895071856</v>
      </c>
      <c r="K324" s="6"/>
      <c r="L324" s="6"/>
      <c r="M324" s="6"/>
      <c r="N324" s="6">
        <f t="shared" ref="N324:P324" si="327">IF(LEN($C324)&gt;0,H324-E324,"")</f>
        <v>-63881.09508</v>
      </c>
      <c r="O324" s="6">
        <f t="shared" si="327"/>
        <v>-2.300519632</v>
      </c>
      <c r="P324" s="6">
        <f t="shared" si="327"/>
        <v>-0.3965118944</v>
      </c>
      <c r="Q324" s="6"/>
      <c r="R324" s="6"/>
      <c r="S324" s="6"/>
      <c r="T324" s="6"/>
      <c r="U324" s="6"/>
      <c r="V324" s="6"/>
      <c r="W324" s="6"/>
      <c r="X324" s="6"/>
      <c r="Y324" s="6"/>
      <c r="Z324" s="6"/>
      <c r="AA324" s="6"/>
      <c r="AB324" s="6"/>
      <c r="AC324" s="6"/>
      <c r="AD324" s="6"/>
      <c r="AE324" s="6"/>
      <c r="AF324" s="6"/>
      <c r="AG324" s="6"/>
    </row>
    <row r="325" ht="14.25" customHeight="1">
      <c r="A325" s="6"/>
      <c r="B325" s="6"/>
      <c r="C325" s="6">
        <v>318.0</v>
      </c>
      <c r="D325" s="6"/>
      <c r="E325" s="6">
        <v>8579844.921617145</v>
      </c>
      <c r="F325" s="6">
        <v>496.61044498057817</v>
      </c>
      <c r="G325" s="6">
        <v>3.8971797489310616</v>
      </c>
      <c r="H325" s="6">
        <v>8412640.878135916</v>
      </c>
      <c r="I325" s="6">
        <v>489.1488960794106</v>
      </c>
      <c r="J325" s="6">
        <v>2.6620650792256573</v>
      </c>
      <c r="K325" s="6"/>
      <c r="L325" s="6"/>
      <c r="M325" s="6"/>
      <c r="N325" s="6">
        <f t="shared" ref="N325:P325" si="328">IF(LEN($C325)&gt;0,H325-E325,"")</f>
        <v>-167204.0435</v>
      </c>
      <c r="O325" s="6">
        <f t="shared" si="328"/>
        <v>-7.461548901</v>
      </c>
      <c r="P325" s="6">
        <f t="shared" si="328"/>
        <v>-1.23511467</v>
      </c>
      <c r="Q325" s="6"/>
      <c r="R325" s="6"/>
      <c r="S325" s="6"/>
      <c r="T325" s="6"/>
      <c r="U325" s="6"/>
      <c r="V325" s="6"/>
      <c r="W325" s="6"/>
      <c r="X325" s="6"/>
      <c r="Y325" s="6"/>
      <c r="Z325" s="6"/>
      <c r="AA325" s="6"/>
      <c r="AB325" s="6"/>
      <c r="AC325" s="6"/>
      <c r="AD325" s="6"/>
      <c r="AE325" s="6"/>
      <c r="AF325" s="6"/>
      <c r="AG325" s="6"/>
    </row>
    <row r="326" ht="14.25" customHeight="1">
      <c r="A326" s="6"/>
      <c r="B326" s="6"/>
      <c r="C326" s="6">
        <v>319.0</v>
      </c>
      <c r="D326" s="6"/>
      <c r="E326" s="6">
        <v>7607589.930096396</v>
      </c>
      <c r="F326" s="6">
        <v>452.2461170349689</v>
      </c>
      <c r="G326" s="6">
        <v>4.949575618452322</v>
      </c>
      <c r="H326" s="6">
        <v>7470571.245232986</v>
      </c>
      <c r="I326" s="6">
        <v>446.909261276461</v>
      </c>
      <c r="J326" s="6">
        <v>3.668251180075428</v>
      </c>
      <c r="K326" s="6"/>
      <c r="L326" s="6"/>
      <c r="M326" s="6"/>
      <c r="N326" s="6">
        <f t="shared" ref="N326:P326" si="329">IF(LEN($C326)&gt;0,H326-E326,"")</f>
        <v>-137018.6849</v>
      </c>
      <c r="O326" s="6">
        <f t="shared" si="329"/>
        <v>-5.336855759</v>
      </c>
      <c r="P326" s="6">
        <f t="shared" si="329"/>
        <v>-1.281324438</v>
      </c>
      <c r="Q326" s="6"/>
      <c r="R326" s="6"/>
      <c r="S326" s="6"/>
      <c r="T326" s="6"/>
      <c r="U326" s="6"/>
      <c r="V326" s="6"/>
      <c r="W326" s="6"/>
      <c r="X326" s="6"/>
      <c r="Y326" s="6"/>
      <c r="Z326" s="6"/>
      <c r="AA326" s="6"/>
      <c r="AB326" s="6"/>
      <c r="AC326" s="6"/>
      <c r="AD326" s="6"/>
      <c r="AE326" s="6"/>
      <c r="AF326" s="6"/>
      <c r="AG326" s="6"/>
    </row>
    <row r="327" ht="14.25" customHeight="1">
      <c r="A327" s="6"/>
      <c r="B327" s="6"/>
      <c r="C327" s="6">
        <v>320.0</v>
      </c>
      <c r="D327" s="6"/>
      <c r="E327" s="6">
        <v>7633725.880947096</v>
      </c>
      <c r="F327" s="6">
        <v>457.04113620252673</v>
      </c>
      <c r="G327" s="6">
        <v>5.147575450588258</v>
      </c>
      <c r="H327" s="6">
        <v>7513459.699110803</v>
      </c>
      <c r="I327" s="6">
        <v>452.5230206759684</v>
      </c>
      <c r="J327" s="6">
        <v>3.653779880222713</v>
      </c>
      <c r="K327" s="6"/>
      <c r="L327" s="6"/>
      <c r="M327" s="6"/>
      <c r="N327" s="6">
        <f t="shared" ref="N327:P327" si="330">IF(LEN($C327)&gt;0,H327-E327,"")</f>
        <v>-120266.1818</v>
      </c>
      <c r="O327" s="6">
        <f t="shared" si="330"/>
        <v>-4.518115527</v>
      </c>
      <c r="P327" s="6">
        <f t="shared" si="330"/>
        <v>-1.49379557</v>
      </c>
      <c r="Q327" s="6"/>
      <c r="R327" s="6"/>
      <c r="S327" s="6"/>
      <c r="T327" s="6"/>
      <c r="U327" s="6"/>
      <c r="V327" s="6"/>
      <c r="W327" s="6"/>
      <c r="X327" s="6"/>
      <c r="Y327" s="6"/>
      <c r="Z327" s="6"/>
      <c r="AA327" s="6"/>
      <c r="AB327" s="6"/>
      <c r="AC327" s="6"/>
      <c r="AD327" s="6"/>
      <c r="AE327" s="6"/>
      <c r="AF327" s="6"/>
      <c r="AG327" s="6"/>
    </row>
    <row r="328" ht="14.25" customHeight="1">
      <c r="A328" s="6"/>
      <c r="B328" s="6"/>
      <c r="C328" s="6">
        <v>321.0</v>
      </c>
      <c r="D328" s="6"/>
      <c r="E328" s="6">
        <v>8744640.374622539</v>
      </c>
      <c r="F328" s="6">
        <v>497.5683301514072</v>
      </c>
      <c r="G328" s="6">
        <v>4.173068525757664</v>
      </c>
      <c r="H328" s="6">
        <v>8624855.939438106</v>
      </c>
      <c r="I328" s="6">
        <v>492.7977504613398</v>
      </c>
      <c r="J328" s="6">
        <v>2.7719488914159935</v>
      </c>
      <c r="K328" s="6"/>
      <c r="L328" s="6"/>
      <c r="M328" s="6"/>
      <c r="N328" s="6">
        <f t="shared" ref="N328:P328" si="331">IF(LEN($C328)&gt;0,H328-E328,"")</f>
        <v>-119784.4352</v>
      </c>
      <c r="O328" s="6">
        <f t="shared" si="331"/>
        <v>-4.77057969</v>
      </c>
      <c r="P328" s="6">
        <f t="shared" si="331"/>
        <v>-1.401119634</v>
      </c>
      <c r="Q328" s="6"/>
      <c r="R328" s="6"/>
      <c r="S328" s="6"/>
      <c r="T328" s="6"/>
      <c r="U328" s="6"/>
      <c r="V328" s="6"/>
      <c r="W328" s="6"/>
      <c r="X328" s="6"/>
      <c r="Y328" s="6"/>
      <c r="Z328" s="6"/>
      <c r="AA328" s="6"/>
      <c r="AB328" s="6"/>
      <c r="AC328" s="6"/>
      <c r="AD328" s="6"/>
      <c r="AE328" s="6"/>
      <c r="AF328" s="6"/>
      <c r="AG328" s="6"/>
    </row>
    <row r="329" ht="14.25" customHeight="1">
      <c r="A329" s="6"/>
      <c r="B329" s="6"/>
      <c r="C329" s="6">
        <v>322.0</v>
      </c>
      <c r="D329" s="6"/>
      <c r="E329" s="6">
        <v>6058409.107349546</v>
      </c>
      <c r="F329" s="6">
        <v>473.6151790221227</v>
      </c>
      <c r="G329" s="6">
        <v>5.974163266290573</v>
      </c>
      <c r="H329" s="6">
        <v>5931390.241579153</v>
      </c>
      <c r="I329" s="6">
        <v>469.91000530498417</v>
      </c>
      <c r="J329" s="6">
        <v>4.420129675532686</v>
      </c>
      <c r="K329" s="6"/>
      <c r="L329" s="6"/>
      <c r="M329" s="6"/>
      <c r="N329" s="6">
        <f t="shared" ref="N329:P329" si="332">IF(LEN($C329)&gt;0,H329-E329,"")</f>
        <v>-127018.8658</v>
      </c>
      <c r="O329" s="6">
        <f t="shared" si="332"/>
        <v>-3.705173717</v>
      </c>
      <c r="P329" s="6">
        <f t="shared" si="332"/>
        <v>-1.554033591</v>
      </c>
      <c r="Q329" s="6"/>
      <c r="R329" s="6"/>
      <c r="S329" s="6"/>
      <c r="T329" s="6"/>
      <c r="U329" s="6"/>
      <c r="V329" s="6"/>
      <c r="W329" s="6"/>
      <c r="X329" s="6"/>
      <c r="Y329" s="6"/>
      <c r="Z329" s="6"/>
      <c r="AA329" s="6"/>
      <c r="AB329" s="6"/>
      <c r="AC329" s="6"/>
      <c r="AD329" s="6"/>
      <c r="AE329" s="6"/>
      <c r="AF329" s="6"/>
      <c r="AG329" s="6"/>
    </row>
    <row r="330" ht="14.25" customHeight="1">
      <c r="A330" s="6"/>
      <c r="B330" s="6"/>
      <c r="C330" s="6">
        <v>323.0</v>
      </c>
      <c r="D330" s="6"/>
      <c r="E330" s="6">
        <v>5774298.053760408</v>
      </c>
      <c r="F330" s="6">
        <v>439.36090287273055</v>
      </c>
      <c r="G330" s="6">
        <v>5.8964662351455255</v>
      </c>
      <c r="H330" s="6">
        <v>5636718.491612309</v>
      </c>
      <c r="I330" s="6">
        <v>433.08324243944577</v>
      </c>
      <c r="J330" s="6">
        <v>4.310557234306343</v>
      </c>
      <c r="K330" s="6"/>
      <c r="L330" s="6"/>
      <c r="M330" s="6"/>
      <c r="N330" s="6">
        <f t="shared" ref="N330:P330" si="333">IF(LEN($C330)&gt;0,H330-E330,"")</f>
        <v>-137579.5621</v>
      </c>
      <c r="O330" s="6">
        <f t="shared" si="333"/>
        <v>-6.277660433</v>
      </c>
      <c r="P330" s="6">
        <f t="shared" si="333"/>
        <v>-1.585909001</v>
      </c>
      <c r="Q330" s="6"/>
      <c r="R330" s="6"/>
      <c r="S330" s="6"/>
      <c r="T330" s="6"/>
      <c r="U330" s="6"/>
      <c r="V330" s="6"/>
      <c r="W330" s="6"/>
      <c r="X330" s="6"/>
      <c r="Y330" s="6"/>
      <c r="Z330" s="6"/>
      <c r="AA330" s="6"/>
      <c r="AB330" s="6"/>
      <c r="AC330" s="6"/>
      <c r="AD330" s="6"/>
      <c r="AE330" s="6"/>
      <c r="AF330" s="6"/>
      <c r="AG330" s="6"/>
    </row>
    <row r="331" ht="14.25" customHeight="1">
      <c r="A331" s="6"/>
      <c r="B331" s="6"/>
      <c r="C331" s="6">
        <v>324.0</v>
      </c>
      <c r="D331" s="6"/>
      <c r="E331" s="6">
        <v>7806638.721431096</v>
      </c>
      <c r="F331" s="6">
        <v>444.6453693056712</v>
      </c>
      <c r="G331" s="6">
        <v>5.491978377453152</v>
      </c>
      <c r="H331" s="6">
        <v>7704754.265727771</v>
      </c>
      <c r="I331" s="6">
        <v>440.58429986755243</v>
      </c>
      <c r="J331" s="6">
        <v>4.304026780787625</v>
      </c>
      <c r="K331" s="6"/>
      <c r="L331" s="6"/>
      <c r="M331" s="6"/>
      <c r="N331" s="6">
        <f t="shared" ref="N331:P331" si="334">IF(LEN($C331)&gt;0,H331-E331,"")</f>
        <v>-101884.4557</v>
      </c>
      <c r="O331" s="6">
        <f t="shared" si="334"/>
        <v>-4.061069438</v>
      </c>
      <c r="P331" s="6">
        <f t="shared" si="334"/>
        <v>-1.187951597</v>
      </c>
      <c r="Q331" s="6"/>
      <c r="R331" s="6"/>
      <c r="S331" s="6"/>
      <c r="T331" s="6"/>
      <c r="U331" s="6"/>
      <c r="V331" s="6"/>
      <c r="W331" s="6"/>
      <c r="X331" s="6"/>
      <c r="Y331" s="6"/>
      <c r="Z331" s="6"/>
      <c r="AA331" s="6"/>
      <c r="AB331" s="6"/>
      <c r="AC331" s="6"/>
      <c r="AD331" s="6"/>
      <c r="AE331" s="6"/>
      <c r="AF331" s="6"/>
      <c r="AG331" s="6"/>
    </row>
    <row r="332" ht="14.25" customHeight="1">
      <c r="A332" s="6"/>
      <c r="B332" s="6"/>
      <c r="C332" s="6">
        <v>325.0</v>
      </c>
      <c r="D332" s="6"/>
      <c r="E332" s="6">
        <v>6698037.614877764</v>
      </c>
      <c r="F332" s="6">
        <v>464.6617726233735</v>
      </c>
      <c r="G332" s="6">
        <v>5.08598266105347</v>
      </c>
      <c r="H332" s="6">
        <v>6620358.366082183</v>
      </c>
      <c r="I332" s="6">
        <v>461.0647366525438</v>
      </c>
      <c r="J332" s="6">
        <v>4.073404996690039</v>
      </c>
      <c r="K332" s="6"/>
      <c r="L332" s="6"/>
      <c r="M332" s="6"/>
      <c r="N332" s="6">
        <f t="shared" ref="N332:P332" si="335">IF(LEN($C332)&gt;0,H332-E332,"")</f>
        <v>-77679.2488</v>
      </c>
      <c r="O332" s="6">
        <f t="shared" si="335"/>
        <v>-3.597035971</v>
      </c>
      <c r="P332" s="6">
        <f t="shared" si="335"/>
        <v>-1.012577664</v>
      </c>
      <c r="Q332" s="6"/>
      <c r="R332" s="6"/>
      <c r="S332" s="6"/>
      <c r="T332" s="6"/>
      <c r="U332" s="6"/>
      <c r="V332" s="6"/>
      <c r="W332" s="6"/>
      <c r="X332" s="6"/>
      <c r="Y332" s="6"/>
      <c r="Z332" s="6"/>
      <c r="AA332" s="6"/>
      <c r="AB332" s="6"/>
      <c r="AC332" s="6"/>
      <c r="AD332" s="6"/>
      <c r="AE332" s="6"/>
      <c r="AF332" s="6"/>
      <c r="AG332" s="6"/>
    </row>
    <row r="333" ht="14.25" customHeight="1">
      <c r="A333" s="6"/>
      <c r="B333" s="6"/>
      <c r="C333" s="6">
        <v>326.0</v>
      </c>
      <c r="D333" s="6"/>
      <c r="E333" s="6">
        <v>6422391.497258208</v>
      </c>
      <c r="F333" s="6">
        <v>471.8517951485178</v>
      </c>
      <c r="G333" s="6">
        <v>5.774181293441709</v>
      </c>
      <c r="H333" s="6">
        <v>6285044.567075922</v>
      </c>
      <c r="I333" s="6">
        <v>468.31162508562505</v>
      </c>
      <c r="J333" s="6">
        <v>4.398756516975415</v>
      </c>
      <c r="K333" s="6"/>
      <c r="L333" s="6"/>
      <c r="M333" s="6"/>
      <c r="N333" s="6">
        <f t="shared" ref="N333:P333" si="336">IF(LEN($C333)&gt;0,H333-E333,"")</f>
        <v>-137346.9302</v>
      </c>
      <c r="O333" s="6">
        <f t="shared" si="336"/>
        <v>-3.540170063</v>
      </c>
      <c r="P333" s="6">
        <f t="shared" si="336"/>
        <v>-1.375424776</v>
      </c>
      <c r="Q333" s="6"/>
      <c r="R333" s="6"/>
      <c r="S333" s="6"/>
      <c r="T333" s="6"/>
      <c r="U333" s="6"/>
      <c r="V333" s="6"/>
      <c r="W333" s="6"/>
      <c r="X333" s="6"/>
      <c r="Y333" s="6"/>
      <c r="Z333" s="6"/>
      <c r="AA333" s="6"/>
      <c r="AB333" s="6"/>
      <c r="AC333" s="6"/>
      <c r="AD333" s="6"/>
      <c r="AE333" s="6"/>
      <c r="AF333" s="6"/>
      <c r="AG333" s="6"/>
    </row>
    <row r="334" ht="14.25" customHeight="1">
      <c r="A334" s="6"/>
      <c r="B334" s="6"/>
      <c r="C334" s="6">
        <v>327.0</v>
      </c>
      <c r="D334" s="6"/>
      <c r="E334" s="6">
        <v>9142553.96768258</v>
      </c>
      <c r="F334" s="6">
        <v>503.1019758633124</v>
      </c>
      <c r="G334" s="6">
        <v>4.702367383273345</v>
      </c>
      <c r="H334" s="6">
        <v>9008186.741076982</v>
      </c>
      <c r="I334" s="6">
        <v>496.94298042588105</v>
      </c>
      <c r="J334" s="6">
        <v>3.8829768059214635</v>
      </c>
      <c r="K334" s="6"/>
      <c r="L334" s="6"/>
      <c r="M334" s="6"/>
      <c r="N334" s="6">
        <f t="shared" ref="N334:P334" si="337">IF(LEN($C334)&gt;0,H334-E334,"")</f>
        <v>-134367.2266</v>
      </c>
      <c r="O334" s="6">
        <f t="shared" si="337"/>
        <v>-6.158995437</v>
      </c>
      <c r="P334" s="6">
        <f t="shared" si="337"/>
        <v>-0.8193905774</v>
      </c>
      <c r="Q334" s="6"/>
      <c r="R334" s="6"/>
      <c r="S334" s="6"/>
      <c r="T334" s="6"/>
      <c r="U334" s="6"/>
      <c r="V334" s="6"/>
      <c r="W334" s="6"/>
      <c r="X334" s="6"/>
      <c r="Y334" s="6"/>
      <c r="Z334" s="6"/>
      <c r="AA334" s="6"/>
      <c r="AB334" s="6"/>
      <c r="AC334" s="6"/>
      <c r="AD334" s="6"/>
      <c r="AE334" s="6"/>
      <c r="AF334" s="6"/>
      <c r="AG334" s="6"/>
    </row>
    <row r="335" ht="14.25" customHeight="1">
      <c r="A335" s="6"/>
      <c r="B335" s="6"/>
      <c r="C335" s="6">
        <v>328.0</v>
      </c>
      <c r="D335" s="6"/>
      <c r="E335" s="6">
        <v>9006491.671244621</v>
      </c>
      <c r="F335" s="6">
        <v>480.57365473807965</v>
      </c>
      <c r="G335" s="6">
        <v>4.907929374926497</v>
      </c>
      <c r="H335" s="6">
        <v>8890842.787349623</v>
      </c>
      <c r="I335" s="6">
        <v>477.2503703027615</v>
      </c>
      <c r="J335" s="6">
        <v>3.7995342964512933</v>
      </c>
      <c r="K335" s="6"/>
      <c r="L335" s="6"/>
      <c r="M335" s="6"/>
      <c r="N335" s="6">
        <f t="shared" ref="N335:P335" si="338">IF(LEN($C335)&gt;0,H335-E335,"")</f>
        <v>-115648.8839</v>
      </c>
      <c r="O335" s="6">
        <f t="shared" si="338"/>
        <v>-3.323284435</v>
      </c>
      <c r="P335" s="6">
        <f t="shared" si="338"/>
        <v>-1.108395078</v>
      </c>
      <c r="Q335" s="6"/>
      <c r="R335" s="6"/>
      <c r="S335" s="6"/>
      <c r="T335" s="6"/>
      <c r="U335" s="6"/>
      <c r="V335" s="6"/>
      <c r="W335" s="6"/>
      <c r="X335" s="6"/>
      <c r="Y335" s="6"/>
      <c r="Z335" s="6"/>
      <c r="AA335" s="6"/>
      <c r="AB335" s="6"/>
      <c r="AC335" s="6"/>
      <c r="AD335" s="6"/>
      <c r="AE335" s="6"/>
      <c r="AF335" s="6"/>
      <c r="AG335" s="6"/>
    </row>
    <row r="336" ht="14.25" customHeight="1">
      <c r="A336" s="6"/>
      <c r="B336" s="6"/>
      <c r="C336" s="6">
        <v>329.0</v>
      </c>
      <c r="D336" s="6"/>
      <c r="E336" s="6">
        <v>8777008.281857431</v>
      </c>
      <c r="F336" s="6">
        <v>458.4778076025488</v>
      </c>
      <c r="G336" s="6">
        <v>5.240414381260146</v>
      </c>
      <c r="H336" s="6">
        <v>8647116.659514694</v>
      </c>
      <c r="I336" s="6">
        <v>454.1400982587662</v>
      </c>
      <c r="J336" s="6">
        <v>3.3629969718818207</v>
      </c>
      <c r="K336" s="6"/>
      <c r="L336" s="6"/>
      <c r="M336" s="6"/>
      <c r="N336" s="6">
        <f t="shared" ref="N336:P336" si="339">IF(LEN($C336)&gt;0,H336-E336,"")</f>
        <v>-129891.6223</v>
      </c>
      <c r="O336" s="6">
        <f t="shared" si="339"/>
        <v>-4.337709344</v>
      </c>
      <c r="P336" s="6">
        <f t="shared" si="339"/>
        <v>-1.877417409</v>
      </c>
      <c r="Q336" s="6"/>
      <c r="R336" s="6"/>
      <c r="S336" s="6"/>
      <c r="T336" s="6"/>
      <c r="U336" s="6"/>
      <c r="V336" s="6"/>
      <c r="W336" s="6"/>
      <c r="X336" s="6"/>
      <c r="Y336" s="6"/>
      <c r="Z336" s="6"/>
      <c r="AA336" s="6"/>
      <c r="AB336" s="6"/>
      <c r="AC336" s="6"/>
      <c r="AD336" s="6"/>
      <c r="AE336" s="6"/>
      <c r="AF336" s="6"/>
      <c r="AG336" s="6"/>
    </row>
    <row r="337" ht="14.25" customHeight="1">
      <c r="A337" s="6"/>
      <c r="B337" s="6"/>
      <c r="C337" s="6">
        <v>330.0</v>
      </c>
      <c r="D337" s="6"/>
      <c r="E337" s="6">
        <v>7089078.866624791</v>
      </c>
      <c r="F337" s="6">
        <v>485.413269221309</v>
      </c>
      <c r="G337" s="6">
        <v>5.8899884262845115</v>
      </c>
      <c r="H337" s="6">
        <v>6893187.305026209</v>
      </c>
      <c r="I337" s="6">
        <v>479.6961752952952</v>
      </c>
      <c r="J337" s="6">
        <v>3.700628304759819</v>
      </c>
      <c r="K337" s="6"/>
      <c r="L337" s="6"/>
      <c r="M337" s="6"/>
      <c r="N337" s="6">
        <f t="shared" ref="N337:P337" si="340">IF(LEN($C337)&gt;0,H337-E337,"")</f>
        <v>-195891.5616</v>
      </c>
      <c r="O337" s="6">
        <f t="shared" si="340"/>
        <v>-5.717093926</v>
      </c>
      <c r="P337" s="6">
        <f t="shared" si="340"/>
        <v>-2.189360122</v>
      </c>
      <c r="Q337" s="6"/>
      <c r="R337" s="6"/>
      <c r="S337" s="6"/>
      <c r="T337" s="6"/>
      <c r="U337" s="6"/>
      <c r="V337" s="6"/>
      <c r="W337" s="6"/>
      <c r="X337" s="6"/>
      <c r="Y337" s="6"/>
      <c r="Z337" s="6"/>
      <c r="AA337" s="6"/>
      <c r="AB337" s="6"/>
      <c r="AC337" s="6"/>
      <c r="AD337" s="6"/>
      <c r="AE337" s="6"/>
      <c r="AF337" s="6"/>
      <c r="AG337" s="6"/>
    </row>
    <row r="338" ht="14.25" customHeight="1">
      <c r="A338" s="6"/>
      <c r="B338" s="6"/>
      <c r="C338" s="6">
        <v>331.0</v>
      </c>
      <c r="D338" s="6"/>
      <c r="E338" s="6">
        <v>7988241.012568029</v>
      </c>
      <c r="F338" s="6">
        <v>498.9161103853319</v>
      </c>
      <c r="G338" s="6">
        <v>4.194855542626161</v>
      </c>
      <c r="H338" s="6">
        <v>7876176.219066046</v>
      </c>
      <c r="I338" s="6">
        <v>493.9589830756116</v>
      </c>
      <c r="J338" s="6">
        <v>3.5012384522684816</v>
      </c>
      <c r="K338" s="6"/>
      <c r="L338" s="6"/>
      <c r="M338" s="6"/>
      <c r="N338" s="6">
        <f t="shared" ref="N338:P338" si="341">IF(LEN($C338)&gt;0,H338-E338,"")</f>
        <v>-112064.7935</v>
      </c>
      <c r="O338" s="6">
        <f t="shared" si="341"/>
        <v>-4.95712731</v>
      </c>
      <c r="P338" s="6">
        <f t="shared" si="341"/>
        <v>-0.6936170904</v>
      </c>
      <c r="Q338" s="6"/>
      <c r="R338" s="6"/>
      <c r="S338" s="6"/>
      <c r="T338" s="6"/>
      <c r="U338" s="6"/>
      <c r="V338" s="6"/>
      <c r="W338" s="6"/>
      <c r="X338" s="6"/>
      <c r="Y338" s="6"/>
      <c r="Z338" s="6"/>
      <c r="AA338" s="6"/>
      <c r="AB338" s="6"/>
      <c r="AC338" s="6"/>
      <c r="AD338" s="6"/>
      <c r="AE338" s="6"/>
      <c r="AF338" s="6"/>
      <c r="AG338" s="6"/>
    </row>
    <row r="339" ht="14.25" customHeight="1">
      <c r="A339" s="6"/>
      <c r="B339" s="6"/>
      <c r="C339" s="6">
        <v>332.0</v>
      </c>
      <c r="D339" s="6"/>
      <c r="E339" s="6">
        <v>6842379.754809112</v>
      </c>
      <c r="F339" s="6">
        <v>480.9184740799089</v>
      </c>
      <c r="G339" s="6">
        <v>5.45876514698563</v>
      </c>
      <c r="H339" s="6">
        <v>6740337.453516653</v>
      </c>
      <c r="I339" s="6">
        <v>477.2520030931688</v>
      </c>
      <c r="J339" s="6">
        <v>4.270366741209424</v>
      </c>
      <c r="K339" s="6"/>
      <c r="L339" s="6"/>
      <c r="M339" s="6"/>
      <c r="N339" s="6">
        <f t="shared" ref="N339:P339" si="342">IF(LEN($C339)&gt;0,H339-E339,"")</f>
        <v>-102042.3013</v>
      </c>
      <c r="O339" s="6">
        <f t="shared" si="342"/>
        <v>-3.666470987</v>
      </c>
      <c r="P339" s="6">
        <f t="shared" si="342"/>
        <v>-1.188398406</v>
      </c>
      <c r="Q339" s="6"/>
      <c r="R339" s="6"/>
      <c r="S339" s="6"/>
      <c r="T339" s="6"/>
      <c r="U339" s="6"/>
      <c r="V339" s="6"/>
      <c r="W339" s="6"/>
      <c r="X339" s="6"/>
      <c r="Y339" s="6"/>
      <c r="Z339" s="6"/>
      <c r="AA339" s="6"/>
      <c r="AB339" s="6"/>
      <c r="AC339" s="6"/>
      <c r="AD339" s="6"/>
      <c r="AE339" s="6"/>
      <c r="AF339" s="6"/>
      <c r="AG339" s="6"/>
    </row>
    <row r="340" ht="14.25" customHeight="1">
      <c r="A340" s="6"/>
      <c r="B340" s="6"/>
      <c r="C340" s="6">
        <v>333.0</v>
      </c>
      <c r="D340" s="6"/>
      <c r="E340" s="6">
        <v>6555152.075643828</v>
      </c>
      <c r="F340" s="6">
        <v>464.44349811838777</v>
      </c>
      <c r="G340" s="6">
        <v>5.211397503884116</v>
      </c>
      <c r="H340" s="6">
        <v>6499823.240755394</v>
      </c>
      <c r="I340" s="6">
        <v>462.83494278591854</v>
      </c>
      <c r="J340" s="6">
        <v>4.38142919515381</v>
      </c>
      <c r="K340" s="6"/>
      <c r="L340" s="6"/>
      <c r="M340" s="6"/>
      <c r="N340" s="6">
        <f t="shared" ref="N340:P340" si="343">IF(LEN($C340)&gt;0,H340-E340,"")</f>
        <v>-55328.83489</v>
      </c>
      <c r="O340" s="6">
        <f t="shared" si="343"/>
        <v>-1.608555332</v>
      </c>
      <c r="P340" s="6">
        <f t="shared" si="343"/>
        <v>-0.8299683087</v>
      </c>
      <c r="Q340" s="6"/>
      <c r="R340" s="6"/>
      <c r="S340" s="6"/>
      <c r="T340" s="6"/>
      <c r="U340" s="6"/>
      <c r="V340" s="6"/>
      <c r="W340" s="6"/>
      <c r="X340" s="6"/>
      <c r="Y340" s="6"/>
      <c r="Z340" s="6"/>
      <c r="AA340" s="6"/>
      <c r="AB340" s="6"/>
      <c r="AC340" s="6"/>
      <c r="AD340" s="6"/>
      <c r="AE340" s="6"/>
      <c r="AF340" s="6"/>
      <c r="AG340" s="6"/>
    </row>
    <row r="341" ht="14.25" customHeight="1">
      <c r="A341" s="6"/>
      <c r="B341" s="6"/>
      <c r="C341" s="6">
        <v>334.0</v>
      </c>
      <c r="D341" s="6"/>
      <c r="E341" s="6">
        <v>8558964.666883437</v>
      </c>
      <c r="F341" s="6">
        <v>497.3473513704612</v>
      </c>
      <c r="G341" s="6">
        <v>4.781906891962226</v>
      </c>
      <c r="H341" s="6">
        <v>8375513.579400127</v>
      </c>
      <c r="I341" s="6">
        <v>490.3574236899775</v>
      </c>
      <c r="J341" s="6">
        <v>3.493842304133781</v>
      </c>
      <c r="K341" s="6"/>
      <c r="L341" s="6"/>
      <c r="M341" s="6"/>
      <c r="N341" s="6">
        <f t="shared" ref="N341:P341" si="344">IF(LEN($C341)&gt;0,H341-E341,"")</f>
        <v>-183451.0875</v>
      </c>
      <c r="O341" s="6">
        <f t="shared" si="344"/>
        <v>-6.98992768</v>
      </c>
      <c r="P341" s="6">
        <f t="shared" si="344"/>
        <v>-1.288064588</v>
      </c>
      <c r="Q341" s="6"/>
      <c r="R341" s="6"/>
      <c r="S341" s="6"/>
      <c r="T341" s="6"/>
      <c r="U341" s="6"/>
      <c r="V341" s="6"/>
      <c r="W341" s="6"/>
      <c r="X341" s="6"/>
      <c r="Y341" s="6"/>
      <c r="Z341" s="6"/>
      <c r="AA341" s="6"/>
      <c r="AB341" s="6"/>
      <c r="AC341" s="6"/>
      <c r="AD341" s="6"/>
      <c r="AE341" s="6"/>
      <c r="AF341" s="6"/>
      <c r="AG341" s="6"/>
    </row>
    <row r="342" ht="14.25" customHeight="1">
      <c r="A342" s="6"/>
      <c r="B342" s="6"/>
      <c r="C342" s="6">
        <v>335.0</v>
      </c>
      <c r="D342" s="6"/>
      <c r="E342" s="6">
        <v>7550852.546817927</v>
      </c>
      <c r="F342" s="6">
        <v>476.49772906643</v>
      </c>
      <c r="G342" s="6">
        <v>5.024357697147703</v>
      </c>
      <c r="H342" s="6">
        <v>7478274.976413988</v>
      </c>
      <c r="I342" s="6">
        <v>473.97071344842897</v>
      </c>
      <c r="J342" s="6">
        <v>3.9723953982673823</v>
      </c>
      <c r="K342" s="6"/>
      <c r="L342" s="6"/>
      <c r="M342" s="6"/>
      <c r="N342" s="6">
        <f t="shared" ref="N342:P342" si="345">IF(LEN($C342)&gt;0,H342-E342,"")</f>
        <v>-72577.5704</v>
      </c>
      <c r="O342" s="6">
        <f t="shared" si="345"/>
        <v>-2.527015618</v>
      </c>
      <c r="P342" s="6">
        <f t="shared" si="345"/>
        <v>-1.051962299</v>
      </c>
      <c r="Q342" s="6"/>
      <c r="R342" s="6"/>
      <c r="S342" s="6"/>
      <c r="T342" s="6"/>
      <c r="U342" s="6"/>
      <c r="V342" s="6"/>
      <c r="W342" s="6"/>
      <c r="X342" s="6"/>
      <c r="Y342" s="6"/>
      <c r="Z342" s="6"/>
      <c r="AA342" s="6"/>
      <c r="AB342" s="6"/>
      <c r="AC342" s="6"/>
      <c r="AD342" s="6"/>
      <c r="AE342" s="6"/>
      <c r="AF342" s="6"/>
      <c r="AG342" s="6"/>
    </row>
    <row r="343" ht="14.25" customHeight="1">
      <c r="A343" s="6"/>
      <c r="B343" s="6"/>
      <c r="C343" s="6">
        <v>336.0</v>
      </c>
      <c r="D343" s="6"/>
      <c r="E343" s="6">
        <v>6565208.072351933</v>
      </c>
      <c r="F343" s="6">
        <v>485.8714108438224</v>
      </c>
      <c r="G343" s="6">
        <v>5.104413979407516</v>
      </c>
      <c r="H343" s="6">
        <v>6447920.57056136</v>
      </c>
      <c r="I343" s="6">
        <v>479.71874945153576</v>
      </c>
      <c r="J343" s="6">
        <v>3.9805862973037147</v>
      </c>
      <c r="K343" s="6"/>
      <c r="L343" s="6"/>
      <c r="M343" s="6"/>
      <c r="N343" s="6">
        <f t="shared" ref="N343:P343" si="346">IF(LEN($C343)&gt;0,H343-E343,"")</f>
        <v>-117287.5018</v>
      </c>
      <c r="O343" s="6">
        <f t="shared" si="346"/>
        <v>-6.152661392</v>
      </c>
      <c r="P343" s="6">
        <f t="shared" si="346"/>
        <v>-1.123827682</v>
      </c>
      <c r="Q343" s="6"/>
      <c r="R343" s="6"/>
      <c r="S343" s="6"/>
      <c r="T343" s="6"/>
      <c r="U343" s="6"/>
      <c r="V343" s="6"/>
      <c r="W343" s="6"/>
      <c r="X343" s="6"/>
      <c r="Y343" s="6"/>
      <c r="Z343" s="6"/>
      <c r="AA343" s="6"/>
      <c r="AB343" s="6"/>
      <c r="AC343" s="6"/>
      <c r="AD343" s="6"/>
      <c r="AE343" s="6"/>
      <c r="AF343" s="6"/>
      <c r="AG343" s="6"/>
    </row>
    <row r="344" ht="14.25" customHeight="1">
      <c r="A344" s="6"/>
      <c r="B344" s="6"/>
      <c r="C344" s="6">
        <v>337.0</v>
      </c>
      <c r="D344" s="6"/>
      <c r="E344" s="6">
        <v>8005384.874243265</v>
      </c>
      <c r="F344" s="6">
        <v>495.7533379439566</v>
      </c>
      <c r="G344" s="6">
        <v>4.650153643436656</v>
      </c>
      <c r="H344" s="6">
        <v>7941247.947455036</v>
      </c>
      <c r="I344" s="6">
        <v>493.0400941377411</v>
      </c>
      <c r="J344" s="6">
        <v>3.8123150726565047</v>
      </c>
      <c r="K344" s="6"/>
      <c r="L344" s="6"/>
      <c r="M344" s="6"/>
      <c r="N344" s="6">
        <f t="shared" ref="N344:P344" si="347">IF(LEN($C344)&gt;0,H344-E344,"")</f>
        <v>-64136.92679</v>
      </c>
      <c r="O344" s="6">
        <f t="shared" si="347"/>
        <v>-2.713243806</v>
      </c>
      <c r="P344" s="6">
        <f t="shared" si="347"/>
        <v>-0.8378385708</v>
      </c>
      <c r="Q344" s="6"/>
      <c r="R344" s="6"/>
      <c r="S344" s="6"/>
      <c r="T344" s="6"/>
      <c r="U344" s="6"/>
      <c r="V344" s="6"/>
      <c r="W344" s="6"/>
      <c r="X344" s="6"/>
      <c r="Y344" s="6"/>
      <c r="Z344" s="6"/>
      <c r="AA344" s="6"/>
      <c r="AB344" s="6"/>
      <c r="AC344" s="6"/>
      <c r="AD344" s="6"/>
      <c r="AE344" s="6"/>
      <c r="AF344" s="6"/>
      <c r="AG344" s="6"/>
    </row>
    <row r="345" ht="14.25" customHeight="1">
      <c r="A345" s="6"/>
      <c r="B345" s="6"/>
      <c r="C345" s="6">
        <v>338.0</v>
      </c>
      <c r="D345" s="6"/>
      <c r="E345" s="6">
        <v>6573345.237573985</v>
      </c>
      <c r="F345" s="6">
        <v>439.6889719767282</v>
      </c>
      <c r="G345" s="6">
        <v>5.938780782348128</v>
      </c>
      <c r="H345" s="6">
        <v>6501038.871047965</v>
      </c>
      <c r="I345" s="6">
        <v>436.55065733001965</v>
      </c>
      <c r="J345" s="6">
        <v>4.686951244760896</v>
      </c>
      <c r="K345" s="6"/>
      <c r="L345" s="6"/>
      <c r="M345" s="6"/>
      <c r="N345" s="6">
        <f t="shared" ref="N345:P345" si="348">IF(LEN($C345)&gt;0,H345-E345,"")</f>
        <v>-72306.36653</v>
      </c>
      <c r="O345" s="6">
        <f t="shared" si="348"/>
        <v>-3.138314647</v>
      </c>
      <c r="P345" s="6">
        <f t="shared" si="348"/>
        <v>-1.251829538</v>
      </c>
      <c r="Q345" s="6"/>
      <c r="R345" s="6"/>
      <c r="S345" s="6"/>
      <c r="T345" s="6"/>
      <c r="U345" s="6"/>
      <c r="V345" s="6"/>
      <c r="W345" s="6"/>
      <c r="X345" s="6"/>
      <c r="Y345" s="6"/>
      <c r="Z345" s="6"/>
      <c r="AA345" s="6"/>
      <c r="AB345" s="6"/>
      <c r="AC345" s="6"/>
      <c r="AD345" s="6"/>
      <c r="AE345" s="6"/>
      <c r="AF345" s="6"/>
      <c r="AG345" s="6"/>
    </row>
    <row r="346" ht="14.25" customHeight="1">
      <c r="A346" s="6"/>
      <c r="B346" s="6"/>
      <c r="C346" s="6">
        <v>339.0</v>
      </c>
      <c r="D346" s="6"/>
      <c r="E346" s="6">
        <v>6343367.994324378</v>
      </c>
      <c r="F346" s="6">
        <v>469.52029887151525</v>
      </c>
      <c r="G346" s="6">
        <v>5.851543578779192</v>
      </c>
      <c r="H346" s="6">
        <v>6302964.11961818</v>
      </c>
      <c r="I346" s="6">
        <v>468.4519526823145</v>
      </c>
      <c r="J346" s="6">
        <v>5.161720297327849</v>
      </c>
      <c r="K346" s="6"/>
      <c r="L346" s="6"/>
      <c r="M346" s="6"/>
      <c r="N346" s="6">
        <f t="shared" ref="N346:P346" si="349">IF(LEN($C346)&gt;0,H346-E346,"")</f>
        <v>-40403.87471</v>
      </c>
      <c r="O346" s="6">
        <f t="shared" si="349"/>
        <v>-1.068346189</v>
      </c>
      <c r="P346" s="6">
        <f t="shared" si="349"/>
        <v>-0.6898232815</v>
      </c>
      <c r="Q346" s="6"/>
      <c r="R346" s="6"/>
      <c r="S346" s="6"/>
      <c r="T346" s="6"/>
      <c r="U346" s="6"/>
      <c r="V346" s="6"/>
      <c r="W346" s="6"/>
      <c r="X346" s="6"/>
      <c r="Y346" s="6"/>
      <c r="Z346" s="6"/>
      <c r="AA346" s="6"/>
      <c r="AB346" s="6"/>
      <c r="AC346" s="6"/>
      <c r="AD346" s="6"/>
      <c r="AE346" s="6"/>
      <c r="AF346" s="6"/>
      <c r="AG346" s="6"/>
    </row>
    <row r="347" ht="14.25" customHeight="1">
      <c r="A347" s="6"/>
      <c r="B347" s="6"/>
      <c r="C347" s="6">
        <v>340.0</v>
      </c>
      <c r="D347" s="6"/>
      <c r="E347" s="6">
        <v>8574061.513602985</v>
      </c>
      <c r="F347" s="6">
        <v>455.4335557268096</v>
      </c>
      <c r="G347" s="6">
        <v>4.203762264509561</v>
      </c>
      <c r="H347" s="6">
        <v>8467421.53154998</v>
      </c>
      <c r="I347" s="6">
        <v>450.1415799368489</v>
      </c>
      <c r="J347" s="6">
        <v>3.2874743113543565</v>
      </c>
      <c r="K347" s="6"/>
      <c r="L347" s="6"/>
      <c r="M347" s="6"/>
      <c r="N347" s="6">
        <f t="shared" ref="N347:P347" si="350">IF(LEN($C347)&gt;0,H347-E347,"")</f>
        <v>-106639.9821</v>
      </c>
      <c r="O347" s="6">
        <f t="shared" si="350"/>
        <v>-5.29197579</v>
      </c>
      <c r="P347" s="6">
        <f t="shared" si="350"/>
        <v>-0.9162879532</v>
      </c>
      <c r="Q347" s="6"/>
      <c r="R347" s="6"/>
      <c r="S347" s="6"/>
      <c r="T347" s="6"/>
      <c r="U347" s="6"/>
      <c r="V347" s="6"/>
      <c r="W347" s="6"/>
      <c r="X347" s="6"/>
      <c r="Y347" s="6"/>
      <c r="Z347" s="6"/>
      <c r="AA347" s="6"/>
      <c r="AB347" s="6"/>
      <c r="AC347" s="6"/>
      <c r="AD347" s="6"/>
      <c r="AE347" s="6"/>
      <c r="AF347" s="6"/>
      <c r="AG347" s="6"/>
    </row>
    <row r="348" ht="14.25" customHeight="1">
      <c r="A348" s="6"/>
      <c r="B348" s="6"/>
      <c r="C348" s="6">
        <v>341.0</v>
      </c>
      <c r="D348" s="6"/>
      <c r="E348" s="6">
        <v>7720278.792797803</v>
      </c>
      <c r="F348" s="6">
        <v>451.03342017427883</v>
      </c>
      <c r="G348" s="6">
        <v>4.376909089229887</v>
      </c>
      <c r="H348" s="6">
        <v>7665321.950300554</v>
      </c>
      <c r="I348" s="6">
        <v>448.16561360080567</v>
      </c>
      <c r="J348" s="6">
        <v>3.2811746861519646</v>
      </c>
      <c r="K348" s="6"/>
      <c r="L348" s="6"/>
      <c r="M348" s="6"/>
      <c r="N348" s="6">
        <f t="shared" ref="N348:P348" si="351">IF(LEN($C348)&gt;0,H348-E348,"")</f>
        <v>-54956.8425</v>
      </c>
      <c r="O348" s="6">
        <f t="shared" si="351"/>
        <v>-2.867806573</v>
      </c>
      <c r="P348" s="6">
        <f t="shared" si="351"/>
        <v>-1.095734403</v>
      </c>
      <c r="Q348" s="6"/>
      <c r="R348" s="6"/>
      <c r="S348" s="6"/>
      <c r="T348" s="6"/>
      <c r="U348" s="6"/>
      <c r="V348" s="6"/>
      <c r="W348" s="6"/>
      <c r="X348" s="6"/>
      <c r="Y348" s="6"/>
      <c r="Z348" s="6"/>
      <c r="AA348" s="6"/>
      <c r="AB348" s="6"/>
      <c r="AC348" s="6"/>
      <c r="AD348" s="6"/>
      <c r="AE348" s="6"/>
      <c r="AF348" s="6"/>
      <c r="AG348" s="6"/>
    </row>
    <row r="349" ht="14.25" customHeight="1">
      <c r="A349" s="6"/>
      <c r="B349" s="6"/>
      <c r="C349" s="6">
        <v>342.0</v>
      </c>
      <c r="D349" s="6"/>
      <c r="E349" s="6">
        <v>8585706.877802914</v>
      </c>
      <c r="F349" s="6">
        <v>479.31244189204386</v>
      </c>
      <c r="G349" s="6">
        <v>5.15307721652818</v>
      </c>
      <c r="H349" s="6">
        <v>8468913.86823608</v>
      </c>
      <c r="I349" s="6">
        <v>474.8421196181522</v>
      </c>
      <c r="J349" s="6">
        <v>3.6440665763119093</v>
      </c>
      <c r="K349" s="6"/>
      <c r="L349" s="6"/>
      <c r="M349" s="6"/>
      <c r="N349" s="6">
        <f t="shared" ref="N349:P349" si="352">IF(LEN($C349)&gt;0,H349-E349,"")</f>
        <v>-116793.0096</v>
      </c>
      <c r="O349" s="6">
        <f t="shared" si="352"/>
        <v>-4.470322274</v>
      </c>
      <c r="P349" s="6">
        <f t="shared" si="352"/>
        <v>-1.50901064</v>
      </c>
      <c r="Q349" s="6"/>
      <c r="R349" s="6"/>
      <c r="S349" s="6"/>
      <c r="T349" s="6"/>
      <c r="U349" s="6"/>
      <c r="V349" s="6"/>
      <c r="W349" s="6"/>
      <c r="X349" s="6"/>
      <c r="Y349" s="6"/>
      <c r="Z349" s="6"/>
      <c r="AA349" s="6"/>
      <c r="AB349" s="6"/>
      <c r="AC349" s="6"/>
      <c r="AD349" s="6"/>
      <c r="AE349" s="6"/>
      <c r="AF349" s="6"/>
      <c r="AG349" s="6"/>
    </row>
    <row r="350" ht="14.25" customHeight="1">
      <c r="A350" s="6"/>
      <c r="B350" s="6"/>
      <c r="C350" s="6">
        <v>343.0</v>
      </c>
      <c r="D350" s="6"/>
      <c r="E350" s="6">
        <v>6112539.814339377</v>
      </c>
      <c r="F350" s="6">
        <v>467.46576058992775</v>
      </c>
      <c r="G350" s="6">
        <v>4.613248237752074</v>
      </c>
      <c r="H350" s="6">
        <v>6017527.535012477</v>
      </c>
      <c r="I350" s="6">
        <v>463.14347692870285</v>
      </c>
      <c r="J350" s="6">
        <v>3.3021622530820345</v>
      </c>
      <c r="K350" s="6"/>
      <c r="L350" s="6"/>
      <c r="M350" s="6"/>
      <c r="N350" s="6">
        <f t="shared" ref="N350:P350" si="353">IF(LEN($C350)&gt;0,H350-E350,"")</f>
        <v>-95012.27933</v>
      </c>
      <c r="O350" s="6">
        <f t="shared" si="353"/>
        <v>-4.322283661</v>
      </c>
      <c r="P350" s="6">
        <f t="shared" si="353"/>
        <v>-1.311085985</v>
      </c>
      <c r="Q350" s="6"/>
      <c r="R350" s="6"/>
      <c r="S350" s="6"/>
      <c r="T350" s="6"/>
      <c r="U350" s="6"/>
      <c r="V350" s="6"/>
      <c r="W350" s="6"/>
      <c r="X350" s="6"/>
      <c r="Y350" s="6"/>
      <c r="Z350" s="6"/>
      <c r="AA350" s="6"/>
      <c r="AB350" s="6"/>
      <c r="AC350" s="6"/>
      <c r="AD350" s="6"/>
      <c r="AE350" s="6"/>
      <c r="AF350" s="6"/>
      <c r="AG350" s="6"/>
    </row>
    <row r="351" ht="14.25" customHeight="1">
      <c r="A351" s="6"/>
      <c r="B351" s="6"/>
      <c r="C351" s="6">
        <v>344.0</v>
      </c>
      <c r="D351" s="6"/>
      <c r="E351" s="6">
        <v>7729684.759470251</v>
      </c>
      <c r="F351" s="6">
        <v>465.82005886817325</v>
      </c>
      <c r="G351" s="6">
        <v>5.647023052708479</v>
      </c>
      <c r="H351" s="6">
        <v>7606560.418470306</v>
      </c>
      <c r="I351" s="6">
        <v>461.39329822240074</v>
      </c>
      <c r="J351" s="6">
        <v>3.7784210379056415</v>
      </c>
      <c r="K351" s="6"/>
      <c r="L351" s="6"/>
      <c r="M351" s="6"/>
      <c r="N351" s="6">
        <f t="shared" ref="N351:P351" si="354">IF(LEN($C351)&gt;0,H351-E351,"")</f>
        <v>-123124.341</v>
      </c>
      <c r="O351" s="6">
        <f t="shared" si="354"/>
        <v>-4.426760646</v>
      </c>
      <c r="P351" s="6">
        <f t="shared" si="354"/>
        <v>-1.868602015</v>
      </c>
      <c r="Q351" s="6"/>
      <c r="R351" s="6"/>
      <c r="S351" s="6"/>
      <c r="T351" s="6"/>
      <c r="U351" s="6"/>
      <c r="V351" s="6"/>
      <c r="W351" s="6"/>
      <c r="X351" s="6"/>
      <c r="Y351" s="6"/>
      <c r="Z351" s="6"/>
      <c r="AA351" s="6"/>
      <c r="AB351" s="6"/>
      <c r="AC351" s="6"/>
      <c r="AD351" s="6"/>
      <c r="AE351" s="6"/>
      <c r="AF351" s="6"/>
      <c r="AG351" s="6"/>
    </row>
    <row r="352" ht="14.25" customHeight="1">
      <c r="A352" s="6"/>
      <c r="B352" s="6"/>
      <c r="C352" s="6">
        <v>345.0</v>
      </c>
      <c r="D352" s="6"/>
      <c r="E352" s="6">
        <v>5280494.187014084</v>
      </c>
      <c r="F352" s="6">
        <v>484.2891986496748</v>
      </c>
      <c r="G352" s="6">
        <v>6.522067379505585</v>
      </c>
      <c r="H352" s="6">
        <v>5182927.275018609</v>
      </c>
      <c r="I352" s="6">
        <v>479.0959266040029</v>
      </c>
      <c r="J352" s="6">
        <v>5.252353721945989</v>
      </c>
      <c r="K352" s="6"/>
      <c r="L352" s="6"/>
      <c r="M352" s="6"/>
      <c r="N352" s="6">
        <f t="shared" ref="N352:P352" si="355">IF(LEN($C352)&gt;0,H352-E352,"")</f>
        <v>-97566.912</v>
      </c>
      <c r="O352" s="6">
        <f t="shared" si="355"/>
        <v>-5.193272046</v>
      </c>
      <c r="P352" s="6">
        <f t="shared" si="355"/>
        <v>-1.269713658</v>
      </c>
      <c r="Q352" s="6"/>
      <c r="R352" s="6"/>
      <c r="S352" s="6"/>
      <c r="T352" s="6"/>
      <c r="U352" s="6"/>
      <c r="V352" s="6"/>
      <c r="W352" s="6"/>
      <c r="X352" s="6"/>
      <c r="Y352" s="6"/>
      <c r="Z352" s="6"/>
      <c r="AA352" s="6"/>
      <c r="AB352" s="6"/>
      <c r="AC352" s="6"/>
      <c r="AD352" s="6"/>
      <c r="AE352" s="6"/>
      <c r="AF352" s="6"/>
      <c r="AG352" s="6"/>
    </row>
    <row r="353" ht="14.25" customHeight="1">
      <c r="A353" s="6"/>
      <c r="B353" s="6"/>
      <c r="C353" s="6">
        <v>346.0</v>
      </c>
      <c r="D353" s="6"/>
      <c r="E353" s="6">
        <v>7540775.212825462</v>
      </c>
      <c r="F353" s="6">
        <v>481.5043575530827</v>
      </c>
      <c r="G353" s="6">
        <v>5.569375025971007</v>
      </c>
      <c r="H353" s="6">
        <v>7436881.878505868</v>
      </c>
      <c r="I353" s="6">
        <v>476.42005375469523</v>
      </c>
      <c r="J353" s="6">
        <v>4.075221085632009</v>
      </c>
      <c r="K353" s="6"/>
      <c r="L353" s="6"/>
      <c r="M353" s="6"/>
      <c r="N353" s="6">
        <f t="shared" ref="N353:P353" si="356">IF(LEN($C353)&gt;0,H353-E353,"")</f>
        <v>-103893.3343</v>
      </c>
      <c r="O353" s="6">
        <f t="shared" si="356"/>
        <v>-5.084303798</v>
      </c>
      <c r="P353" s="6">
        <f t="shared" si="356"/>
        <v>-1.49415394</v>
      </c>
      <c r="Q353" s="6"/>
      <c r="R353" s="6"/>
      <c r="S353" s="6"/>
      <c r="T353" s="6"/>
      <c r="U353" s="6"/>
      <c r="V353" s="6"/>
      <c r="W353" s="6"/>
      <c r="X353" s="6"/>
      <c r="Y353" s="6"/>
      <c r="Z353" s="6"/>
      <c r="AA353" s="6"/>
      <c r="AB353" s="6"/>
      <c r="AC353" s="6"/>
      <c r="AD353" s="6"/>
      <c r="AE353" s="6"/>
      <c r="AF353" s="6"/>
      <c r="AG353" s="6"/>
    </row>
    <row r="354" ht="14.25" customHeight="1">
      <c r="A354" s="6"/>
      <c r="B354" s="6"/>
      <c r="C354" s="6">
        <v>347.0</v>
      </c>
      <c r="D354" s="6"/>
      <c r="E354" s="6">
        <v>8294860.936648918</v>
      </c>
      <c r="F354" s="6">
        <v>464.4991947880407</v>
      </c>
      <c r="G354" s="6">
        <v>4.0377659724766</v>
      </c>
      <c r="H354" s="6">
        <v>8230662.794891536</v>
      </c>
      <c r="I354" s="6">
        <v>461.6372700447644</v>
      </c>
      <c r="J354" s="6">
        <v>3.250912429101842</v>
      </c>
      <c r="K354" s="6"/>
      <c r="L354" s="6"/>
      <c r="M354" s="6"/>
      <c r="N354" s="6">
        <f t="shared" ref="N354:P354" si="357">IF(LEN($C354)&gt;0,H354-E354,"")</f>
        <v>-64198.14176</v>
      </c>
      <c r="O354" s="6">
        <f t="shared" si="357"/>
        <v>-2.861924743</v>
      </c>
      <c r="P354" s="6">
        <f t="shared" si="357"/>
        <v>-0.7868535434</v>
      </c>
      <c r="Q354" s="6"/>
      <c r="R354" s="6"/>
      <c r="S354" s="6"/>
      <c r="T354" s="6"/>
      <c r="U354" s="6"/>
      <c r="V354" s="6"/>
      <c r="W354" s="6"/>
      <c r="X354" s="6"/>
      <c r="Y354" s="6"/>
      <c r="Z354" s="6"/>
      <c r="AA354" s="6"/>
      <c r="AB354" s="6"/>
      <c r="AC354" s="6"/>
      <c r="AD354" s="6"/>
      <c r="AE354" s="6"/>
      <c r="AF354" s="6"/>
      <c r="AG354" s="6"/>
    </row>
    <row r="355" ht="14.25" customHeight="1">
      <c r="A355" s="6"/>
      <c r="B355" s="6"/>
      <c r="C355" s="6">
        <v>348.0</v>
      </c>
      <c r="D355" s="6"/>
      <c r="E355" s="6">
        <v>7684439.11992574</v>
      </c>
      <c r="F355" s="6">
        <v>482.4678221107387</v>
      </c>
      <c r="G355" s="6">
        <v>4.364344475017174</v>
      </c>
      <c r="H355" s="6">
        <v>7587303.456279632</v>
      </c>
      <c r="I355" s="6">
        <v>478.51347446507623</v>
      </c>
      <c r="J355" s="6">
        <v>3.2099118460856824</v>
      </c>
      <c r="K355" s="6"/>
      <c r="L355" s="6"/>
      <c r="M355" s="6"/>
      <c r="N355" s="6">
        <f t="shared" ref="N355:P355" si="358">IF(LEN($C355)&gt;0,H355-E355,"")</f>
        <v>-97135.66365</v>
      </c>
      <c r="O355" s="6">
        <f t="shared" si="358"/>
        <v>-3.954347646</v>
      </c>
      <c r="P355" s="6">
        <f t="shared" si="358"/>
        <v>-1.154432629</v>
      </c>
      <c r="Q355" s="6"/>
      <c r="R355" s="6"/>
      <c r="S355" s="6"/>
      <c r="T355" s="6"/>
      <c r="U355" s="6"/>
      <c r="V355" s="6"/>
      <c r="W355" s="6"/>
      <c r="X355" s="6"/>
      <c r="Y355" s="6"/>
      <c r="Z355" s="6"/>
      <c r="AA355" s="6"/>
      <c r="AB355" s="6"/>
      <c r="AC355" s="6"/>
      <c r="AD355" s="6"/>
      <c r="AE355" s="6"/>
      <c r="AF355" s="6"/>
      <c r="AG355" s="6"/>
    </row>
    <row r="356" ht="14.25" customHeight="1">
      <c r="A356" s="6"/>
      <c r="B356" s="6"/>
      <c r="C356" s="6">
        <v>349.0</v>
      </c>
      <c r="D356" s="6"/>
      <c r="E356" s="6">
        <v>8361471.882639264</v>
      </c>
      <c r="F356" s="6">
        <v>496.56510284009283</v>
      </c>
      <c r="G356" s="6">
        <v>5.039282248756827</v>
      </c>
      <c r="H356" s="6">
        <v>8249779.0775289405</v>
      </c>
      <c r="I356" s="6">
        <v>491.0722631689238</v>
      </c>
      <c r="J356" s="6">
        <v>4.135834218174731</v>
      </c>
      <c r="K356" s="6"/>
      <c r="L356" s="6"/>
      <c r="M356" s="6"/>
      <c r="N356" s="6">
        <f t="shared" ref="N356:P356" si="359">IF(LEN($C356)&gt;0,H356-E356,"")</f>
        <v>-111692.8051</v>
      </c>
      <c r="O356" s="6">
        <f t="shared" si="359"/>
        <v>-5.492839671</v>
      </c>
      <c r="P356" s="6">
        <f t="shared" si="359"/>
        <v>-0.9034480306</v>
      </c>
      <c r="Q356" s="6"/>
      <c r="R356" s="6"/>
      <c r="S356" s="6"/>
      <c r="T356" s="6"/>
      <c r="U356" s="6"/>
      <c r="V356" s="6"/>
      <c r="W356" s="6"/>
      <c r="X356" s="6"/>
      <c r="Y356" s="6"/>
      <c r="Z356" s="6"/>
      <c r="AA356" s="6"/>
      <c r="AB356" s="6"/>
      <c r="AC356" s="6"/>
      <c r="AD356" s="6"/>
      <c r="AE356" s="6"/>
      <c r="AF356" s="6"/>
      <c r="AG356" s="6"/>
    </row>
    <row r="357" ht="14.25" customHeight="1">
      <c r="A357" s="6"/>
      <c r="B357" s="6"/>
      <c r="C357" s="6">
        <v>350.0</v>
      </c>
      <c r="D357" s="6"/>
      <c r="E357" s="6">
        <v>7139484.3924726425</v>
      </c>
      <c r="F357" s="6">
        <v>480.04817501254814</v>
      </c>
      <c r="G357" s="6">
        <v>5.379971768122482</v>
      </c>
      <c r="H357" s="6">
        <v>7072319.456537722</v>
      </c>
      <c r="I357" s="6">
        <v>477.92161423496555</v>
      </c>
      <c r="J357" s="6">
        <v>4.4962737031445075</v>
      </c>
      <c r="K357" s="6"/>
      <c r="L357" s="6"/>
      <c r="M357" s="6"/>
      <c r="N357" s="6">
        <f t="shared" ref="N357:P357" si="360">IF(LEN($C357)&gt;0,H357-E357,"")</f>
        <v>-67164.93593</v>
      </c>
      <c r="O357" s="6">
        <f t="shared" si="360"/>
        <v>-2.126560778</v>
      </c>
      <c r="P357" s="6">
        <f t="shared" si="360"/>
        <v>-0.883698065</v>
      </c>
      <c r="Q357" s="6"/>
      <c r="R357" s="6"/>
      <c r="S357" s="6"/>
      <c r="T357" s="6"/>
      <c r="U357" s="6"/>
      <c r="V357" s="6"/>
      <c r="W357" s="6"/>
      <c r="X357" s="6"/>
      <c r="Y357" s="6"/>
      <c r="Z357" s="6"/>
      <c r="AA357" s="6"/>
      <c r="AB357" s="6"/>
      <c r="AC357" s="6"/>
      <c r="AD357" s="6"/>
      <c r="AE357" s="6"/>
      <c r="AF357" s="6"/>
      <c r="AG357" s="6"/>
    </row>
    <row r="358" ht="14.25" customHeight="1">
      <c r="A358" s="6"/>
      <c r="B358" s="6"/>
      <c r="C358" s="6">
        <v>351.0</v>
      </c>
      <c r="D358" s="6"/>
      <c r="E358" s="6">
        <v>8188152.430696261</v>
      </c>
      <c r="F358" s="6">
        <v>481.1744121832828</v>
      </c>
      <c r="G358" s="6">
        <v>5.748312080624146</v>
      </c>
      <c r="H358" s="6">
        <v>8092166.03542928</v>
      </c>
      <c r="I358" s="6">
        <v>477.62935958953875</v>
      </c>
      <c r="J358" s="6">
        <v>4.555820406816113</v>
      </c>
      <c r="K358" s="6"/>
      <c r="L358" s="6"/>
      <c r="M358" s="6"/>
      <c r="N358" s="6">
        <f t="shared" ref="N358:P358" si="361">IF(LEN($C358)&gt;0,H358-E358,"")</f>
        <v>-95986.39527</v>
      </c>
      <c r="O358" s="6">
        <f t="shared" si="361"/>
        <v>-3.545052594</v>
      </c>
      <c r="P358" s="6">
        <f t="shared" si="361"/>
        <v>-1.192491674</v>
      </c>
      <c r="Q358" s="6"/>
      <c r="R358" s="6"/>
      <c r="S358" s="6"/>
      <c r="T358" s="6"/>
      <c r="U358" s="6"/>
      <c r="V358" s="6"/>
      <c r="W358" s="6"/>
      <c r="X358" s="6"/>
      <c r="Y358" s="6"/>
      <c r="Z358" s="6"/>
      <c r="AA358" s="6"/>
      <c r="AB358" s="6"/>
      <c r="AC358" s="6"/>
      <c r="AD358" s="6"/>
      <c r="AE358" s="6"/>
      <c r="AF358" s="6"/>
      <c r="AG358" s="6"/>
    </row>
    <row r="359" ht="14.25" customHeight="1">
      <c r="A359" s="6"/>
      <c r="B359" s="6"/>
      <c r="C359" s="6">
        <v>352.0</v>
      </c>
      <c r="D359" s="6"/>
      <c r="E359" s="6">
        <v>6732179.07273545</v>
      </c>
      <c r="F359" s="6">
        <v>488.33043881967495</v>
      </c>
      <c r="G359" s="6">
        <v>5.094645905186069</v>
      </c>
      <c r="H359" s="6">
        <v>6653093.800337863</v>
      </c>
      <c r="I359" s="6">
        <v>485.5397398381521</v>
      </c>
      <c r="J359" s="6">
        <v>3.854652581608004</v>
      </c>
      <c r="K359" s="6"/>
      <c r="L359" s="6"/>
      <c r="M359" s="6"/>
      <c r="N359" s="6">
        <f t="shared" ref="N359:P359" si="362">IF(LEN($C359)&gt;0,H359-E359,"")</f>
        <v>-79085.2724</v>
      </c>
      <c r="O359" s="6">
        <f t="shared" si="362"/>
        <v>-2.790698982</v>
      </c>
      <c r="P359" s="6">
        <f t="shared" si="362"/>
        <v>-1.239993324</v>
      </c>
      <c r="Q359" s="6"/>
      <c r="R359" s="6"/>
      <c r="S359" s="6"/>
      <c r="T359" s="6"/>
      <c r="U359" s="6"/>
      <c r="V359" s="6"/>
      <c r="W359" s="6"/>
      <c r="X359" s="6"/>
      <c r="Y359" s="6"/>
      <c r="Z359" s="6"/>
      <c r="AA359" s="6"/>
      <c r="AB359" s="6"/>
      <c r="AC359" s="6"/>
      <c r="AD359" s="6"/>
      <c r="AE359" s="6"/>
      <c r="AF359" s="6"/>
      <c r="AG359" s="6"/>
    </row>
    <row r="360" ht="14.25" customHeight="1">
      <c r="A360" s="6"/>
      <c r="B360" s="6"/>
      <c r="C360" s="6">
        <v>353.0</v>
      </c>
      <c r="D360" s="6"/>
      <c r="E360" s="6">
        <v>5486494.411644513</v>
      </c>
      <c r="F360" s="6">
        <v>450.3702936285061</v>
      </c>
      <c r="G360" s="6">
        <v>5.757922131120676</v>
      </c>
      <c r="H360" s="6">
        <v>5354457.739880751</v>
      </c>
      <c r="I360" s="6">
        <v>444.91470810933146</v>
      </c>
      <c r="J360" s="6">
        <v>3.8504237508459815</v>
      </c>
      <c r="K360" s="6"/>
      <c r="L360" s="6"/>
      <c r="M360" s="6"/>
      <c r="N360" s="6">
        <f t="shared" ref="N360:P360" si="363">IF(LEN($C360)&gt;0,H360-E360,"")</f>
        <v>-132036.6718</v>
      </c>
      <c r="O360" s="6">
        <f t="shared" si="363"/>
        <v>-5.455585519</v>
      </c>
      <c r="P360" s="6">
        <f t="shared" si="363"/>
        <v>-1.90749838</v>
      </c>
      <c r="Q360" s="6"/>
      <c r="R360" s="6"/>
      <c r="S360" s="6"/>
      <c r="T360" s="6"/>
      <c r="U360" s="6"/>
      <c r="V360" s="6"/>
      <c r="W360" s="6"/>
      <c r="X360" s="6"/>
      <c r="Y360" s="6"/>
      <c r="Z360" s="6"/>
      <c r="AA360" s="6"/>
      <c r="AB360" s="6"/>
      <c r="AC360" s="6"/>
      <c r="AD360" s="6"/>
      <c r="AE360" s="6"/>
      <c r="AF360" s="6"/>
      <c r="AG360" s="6"/>
    </row>
    <row r="361" ht="14.25" customHeight="1">
      <c r="A361" s="6"/>
      <c r="B361" s="6"/>
      <c r="C361" s="6">
        <v>354.0</v>
      </c>
      <c r="D361" s="6"/>
      <c r="E361" s="6">
        <v>8691070.664717708</v>
      </c>
      <c r="F361" s="6">
        <v>473.6813484492594</v>
      </c>
      <c r="G361" s="6">
        <v>3.8328249403304655</v>
      </c>
      <c r="H361" s="6">
        <v>8578606.936189076</v>
      </c>
      <c r="I361" s="6">
        <v>469.46203752335845</v>
      </c>
      <c r="J361" s="6">
        <v>2.9973017725790454</v>
      </c>
      <c r="K361" s="6"/>
      <c r="L361" s="6"/>
      <c r="M361" s="6"/>
      <c r="N361" s="6">
        <f t="shared" ref="N361:P361" si="364">IF(LEN($C361)&gt;0,H361-E361,"")</f>
        <v>-112463.7285</v>
      </c>
      <c r="O361" s="6">
        <f t="shared" si="364"/>
        <v>-4.219310926</v>
      </c>
      <c r="P361" s="6">
        <f t="shared" si="364"/>
        <v>-0.8355231678</v>
      </c>
      <c r="Q361" s="6"/>
      <c r="R361" s="6"/>
      <c r="S361" s="6"/>
      <c r="T361" s="6"/>
      <c r="U361" s="6"/>
      <c r="V361" s="6"/>
      <c r="W361" s="6"/>
      <c r="X361" s="6"/>
      <c r="Y361" s="6"/>
      <c r="Z361" s="6"/>
      <c r="AA361" s="6"/>
      <c r="AB361" s="6"/>
      <c r="AC361" s="6"/>
      <c r="AD361" s="6"/>
      <c r="AE361" s="6"/>
      <c r="AF361" s="6"/>
      <c r="AG361" s="6"/>
    </row>
    <row r="362" ht="14.25" customHeight="1">
      <c r="A362" s="6"/>
      <c r="B362" s="6"/>
      <c r="C362" s="6">
        <v>355.0</v>
      </c>
      <c r="D362" s="6"/>
      <c r="E362" s="6">
        <v>8755054.706001244</v>
      </c>
      <c r="F362" s="6">
        <v>477.2008781761527</v>
      </c>
      <c r="G362" s="6">
        <v>4.656385969323041</v>
      </c>
      <c r="H362" s="6">
        <v>8688284.72685434</v>
      </c>
      <c r="I362" s="6">
        <v>474.636144630926</v>
      </c>
      <c r="J362" s="6">
        <v>3.6050996676510043</v>
      </c>
      <c r="K362" s="6"/>
      <c r="L362" s="6"/>
      <c r="M362" s="6"/>
      <c r="N362" s="6">
        <f t="shared" ref="N362:P362" si="365">IF(LEN($C362)&gt;0,H362-E362,"")</f>
        <v>-66769.97915</v>
      </c>
      <c r="O362" s="6">
        <f t="shared" si="365"/>
        <v>-2.564733545</v>
      </c>
      <c r="P362" s="6">
        <f t="shared" si="365"/>
        <v>-1.051286302</v>
      </c>
      <c r="Q362" s="6"/>
      <c r="R362" s="6"/>
      <c r="S362" s="6"/>
      <c r="T362" s="6"/>
      <c r="U362" s="6"/>
      <c r="V362" s="6"/>
      <c r="W362" s="6"/>
      <c r="X362" s="6"/>
      <c r="Y362" s="6"/>
      <c r="Z362" s="6"/>
      <c r="AA362" s="6"/>
      <c r="AB362" s="6"/>
      <c r="AC362" s="6"/>
      <c r="AD362" s="6"/>
      <c r="AE362" s="6"/>
      <c r="AF362" s="6"/>
      <c r="AG362" s="6"/>
    </row>
    <row r="363" ht="14.25" customHeight="1">
      <c r="A363" s="6"/>
      <c r="B363" s="6"/>
      <c r="C363" s="6">
        <v>356.0</v>
      </c>
      <c r="D363" s="6"/>
      <c r="E363" s="6">
        <v>5097376.051062697</v>
      </c>
      <c r="F363" s="6">
        <v>469.5552074330032</v>
      </c>
      <c r="G363" s="6">
        <v>5.053522504834213</v>
      </c>
      <c r="H363" s="6">
        <v>5034396.074095121</v>
      </c>
      <c r="I363" s="6">
        <v>465.61688711440166</v>
      </c>
      <c r="J363" s="6">
        <v>3.843664112146693</v>
      </c>
      <c r="K363" s="6"/>
      <c r="L363" s="6"/>
      <c r="M363" s="6"/>
      <c r="N363" s="6">
        <f t="shared" ref="N363:P363" si="366">IF(LEN($C363)&gt;0,H363-E363,"")</f>
        <v>-62979.97697</v>
      </c>
      <c r="O363" s="6">
        <f t="shared" si="366"/>
        <v>-3.938320319</v>
      </c>
      <c r="P363" s="6">
        <f t="shared" si="366"/>
        <v>-1.209858393</v>
      </c>
      <c r="Q363" s="6"/>
      <c r="R363" s="6"/>
      <c r="S363" s="6"/>
      <c r="T363" s="6"/>
      <c r="U363" s="6"/>
      <c r="V363" s="6"/>
      <c r="W363" s="6"/>
      <c r="X363" s="6"/>
      <c r="Y363" s="6"/>
      <c r="Z363" s="6"/>
      <c r="AA363" s="6"/>
      <c r="AB363" s="6"/>
      <c r="AC363" s="6"/>
      <c r="AD363" s="6"/>
      <c r="AE363" s="6"/>
      <c r="AF363" s="6"/>
      <c r="AG363" s="6"/>
    </row>
    <row r="364" ht="14.25" customHeight="1">
      <c r="A364" s="6"/>
      <c r="B364" s="6"/>
      <c r="C364" s="6">
        <v>357.0</v>
      </c>
      <c r="D364" s="6"/>
      <c r="E364" s="6">
        <v>5450627.108697192</v>
      </c>
      <c r="F364" s="6">
        <v>495.8213920017762</v>
      </c>
      <c r="G364" s="6">
        <v>4.648654612684935</v>
      </c>
      <c r="H364" s="6">
        <v>5302696.576538127</v>
      </c>
      <c r="I364" s="6">
        <v>487.1631763068217</v>
      </c>
      <c r="J364" s="6">
        <v>3.171460049190983</v>
      </c>
      <c r="K364" s="6"/>
      <c r="L364" s="6"/>
      <c r="M364" s="6"/>
      <c r="N364" s="6">
        <f t="shared" ref="N364:P364" si="367">IF(LEN($C364)&gt;0,H364-E364,"")</f>
        <v>-147930.5322</v>
      </c>
      <c r="O364" s="6">
        <f t="shared" si="367"/>
        <v>-8.658215695</v>
      </c>
      <c r="P364" s="6">
        <f t="shared" si="367"/>
        <v>-1.477194563</v>
      </c>
      <c r="Q364" s="6"/>
      <c r="R364" s="6"/>
      <c r="S364" s="6"/>
      <c r="T364" s="6"/>
      <c r="U364" s="6"/>
      <c r="V364" s="6"/>
      <c r="W364" s="6"/>
      <c r="X364" s="6"/>
      <c r="Y364" s="6"/>
      <c r="Z364" s="6"/>
      <c r="AA364" s="6"/>
      <c r="AB364" s="6"/>
      <c r="AC364" s="6"/>
      <c r="AD364" s="6"/>
      <c r="AE364" s="6"/>
      <c r="AF364" s="6"/>
      <c r="AG364" s="6"/>
    </row>
    <row r="365" ht="14.25" customHeight="1">
      <c r="A365" s="6"/>
      <c r="B365" s="6"/>
      <c r="C365" s="6">
        <v>358.0</v>
      </c>
      <c r="D365" s="6"/>
      <c r="E365" s="6">
        <v>6631012.919231767</v>
      </c>
      <c r="F365" s="6">
        <v>481.1291458030709</v>
      </c>
      <c r="G365" s="6">
        <v>5.063451378072893</v>
      </c>
      <c r="H365" s="6">
        <v>6521160.360393112</v>
      </c>
      <c r="I365" s="6">
        <v>478.24596057657044</v>
      </c>
      <c r="J365" s="6">
        <v>3.2812021005931236</v>
      </c>
      <c r="K365" s="6"/>
      <c r="L365" s="6"/>
      <c r="M365" s="6"/>
      <c r="N365" s="6">
        <f t="shared" ref="N365:P365" si="368">IF(LEN($C365)&gt;0,H365-E365,"")</f>
        <v>-109852.5588</v>
      </c>
      <c r="O365" s="6">
        <f t="shared" si="368"/>
        <v>-2.883185227</v>
      </c>
      <c r="P365" s="6">
        <f t="shared" si="368"/>
        <v>-1.782249277</v>
      </c>
      <c r="Q365" s="6"/>
      <c r="R365" s="6"/>
      <c r="S365" s="6"/>
      <c r="T365" s="6"/>
      <c r="U365" s="6"/>
      <c r="V365" s="6"/>
      <c r="W365" s="6"/>
      <c r="X365" s="6"/>
      <c r="Y365" s="6"/>
      <c r="Z365" s="6"/>
      <c r="AA365" s="6"/>
      <c r="AB365" s="6"/>
      <c r="AC365" s="6"/>
      <c r="AD365" s="6"/>
      <c r="AE365" s="6"/>
      <c r="AF365" s="6"/>
      <c r="AG365" s="6"/>
    </row>
    <row r="366" ht="14.25" customHeight="1">
      <c r="A366" s="6"/>
      <c r="B366" s="6"/>
      <c r="C366" s="6">
        <v>359.0</v>
      </c>
      <c r="D366" s="6"/>
      <c r="E366" s="6">
        <v>7578878.470587376</v>
      </c>
      <c r="F366" s="6">
        <v>467.28763268858347</v>
      </c>
      <c r="G366" s="6">
        <v>5.169008681864989</v>
      </c>
      <c r="H366" s="6">
        <v>7488832.421308922</v>
      </c>
      <c r="I366" s="6">
        <v>463.3629811030629</v>
      </c>
      <c r="J366" s="6">
        <v>3.7157031029704815</v>
      </c>
      <c r="K366" s="6"/>
      <c r="L366" s="6"/>
      <c r="M366" s="6"/>
      <c r="N366" s="6">
        <f t="shared" ref="N366:P366" si="369">IF(LEN($C366)&gt;0,H366-E366,"")</f>
        <v>-90046.04928</v>
      </c>
      <c r="O366" s="6">
        <f t="shared" si="369"/>
        <v>-3.924651586</v>
      </c>
      <c r="P366" s="6">
        <f t="shared" si="369"/>
        <v>-1.453305579</v>
      </c>
      <c r="Q366" s="6"/>
      <c r="R366" s="6"/>
      <c r="S366" s="6"/>
      <c r="T366" s="6"/>
      <c r="U366" s="6"/>
      <c r="V366" s="6"/>
      <c r="W366" s="6"/>
      <c r="X366" s="6"/>
      <c r="Y366" s="6"/>
      <c r="Z366" s="6"/>
      <c r="AA366" s="6"/>
      <c r="AB366" s="6"/>
      <c r="AC366" s="6"/>
      <c r="AD366" s="6"/>
      <c r="AE366" s="6"/>
      <c r="AF366" s="6"/>
      <c r="AG366" s="6"/>
    </row>
    <row r="367" ht="14.25" customHeight="1">
      <c r="A367" s="6"/>
      <c r="B367" s="6"/>
      <c r="C367" s="6">
        <v>360.0</v>
      </c>
      <c r="D367" s="6"/>
      <c r="E367" s="6">
        <v>6865518.785007333</v>
      </c>
      <c r="F367" s="6">
        <v>455.57255999414303</v>
      </c>
      <c r="G367" s="6">
        <v>5.036643671576838</v>
      </c>
      <c r="H367" s="6">
        <v>6807752.561483843</v>
      </c>
      <c r="I367" s="6">
        <v>453.5853584843654</v>
      </c>
      <c r="J367" s="6">
        <v>4.101667689805431</v>
      </c>
      <c r="K367" s="6"/>
      <c r="L367" s="6"/>
      <c r="M367" s="6"/>
      <c r="N367" s="6">
        <f t="shared" ref="N367:P367" si="370">IF(LEN($C367)&gt;0,H367-E367,"")</f>
        <v>-57766.22352</v>
      </c>
      <c r="O367" s="6">
        <f t="shared" si="370"/>
        <v>-1.98720151</v>
      </c>
      <c r="P367" s="6">
        <f t="shared" si="370"/>
        <v>-0.9349759818</v>
      </c>
      <c r="Q367" s="6"/>
      <c r="R367" s="6"/>
      <c r="S367" s="6"/>
      <c r="T367" s="6"/>
      <c r="U367" s="6"/>
      <c r="V367" s="6"/>
      <c r="W367" s="6"/>
      <c r="X367" s="6"/>
      <c r="Y367" s="6"/>
      <c r="Z367" s="6"/>
      <c r="AA367" s="6"/>
      <c r="AB367" s="6"/>
      <c r="AC367" s="6"/>
      <c r="AD367" s="6"/>
      <c r="AE367" s="6"/>
      <c r="AF367" s="6"/>
      <c r="AG367" s="6"/>
    </row>
    <row r="368" ht="14.25" customHeight="1">
      <c r="A368" s="6"/>
      <c r="B368" s="6"/>
      <c r="C368" s="6">
        <v>361.0</v>
      </c>
      <c r="D368" s="6"/>
      <c r="E368" s="6">
        <v>5738215.0590240285</v>
      </c>
      <c r="F368" s="6">
        <v>452.6429118467004</v>
      </c>
      <c r="G368" s="6">
        <v>5.554285261248236</v>
      </c>
      <c r="H368" s="6">
        <v>5666655.540114653</v>
      </c>
      <c r="I368" s="6">
        <v>449.69585988345636</v>
      </c>
      <c r="J368" s="6">
        <v>4.670020588115113</v>
      </c>
      <c r="K368" s="6"/>
      <c r="L368" s="6"/>
      <c r="M368" s="6"/>
      <c r="N368" s="6">
        <f t="shared" ref="N368:P368" si="371">IF(LEN($C368)&gt;0,H368-E368,"")</f>
        <v>-71559.51891</v>
      </c>
      <c r="O368" s="6">
        <f t="shared" si="371"/>
        <v>-2.947051963</v>
      </c>
      <c r="P368" s="6">
        <f t="shared" si="371"/>
        <v>-0.8842646731</v>
      </c>
      <c r="Q368" s="6"/>
      <c r="R368" s="6"/>
      <c r="S368" s="6"/>
      <c r="T368" s="6"/>
      <c r="U368" s="6"/>
      <c r="V368" s="6"/>
      <c r="W368" s="6"/>
      <c r="X368" s="6"/>
      <c r="Y368" s="6"/>
      <c r="Z368" s="6"/>
      <c r="AA368" s="6"/>
      <c r="AB368" s="6"/>
      <c r="AC368" s="6"/>
      <c r="AD368" s="6"/>
      <c r="AE368" s="6"/>
      <c r="AF368" s="6"/>
      <c r="AG368" s="6"/>
    </row>
    <row r="369" ht="14.25" customHeight="1">
      <c r="A369" s="6"/>
      <c r="B369" s="6"/>
      <c r="C369" s="6">
        <v>362.0</v>
      </c>
      <c r="D369" s="6"/>
      <c r="E369" s="6">
        <v>6732105.165648676</v>
      </c>
      <c r="F369" s="6">
        <v>502.87263988415924</v>
      </c>
      <c r="G369" s="6">
        <v>5.608353438191962</v>
      </c>
      <c r="H369" s="6">
        <v>6567330.873010942</v>
      </c>
      <c r="I369" s="6">
        <v>494.9058636635417</v>
      </c>
      <c r="J369" s="6">
        <v>4.065968096440819</v>
      </c>
      <c r="K369" s="6"/>
      <c r="L369" s="6"/>
      <c r="M369" s="6"/>
      <c r="N369" s="6">
        <f t="shared" ref="N369:P369" si="372">IF(LEN($C369)&gt;0,H369-E369,"")</f>
        <v>-164774.2926</v>
      </c>
      <c r="O369" s="6">
        <f t="shared" si="372"/>
        <v>-7.966776221</v>
      </c>
      <c r="P369" s="6">
        <f t="shared" si="372"/>
        <v>-1.542385342</v>
      </c>
      <c r="Q369" s="6"/>
      <c r="R369" s="6"/>
      <c r="S369" s="6"/>
      <c r="T369" s="6"/>
      <c r="U369" s="6"/>
      <c r="V369" s="6"/>
      <c r="W369" s="6"/>
      <c r="X369" s="6"/>
      <c r="Y369" s="6"/>
      <c r="Z369" s="6"/>
      <c r="AA369" s="6"/>
      <c r="AB369" s="6"/>
      <c r="AC369" s="6"/>
      <c r="AD369" s="6"/>
      <c r="AE369" s="6"/>
      <c r="AF369" s="6"/>
      <c r="AG369" s="6"/>
    </row>
    <row r="370" ht="14.25" customHeight="1">
      <c r="A370" s="6"/>
      <c r="B370" s="6"/>
      <c r="C370" s="6">
        <v>363.0</v>
      </c>
      <c r="D370" s="6"/>
      <c r="E370" s="6">
        <v>7690698.3137838105</v>
      </c>
      <c r="F370" s="6">
        <v>465.53599335330284</v>
      </c>
      <c r="G370" s="6">
        <v>5.10616471183824</v>
      </c>
      <c r="H370" s="6">
        <v>7588088.680436042</v>
      </c>
      <c r="I370" s="6">
        <v>461.5280661046284</v>
      </c>
      <c r="J370" s="6">
        <v>4.0514938334922235</v>
      </c>
      <c r="K370" s="6"/>
      <c r="L370" s="6"/>
      <c r="M370" s="6"/>
      <c r="N370" s="6">
        <f t="shared" ref="N370:P370" si="373">IF(LEN($C370)&gt;0,H370-E370,"")</f>
        <v>-102609.6333</v>
      </c>
      <c r="O370" s="6">
        <f t="shared" si="373"/>
        <v>-4.007927249</v>
      </c>
      <c r="P370" s="6">
        <f t="shared" si="373"/>
        <v>-1.054670878</v>
      </c>
      <c r="Q370" s="6"/>
      <c r="R370" s="6"/>
      <c r="S370" s="6"/>
      <c r="T370" s="6"/>
      <c r="U370" s="6"/>
      <c r="V370" s="6"/>
      <c r="W370" s="6"/>
      <c r="X370" s="6"/>
      <c r="Y370" s="6"/>
      <c r="Z370" s="6"/>
      <c r="AA370" s="6"/>
      <c r="AB370" s="6"/>
      <c r="AC370" s="6"/>
      <c r="AD370" s="6"/>
      <c r="AE370" s="6"/>
      <c r="AF370" s="6"/>
      <c r="AG370" s="6"/>
    </row>
    <row r="371" ht="14.25" customHeight="1">
      <c r="A371" s="6"/>
      <c r="B371" s="6"/>
      <c r="C371" s="6">
        <v>364.0</v>
      </c>
      <c r="D371" s="6"/>
      <c r="E371" s="6">
        <v>7229472.012371667</v>
      </c>
      <c r="F371" s="6">
        <v>457.2637938674669</v>
      </c>
      <c r="G371" s="6">
        <v>4.815726652956488</v>
      </c>
      <c r="H371" s="6">
        <v>7186286.8773247665</v>
      </c>
      <c r="I371" s="6">
        <v>455.203643197898</v>
      </c>
      <c r="J371" s="6">
        <v>4.0622667156988435</v>
      </c>
      <c r="K371" s="6"/>
      <c r="L371" s="6"/>
      <c r="M371" s="6"/>
      <c r="N371" s="6">
        <f t="shared" ref="N371:P371" si="374">IF(LEN($C371)&gt;0,H371-E371,"")</f>
        <v>-43185.13505</v>
      </c>
      <c r="O371" s="6">
        <f t="shared" si="374"/>
        <v>-2.06015067</v>
      </c>
      <c r="P371" s="6">
        <f t="shared" si="374"/>
        <v>-0.7534599373</v>
      </c>
      <c r="Q371" s="6"/>
      <c r="R371" s="6"/>
      <c r="S371" s="6"/>
      <c r="T371" s="6"/>
      <c r="U371" s="6"/>
      <c r="V371" s="6"/>
      <c r="W371" s="6"/>
      <c r="X371" s="6"/>
      <c r="Y371" s="6"/>
      <c r="Z371" s="6"/>
      <c r="AA371" s="6"/>
      <c r="AB371" s="6"/>
      <c r="AC371" s="6"/>
      <c r="AD371" s="6"/>
      <c r="AE371" s="6"/>
      <c r="AF371" s="6"/>
      <c r="AG371" s="6"/>
    </row>
    <row r="372" ht="14.25" customHeight="1">
      <c r="A372" s="6"/>
      <c r="B372" s="6"/>
      <c r="C372" s="6">
        <v>365.0</v>
      </c>
      <c r="D372" s="6"/>
      <c r="E372" s="6">
        <v>5320207.31167747</v>
      </c>
      <c r="F372" s="6">
        <v>473.98467808862046</v>
      </c>
      <c r="G372" s="6">
        <v>6.065250663598376</v>
      </c>
      <c r="H372" s="6">
        <v>5242080.763808313</v>
      </c>
      <c r="I372" s="6">
        <v>470.78488645503325</v>
      </c>
      <c r="J372" s="6">
        <v>4.5847420403069385</v>
      </c>
      <c r="K372" s="6"/>
      <c r="L372" s="6"/>
      <c r="M372" s="6"/>
      <c r="N372" s="6">
        <f t="shared" ref="N372:P372" si="375">IF(LEN($C372)&gt;0,H372-E372,"")</f>
        <v>-78126.54787</v>
      </c>
      <c r="O372" s="6">
        <f t="shared" si="375"/>
        <v>-3.199791634</v>
      </c>
      <c r="P372" s="6">
        <f t="shared" si="375"/>
        <v>-1.480508623</v>
      </c>
      <c r="Q372" s="6"/>
      <c r="R372" s="6"/>
      <c r="S372" s="6"/>
      <c r="T372" s="6"/>
      <c r="U372" s="6"/>
      <c r="V372" s="6"/>
      <c r="W372" s="6"/>
      <c r="X372" s="6"/>
      <c r="Y372" s="6"/>
      <c r="Z372" s="6"/>
      <c r="AA372" s="6"/>
      <c r="AB372" s="6"/>
      <c r="AC372" s="6"/>
      <c r="AD372" s="6"/>
      <c r="AE372" s="6"/>
      <c r="AF372" s="6"/>
      <c r="AG372" s="6"/>
    </row>
    <row r="373" ht="14.25" customHeight="1">
      <c r="A373" s="6"/>
      <c r="B373" s="6"/>
      <c r="C373" s="6">
        <v>366.0</v>
      </c>
      <c r="D373" s="6"/>
      <c r="E373" s="6">
        <v>8165428.962067309</v>
      </c>
      <c r="F373" s="6">
        <v>471.3853683914001</v>
      </c>
      <c r="G373" s="6">
        <v>4.680263656351987</v>
      </c>
      <c r="H373" s="6">
        <v>8035058.479357278</v>
      </c>
      <c r="I373" s="6">
        <v>465.8710320202543</v>
      </c>
      <c r="J373" s="6">
        <v>3.404627395516675</v>
      </c>
      <c r="K373" s="6"/>
      <c r="L373" s="6"/>
      <c r="M373" s="6"/>
      <c r="N373" s="6">
        <f t="shared" ref="N373:P373" si="376">IF(LEN($C373)&gt;0,H373-E373,"")</f>
        <v>-130370.4827</v>
      </c>
      <c r="O373" s="6">
        <f t="shared" si="376"/>
        <v>-5.514336371</v>
      </c>
      <c r="P373" s="6">
        <f t="shared" si="376"/>
        <v>-1.275636261</v>
      </c>
      <c r="Q373" s="6"/>
      <c r="R373" s="6"/>
      <c r="S373" s="6"/>
      <c r="T373" s="6"/>
      <c r="U373" s="6"/>
      <c r="V373" s="6"/>
      <c r="W373" s="6"/>
      <c r="X373" s="6"/>
      <c r="Y373" s="6"/>
      <c r="Z373" s="6"/>
      <c r="AA373" s="6"/>
      <c r="AB373" s="6"/>
      <c r="AC373" s="6"/>
      <c r="AD373" s="6"/>
      <c r="AE373" s="6"/>
      <c r="AF373" s="6"/>
      <c r="AG373" s="6"/>
    </row>
    <row r="374" ht="14.25" customHeight="1">
      <c r="A374" s="6"/>
      <c r="B374" s="6"/>
      <c r="C374" s="6">
        <v>367.0</v>
      </c>
      <c r="D374" s="6"/>
      <c r="E374" s="6">
        <v>5901063.0174690625</v>
      </c>
      <c r="F374" s="6">
        <v>471.0868577667452</v>
      </c>
      <c r="G374" s="6">
        <v>4.613069405446348</v>
      </c>
      <c r="H374" s="6">
        <v>5786496.166586534</v>
      </c>
      <c r="I374" s="6">
        <v>465.86152848908955</v>
      </c>
      <c r="J374" s="6">
        <v>3.2511928830236165</v>
      </c>
      <c r="K374" s="6"/>
      <c r="L374" s="6"/>
      <c r="M374" s="6"/>
      <c r="N374" s="6">
        <f t="shared" ref="N374:P374" si="377">IF(LEN($C374)&gt;0,H374-E374,"")</f>
        <v>-114566.8509</v>
      </c>
      <c r="O374" s="6">
        <f t="shared" si="377"/>
        <v>-5.225329278</v>
      </c>
      <c r="P374" s="6">
        <f t="shared" si="377"/>
        <v>-1.361876522</v>
      </c>
      <c r="Q374" s="6"/>
      <c r="R374" s="6"/>
      <c r="S374" s="6"/>
      <c r="T374" s="6"/>
      <c r="U374" s="6"/>
      <c r="V374" s="6"/>
      <c r="W374" s="6"/>
      <c r="X374" s="6"/>
      <c r="Y374" s="6"/>
      <c r="Z374" s="6"/>
      <c r="AA374" s="6"/>
      <c r="AB374" s="6"/>
      <c r="AC374" s="6"/>
      <c r="AD374" s="6"/>
      <c r="AE374" s="6"/>
      <c r="AF374" s="6"/>
      <c r="AG374" s="6"/>
    </row>
    <row r="375" ht="14.25" customHeight="1">
      <c r="A375" s="6"/>
      <c r="B375" s="6"/>
      <c r="C375" s="6">
        <v>368.0</v>
      </c>
      <c r="D375" s="6"/>
      <c r="E375" s="6">
        <v>8802252.469643142</v>
      </c>
      <c r="F375" s="6">
        <v>487.69758290940837</v>
      </c>
      <c r="G375" s="6">
        <v>4.5089874315411365</v>
      </c>
      <c r="H375" s="6">
        <v>8705076.377362385</v>
      </c>
      <c r="I375" s="6">
        <v>484.0571052123071</v>
      </c>
      <c r="J375" s="6">
        <v>3.4674090426772692</v>
      </c>
      <c r="K375" s="6"/>
      <c r="L375" s="6"/>
      <c r="M375" s="6"/>
      <c r="N375" s="6">
        <f t="shared" ref="N375:P375" si="378">IF(LEN($C375)&gt;0,H375-E375,"")</f>
        <v>-97176.09228</v>
      </c>
      <c r="O375" s="6">
        <f t="shared" si="378"/>
        <v>-3.640477697</v>
      </c>
      <c r="P375" s="6">
        <f t="shared" si="378"/>
        <v>-1.041578389</v>
      </c>
      <c r="Q375" s="6"/>
      <c r="R375" s="6"/>
      <c r="S375" s="6"/>
      <c r="T375" s="6"/>
      <c r="U375" s="6"/>
      <c r="V375" s="6"/>
      <c r="W375" s="6"/>
      <c r="X375" s="6"/>
      <c r="Y375" s="6"/>
      <c r="Z375" s="6"/>
      <c r="AA375" s="6"/>
      <c r="AB375" s="6"/>
      <c r="AC375" s="6"/>
      <c r="AD375" s="6"/>
      <c r="AE375" s="6"/>
      <c r="AF375" s="6"/>
      <c r="AG375" s="6"/>
    </row>
    <row r="376" ht="14.25" customHeight="1">
      <c r="A376" s="6"/>
      <c r="B376" s="6"/>
      <c r="C376" s="6">
        <v>369.0</v>
      </c>
      <c r="D376" s="6"/>
      <c r="E376" s="6">
        <v>7489000.649430255</v>
      </c>
      <c r="F376" s="6">
        <v>485.0484825716924</v>
      </c>
      <c r="G376" s="6">
        <v>5.131510856756237</v>
      </c>
      <c r="H376" s="6">
        <v>7394240.0475675</v>
      </c>
      <c r="I376" s="6">
        <v>480.94900900335375</v>
      </c>
      <c r="J376" s="6">
        <v>3.8278564928052345</v>
      </c>
      <c r="K376" s="6"/>
      <c r="L376" s="6"/>
      <c r="M376" s="6"/>
      <c r="N376" s="6">
        <f t="shared" ref="N376:P376" si="379">IF(LEN($C376)&gt;0,H376-E376,"")</f>
        <v>-94760.60186</v>
      </c>
      <c r="O376" s="6">
        <f t="shared" si="379"/>
        <v>-4.099473568</v>
      </c>
      <c r="P376" s="6">
        <f t="shared" si="379"/>
        <v>-1.303654364</v>
      </c>
      <c r="Q376" s="6"/>
      <c r="R376" s="6"/>
      <c r="S376" s="6"/>
      <c r="T376" s="6"/>
      <c r="U376" s="6"/>
      <c r="V376" s="6"/>
      <c r="W376" s="6"/>
      <c r="X376" s="6"/>
      <c r="Y376" s="6"/>
      <c r="Z376" s="6"/>
      <c r="AA376" s="6"/>
      <c r="AB376" s="6"/>
      <c r="AC376" s="6"/>
      <c r="AD376" s="6"/>
      <c r="AE376" s="6"/>
      <c r="AF376" s="6"/>
      <c r="AG376" s="6"/>
    </row>
    <row r="377" ht="14.25" customHeight="1">
      <c r="A377" s="6"/>
      <c r="B377" s="6"/>
      <c r="C377" s="6">
        <v>370.0</v>
      </c>
      <c r="D377" s="6"/>
      <c r="E377" s="6">
        <v>6902430.987266014</v>
      </c>
      <c r="F377" s="6">
        <v>467.97419949638044</v>
      </c>
      <c r="G377" s="6">
        <v>4.687739126021549</v>
      </c>
      <c r="H377" s="6">
        <v>6807709.201634469</v>
      </c>
      <c r="I377" s="6">
        <v>464.7573943727161</v>
      </c>
      <c r="J377" s="6">
        <v>3.1253886619896156</v>
      </c>
      <c r="K377" s="6"/>
      <c r="L377" s="6"/>
      <c r="M377" s="6"/>
      <c r="N377" s="6">
        <f t="shared" ref="N377:P377" si="380">IF(LEN($C377)&gt;0,H377-E377,"")</f>
        <v>-94721.78563</v>
      </c>
      <c r="O377" s="6">
        <f t="shared" si="380"/>
        <v>-3.216805124</v>
      </c>
      <c r="P377" s="6">
        <f t="shared" si="380"/>
        <v>-1.562350464</v>
      </c>
      <c r="Q377" s="6"/>
      <c r="R377" s="6"/>
      <c r="S377" s="6"/>
      <c r="T377" s="6"/>
      <c r="U377" s="6"/>
      <c r="V377" s="6"/>
      <c r="W377" s="6"/>
      <c r="X377" s="6"/>
      <c r="Y377" s="6"/>
      <c r="Z377" s="6"/>
      <c r="AA377" s="6"/>
      <c r="AB377" s="6"/>
      <c r="AC377" s="6"/>
      <c r="AD377" s="6"/>
      <c r="AE377" s="6"/>
      <c r="AF377" s="6"/>
      <c r="AG377" s="6"/>
    </row>
    <row r="378" ht="14.25" customHeight="1">
      <c r="A378" s="6"/>
      <c r="B378" s="6"/>
      <c r="C378" s="6">
        <v>371.0</v>
      </c>
      <c r="D378" s="6"/>
      <c r="E378" s="6">
        <v>6943128.224898087</v>
      </c>
      <c r="F378" s="6">
        <v>482.28901430902357</v>
      </c>
      <c r="G378" s="6">
        <v>5.365040870874326</v>
      </c>
      <c r="H378" s="6">
        <v>6827384.200309657</v>
      </c>
      <c r="I378" s="6">
        <v>477.70290350267305</v>
      </c>
      <c r="J378" s="6">
        <v>3.82970222303601</v>
      </c>
      <c r="K378" s="6"/>
      <c r="L378" s="6"/>
      <c r="M378" s="6"/>
      <c r="N378" s="6">
        <f t="shared" ref="N378:P378" si="381">IF(LEN($C378)&gt;0,H378-E378,"")</f>
        <v>-115744.0246</v>
      </c>
      <c r="O378" s="6">
        <f t="shared" si="381"/>
        <v>-4.586110806</v>
      </c>
      <c r="P378" s="6">
        <f t="shared" si="381"/>
        <v>-1.535338648</v>
      </c>
      <c r="Q378" s="6"/>
      <c r="R378" s="6"/>
      <c r="S378" s="6"/>
      <c r="T378" s="6"/>
      <c r="U378" s="6"/>
      <c r="V378" s="6"/>
      <c r="W378" s="6"/>
      <c r="X378" s="6"/>
      <c r="Y378" s="6"/>
      <c r="Z378" s="6"/>
      <c r="AA378" s="6"/>
      <c r="AB378" s="6"/>
      <c r="AC378" s="6"/>
      <c r="AD378" s="6"/>
      <c r="AE378" s="6"/>
      <c r="AF378" s="6"/>
      <c r="AG378" s="6"/>
    </row>
    <row r="379" ht="14.25" customHeight="1">
      <c r="A379" s="6"/>
      <c r="B379" s="6"/>
      <c r="C379" s="6">
        <v>372.0</v>
      </c>
      <c r="D379" s="6"/>
      <c r="E379" s="6">
        <v>1.0208696911923405E7</v>
      </c>
      <c r="F379" s="6">
        <v>471.86699727394864</v>
      </c>
      <c r="G379" s="6">
        <v>4.434022374005093</v>
      </c>
      <c r="H379" s="6">
        <v>1.0055951204945307E7</v>
      </c>
      <c r="I379" s="6">
        <v>465.4693851851773</v>
      </c>
      <c r="J379" s="6">
        <v>3.000932112196827</v>
      </c>
      <c r="K379" s="6"/>
      <c r="L379" s="6"/>
      <c r="M379" s="6"/>
      <c r="N379" s="6">
        <f t="shared" ref="N379:P379" si="382">IF(LEN($C379)&gt;0,H379-E379,"")</f>
        <v>-152745.707</v>
      </c>
      <c r="O379" s="6">
        <f t="shared" si="382"/>
        <v>-6.397612089</v>
      </c>
      <c r="P379" s="6">
        <f t="shared" si="382"/>
        <v>-1.433090262</v>
      </c>
      <c r="Q379" s="6"/>
      <c r="R379" s="6"/>
      <c r="S379" s="6"/>
      <c r="T379" s="6"/>
      <c r="U379" s="6"/>
      <c r="V379" s="6"/>
      <c r="W379" s="6"/>
      <c r="X379" s="6"/>
      <c r="Y379" s="6"/>
      <c r="Z379" s="6"/>
      <c r="AA379" s="6"/>
      <c r="AB379" s="6"/>
      <c r="AC379" s="6"/>
      <c r="AD379" s="6"/>
      <c r="AE379" s="6"/>
      <c r="AF379" s="6"/>
      <c r="AG379" s="6"/>
    </row>
    <row r="380" ht="14.25" customHeight="1">
      <c r="A380" s="6"/>
      <c r="B380" s="6"/>
      <c r="C380" s="6">
        <v>373.0</v>
      </c>
      <c r="D380" s="6"/>
      <c r="E380" s="6">
        <v>8509290.0849006</v>
      </c>
      <c r="F380" s="6">
        <v>472.35212819103845</v>
      </c>
      <c r="G380" s="6">
        <v>4.234266590127365</v>
      </c>
      <c r="H380" s="6">
        <v>8412115.654162163</v>
      </c>
      <c r="I380" s="6">
        <v>468.11863080871007</v>
      </c>
      <c r="J380" s="6">
        <v>3.070473820787969</v>
      </c>
      <c r="K380" s="6"/>
      <c r="L380" s="6"/>
      <c r="M380" s="6"/>
      <c r="N380" s="6">
        <f t="shared" ref="N380:P380" si="383">IF(LEN($C380)&gt;0,H380-E380,"")</f>
        <v>-97174.43074</v>
      </c>
      <c r="O380" s="6">
        <f t="shared" si="383"/>
        <v>-4.233497382</v>
      </c>
      <c r="P380" s="6">
        <f t="shared" si="383"/>
        <v>-1.163792769</v>
      </c>
      <c r="Q380" s="6"/>
      <c r="R380" s="6"/>
      <c r="S380" s="6"/>
      <c r="T380" s="6"/>
      <c r="U380" s="6"/>
      <c r="V380" s="6"/>
      <c r="W380" s="6"/>
      <c r="X380" s="6"/>
      <c r="Y380" s="6"/>
      <c r="Z380" s="6"/>
      <c r="AA380" s="6"/>
      <c r="AB380" s="6"/>
      <c r="AC380" s="6"/>
      <c r="AD380" s="6"/>
      <c r="AE380" s="6"/>
      <c r="AF380" s="6"/>
      <c r="AG380" s="6"/>
    </row>
    <row r="381" ht="14.25" customHeight="1">
      <c r="A381" s="6"/>
      <c r="B381" s="6"/>
      <c r="C381" s="6">
        <v>374.0</v>
      </c>
      <c r="D381" s="6"/>
      <c r="E381" s="6">
        <v>8126165.087264811</v>
      </c>
      <c r="F381" s="6">
        <v>450.02853594890695</v>
      </c>
      <c r="G381" s="6">
        <v>5.074585130346938</v>
      </c>
      <c r="H381" s="6">
        <v>8039190.785982982</v>
      </c>
      <c r="I381" s="6">
        <v>447.3377478981904</v>
      </c>
      <c r="J381" s="6">
        <v>3.9256521065781524</v>
      </c>
      <c r="K381" s="6"/>
      <c r="L381" s="6"/>
      <c r="M381" s="6"/>
      <c r="N381" s="6">
        <f t="shared" ref="N381:P381" si="384">IF(LEN($C381)&gt;0,H381-E381,"")</f>
        <v>-86974.30128</v>
      </c>
      <c r="O381" s="6">
        <f t="shared" si="384"/>
        <v>-2.690788051</v>
      </c>
      <c r="P381" s="6">
        <f t="shared" si="384"/>
        <v>-1.148933024</v>
      </c>
      <c r="Q381" s="6"/>
      <c r="R381" s="6"/>
      <c r="S381" s="6"/>
      <c r="T381" s="6"/>
      <c r="U381" s="6"/>
      <c r="V381" s="6"/>
      <c r="W381" s="6"/>
      <c r="X381" s="6"/>
      <c r="Y381" s="6"/>
      <c r="Z381" s="6"/>
      <c r="AA381" s="6"/>
      <c r="AB381" s="6"/>
      <c r="AC381" s="6"/>
      <c r="AD381" s="6"/>
      <c r="AE381" s="6"/>
      <c r="AF381" s="6"/>
      <c r="AG381" s="6"/>
    </row>
    <row r="382" ht="14.25" customHeight="1">
      <c r="A382" s="6"/>
      <c r="B382" s="6"/>
      <c r="C382" s="6">
        <v>375.0</v>
      </c>
      <c r="D382" s="6"/>
      <c r="E382" s="6">
        <v>6369989.641396065</v>
      </c>
      <c r="F382" s="6">
        <v>432.25448794547293</v>
      </c>
      <c r="G382" s="6">
        <v>4.080388510656679</v>
      </c>
      <c r="H382" s="6">
        <v>6306116.13026919</v>
      </c>
      <c r="I382" s="6">
        <v>429.018614060112</v>
      </c>
      <c r="J382" s="6">
        <v>3.183342158110176</v>
      </c>
      <c r="K382" s="6"/>
      <c r="L382" s="6"/>
      <c r="M382" s="6"/>
      <c r="N382" s="6">
        <f t="shared" ref="N382:P382" si="385">IF(LEN($C382)&gt;0,H382-E382,"")</f>
        <v>-63873.51113</v>
      </c>
      <c r="O382" s="6">
        <f t="shared" si="385"/>
        <v>-3.235873885</v>
      </c>
      <c r="P382" s="6">
        <f t="shared" si="385"/>
        <v>-0.8970463525</v>
      </c>
      <c r="Q382" s="6"/>
      <c r="R382" s="6"/>
      <c r="S382" s="6"/>
      <c r="T382" s="6"/>
      <c r="U382" s="6"/>
      <c r="V382" s="6"/>
      <c r="W382" s="6"/>
      <c r="X382" s="6"/>
      <c r="Y382" s="6"/>
      <c r="Z382" s="6"/>
      <c r="AA382" s="6"/>
      <c r="AB382" s="6"/>
      <c r="AC382" s="6"/>
      <c r="AD382" s="6"/>
      <c r="AE382" s="6"/>
      <c r="AF382" s="6"/>
      <c r="AG382" s="6"/>
    </row>
    <row r="383" ht="14.25" customHeight="1">
      <c r="A383" s="6"/>
      <c r="B383" s="6"/>
      <c r="C383" s="6">
        <v>376.0</v>
      </c>
      <c r="D383" s="6"/>
      <c r="E383" s="6">
        <v>6700596.846731022</v>
      </c>
      <c r="F383" s="6">
        <v>468.9094932495368</v>
      </c>
      <c r="G383" s="6">
        <v>4.842497135663204</v>
      </c>
      <c r="H383" s="6">
        <v>6602924.658701812</v>
      </c>
      <c r="I383" s="6">
        <v>464.4625612525113</v>
      </c>
      <c r="J383" s="6">
        <v>3.759391215351204</v>
      </c>
      <c r="K383" s="6"/>
      <c r="L383" s="6"/>
      <c r="M383" s="6"/>
      <c r="N383" s="6">
        <f t="shared" ref="N383:P383" si="386">IF(LEN($C383)&gt;0,H383-E383,"")</f>
        <v>-97672.18803</v>
      </c>
      <c r="O383" s="6">
        <f t="shared" si="386"/>
        <v>-4.446931997</v>
      </c>
      <c r="P383" s="6">
        <f t="shared" si="386"/>
        <v>-1.08310592</v>
      </c>
      <c r="Q383" s="6"/>
      <c r="R383" s="6"/>
      <c r="S383" s="6"/>
      <c r="T383" s="6"/>
      <c r="U383" s="6"/>
      <c r="V383" s="6"/>
      <c r="W383" s="6"/>
      <c r="X383" s="6"/>
      <c r="Y383" s="6"/>
      <c r="Z383" s="6"/>
      <c r="AA383" s="6"/>
      <c r="AB383" s="6"/>
      <c r="AC383" s="6"/>
      <c r="AD383" s="6"/>
      <c r="AE383" s="6"/>
      <c r="AF383" s="6"/>
      <c r="AG383" s="6"/>
    </row>
    <row r="384" ht="14.25" customHeight="1">
      <c r="A384" s="6"/>
      <c r="B384" s="6"/>
      <c r="C384" s="6">
        <v>377.0</v>
      </c>
      <c r="D384" s="6"/>
      <c r="E384" s="6">
        <v>5647763.172429844</v>
      </c>
      <c r="F384" s="6">
        <v>463.989368447342</v>
      </c>
      <c r="G384" s="6">
        <v>4.586316142180136</v>
      </c>
      <c r="H384" s="6">
        <v>5558632.30610199</v>
      </c>
      <c r="I384" s="6">
        <v>461.02908612882356</v>
      </c>
      <c r="J384" s="6">
        <v>3.0368296459065</v>
      </c>
      <c r="K384" s="6"/>
      <c r="L384" s="6"/>
      <c r="M384" s="6"/>
      <c r="N384" s="6">
        <f t="shared" ref="N384:P384" si="387">IF(LEN($C384)&gt;0,H384-E384,"")</f>
        <v>-89130.86633</v>
      </c>
      <c r="O384" s="6">
        <f t="shared" si="387"/>
        <v>-2.960282319</v>
      </c>
      <c r="P384" s="6">
        <f t="shared" si="387"/>
        <v>-1.549486496</v>
      </c>
      <c r="Q384" s="6"/>
      <c r="R384" s="6"/>
      <c r="S384" s="6"/>
      <c r="T384" s="6"/>
      <c r="U384" s="6"/>
      <c r="V384" s="6"/>
      <c r="W384" s="6"/>
      <c r="X384" s="6"/>
      <c r="Y384" s="6"/>
      <c r="Z384" s="6"/>
      <c r="AA384" s="6"/>
      <c r="AB384" s="6"/>
      <c r="AC384" s="6"/>
      <c r="AD384" s="6"/>
      <c r="AE384" s="6"/>
      <c r="AF384" s="6"/>
      <c r="AG384" s="6"/>
    </row>
    <row r="385" ht="14.25" customHeight="1">
      <c r="A385" s="6"/>
      <c r="B385" s="6"/>
      <c r="C385" s="6">
        <v>378.0</v>
      </c>
      <c r="D385" s="6"/>
      <c r="E385" s="6">
        <v>7322631.980885326</v>
      </c>
      <c r="F385" s="6">
        <v>455.014151415338</v>
      </c>
      <c r="G385" s="6">
        <v>4.285711564957381</v>
      </c>
      <c r="H385" s="6">
        <v>7178467.827032348</v>
      </c>
      <c r="I385" s="6">
        <v>448.91859451819613</v>
      </c>
      <c r="J385" s="6">
        <v>3.2711709736388643</v>
      </c>
      <c r="K385" s="6"/>
      <c r="L385" s="6"/>
      <c r="M385" s="6"/>
      <c r="N385" s="6">
        <f t="shared" ref="N385:P385" si="388">IF(LEN($C385)&gt;0,H385-E385,"")</f>
        <v>-144164.1539</v>
      </c>
      <c r="O385" s="6">
        <f t="shared" si="388"/>
        <v>-6.095556897</v>
      </c>
      <c r="P385" s="6">
        <f t="shared" si="388"/>
        <v>-1.014540591</v>
      </c>
      <c r="Q385" s="6"/>
      <c r="R385" s="6"/>
      <c r="S385" s="6"/>
      <c r="T385" s="6"/>
      <c r="U385" s="6"/>
      <c r="V385" s="6"/>
      <c r="W385" s="6"/>
      <c r="X385" s="6"/>
      <c r="Y385" s="6"/>
      <c r="Z385" s="6"/>
      <c r="AA385" s="6"/>
      <c r="AB385" s="6"/>
      <c r="AC385" s="6"/>
      <c r="AD385" s="6"/>
      <c r="AE385" s="6"/>
      <c r="AF385" s="6"/>
      <c r="AG385" s="6"/>
    </row>
    <row r="386" ht="14.25" customHeight="1">
      <c r="A386" s="6"/>
      <c r="B386" s="6"/>
      <c r="C386" s="6">
        <v>379.0</v>
      </c>
      <c r="D386" s="6"/>
      <c r="E386" s="6">
        <v>7252309.455648493</v>
      </c>
      <c r="F386" s="6">
        <v>481.20263698909883</v>
      </c>
      <c r="G386" s="6">
        <v>5.376682089595766</v>
      </c>
      <c r="H386" s="6">
        <v>7113358.534678599</v>
      </c>
      <c r="I386" s="6">
        <v>475.25690126334547</v>
      </c>
      <c r="J386" s="6">
        <v>4.006920552448037</v>
      </c>
      <c r="K386" s="6"/>
      <c r="L386" s="6"/>
      <c r="M386" s="6"/>
      <c r="N386" s="6">
        <f t="shared" ref="N386:P386" si="389">IF(LEN($C386)&gt;0,H386-E386,"")</f>
        <v>-138950.921</v>
      </c>
      <c r="O386" s="6">
        <f t="shared" si="389"/>
        <v>-5.945735726</v>
      </c>
      <c r="P386" s="6">
        <f t="shared" si="389"/>
        <v>-1.369761537</v>
      </c>
      <c r="Q386" s="6"/>
      <c r="R386" s="6"/>
      <c r="S386" s="6"/>
      <c r="T386" s="6"/>
      <c r="U386" s="6"/>
      <c r="V386" s="6"/>
      <c r="W386" s="6"/>
      <c r="X386" s="6"/>
      <c r="Y386" s="6"/>
      <c r="Z386" s="6"/>
      <c r="AA386" s="6"/>
      <c r="AB386" s="6"/>
      <c r="AC386" s="6"/>
      <c r="AD386" s="6"/>
      <c r="AE386" s="6"/>
      <c r="AF386" s="6"/>
      <c r="AG386" s="6"/>
    </row>
    <row r="387" ht="14.25" customHeight="1">
      <c r="A387" s="6"/>
      <c r="B387" s="6"/>
      <c r="C387" s="6">
        <v>380.0</v>
      </c>
      <c r="D387" s="6"/>
      <c r="E387" s="6">
        <v>7165672.972714496</v>
      </c>
      <c r="F387" s="6">
        <v>453.8882098809626</v>
      </c>
      <c r="G387" s="6">
        <v>6.235098590760954</v>
      </c>
      <c r="H387" s="6">
        <v>7052080.26518525</v>
      </c>
      <c r="I387" s="6">
        <v>449.89564428738845</v>
      </c>
      <c r="J387" s="6">
        <v>5.271392755347963</v>
      </c>
      <c r="K387" s="6"/>
      <c r="L387" s="6"/>
      <c r="M387" s="6"/>
      <c r="N387" s="6">
        <f t="shared" ref="N387:P387" si="390">IF(LEN($C387)&gt;0,H387-E387,"")</f>
        <v>-113592.7075</v>
      </c>
      <c r="O387" s="6">
        <f t="shared" si="390"/>
        <v>-3.992565594</v>
      </c>
      <c r="P387" s="6">
        <f t="shared" si="390"/>
        <v>-0.9637058354</v>
      </c>
      <c r="Q387" s="6"/>
      <c r="R387" s="6"/>
      <c r="S387" s="6"/>
      <c r="T387" s="6"/>
      <c r="U387" s="6"/>
      <c r="V387" s="6"/>
      <c r="W387" s="6"/>
      <c r="X387" s="6"/>
      <c r="Y387" s="6"/>
      <c r="Z387" s="6"/>
      <c r="AA387" s="6"/>
      <c r="AB387" s="6"/>
      <c r="AC387" s="6"/>
      <c r="AD387" s="6"/>
      <c r="AE387" s="6"/>
      <c r="AF387" s="6"/>
      <c r="AG387" s="6"/>
    </row>
    <row r="388" ht="14.25" customHeight="1">
      <c r="A388" s="6"/>
      <c r="B388" s="6"/>
      <c r="C388" s="6">
        <v>381.0</v>
      </c>
      <c r="D388" s="6"/>
      <c r="E388" s="6">
        <v>6834647.770962252</v>
      </c>
      <c r="F388" s="6">
        <v>490.0958517984047</v>
      </c>
      <c r="G388" s="6">
        <v>4.994571164763645</v>
      </c>
      <c r="H388" s="6">
        <v>6700603.470198577</v>
      </c>
      <c r="I388" s="6">
        <v>484.7016403326109</v>
      </c>
      <c r="J388" s="6">
        <v>3.967024049593016</v>
      </c>
      <c r="K388" s="6"/>
      <c r="L388" s="6"/>
      <c r="M388" s="6"/>
      <c r="N388" s="6">
        <f t="shared" ref="N388:P388" si="391">IF(LEN($C388)&gt;0,H388-E388,"")</f>
        <v>-134044.3008</v>
      </c>
      <c r="O388" s="6">
        <f t="shared" si="391"/>
        <v>-5.394211466</v>
      </c>
      <c r="P388" s="6">
        <f t="shared" si="391"/>
        <v>-1.027547115</v>
      </c>
      <c r="Q388" s="6"/>
      <c r="R388" s="6"/>
      <c r="S388" s="6"/>
      <c r="T388" s="6"/>
      <c r="U388" s="6"/>
      <c r="V388" s="6"/>
      <c r="W388" s="6"/>
      <c r="X388" s="6"/>
      <c r="Y388" s="6"/>
      <c r="Z388" s="6"/>
      <c r="AA388" s="6"/>
      <c r="AB388" s="6"/>
      <c r="AC388" s="6"/>
      <c r="AD388" s="6"/>
      <c r="AE388" s="6"/>
      <c r="AF388" s="6"/>
      <c r="AG388" s="6"/>
    </row>
    <row r="389" ht="14.25" customHeight="1">
      <c r="A389" s="6"/>
      <c r="B389" s="6"/>
      <c r="C389" s="6">
        <v>382.0</v>
      </c>
      <c r="D389" s="6"/>
      <c r="E389" s="6">
        <v>6939333.83305098</v>
      </c>
      <c r="F389" s="6">
        <v>455.55289278748995</v>
      </c>
      <c r="G389" s="6">
        <v>4.803033554880219</v>
      </c>
      <c r="H389" s="6">
        <v>6807518.249836632</v>
      </c>
      <c r="I389" s="6">
        <v>449.3126900720201</v>
      </c>
      <c r="J389" s="6">
        <v>3.669371869351368</v>
      </c>
      <c r="K389" s="6"/>
      <c r="L389" s="6"/>
      <c r="M389" s="6"/>
      <c r="N389" s="6">
        <f t="shared" ref="N389:P389" si="392">IF(LEN($C389)&gt;0,H389-E389,"")</f>
        <v>-131815.5832</v>
      </c>
      <c r="O389" s="6">
        <f t="shared" si="392"/>
        <v>-6.240202715</v>
      </c>
      <c r="P389" s="6">
        <f t="shared" si="392"/>
        <v>-1.133661686</v>
      </c>
      <c r="Q389" s="6"/>
      <c r="R389" s="6"/>
      <c r="S389" s="6"/>
      <c r="T389" s="6"/>
      <c r="U389" s="6"/>
      <c r="V389" s="6"/>
      <c r="W389" s="6"/>
      <c r="X389" s="6"/>
      <c r="Y389" s="6"/>
      <c r="Z389" s="6"/>
      <c r="AA389" s="6"/>
      <c r="AB389" s="6"/>
      <c r="AC389" s="6"/>
      <c r="AD389" s="6"/>
      <c r="AE389" s="6"/>
      <c r="AF389" s="6"/>
      <c r="AG389" s="6"/>
    </row>
    <row r="390" ht="14.25" customHeight="1">
      <c r="A390" s="6"/>
      <c r="B390" s="6"/>
      <c r="C390" s="6">
        <v>383.0</v>
      </c>
      <c r="D390" s="6"/>
      <c r="E390" s="6">
        <v>5556168.50667296</v>
      </c>
      <c r="F390" s="6">
        <v>467.1625268175889</v>
      </c>
      <c r="G390" s="6">
        <v>6.678879157719665</v>
      </c>
      <c r="H390" s="6">
        <v>5495277.515868321</v>
      </c>
      <c r="I390" s="6">
        <v>464.39388283605217</v>
      </c>
      <c r="J390" s="6">
        <v>5.748868618294116</v>
      </c>
      <c r="K390" s="6"/>
      <c r="L390" s="6"/>
      <c r="M390" s="6"/>
      <c r="N390" s="6">
        <f t="shared" ref="N390:P390" si="393">IF(LEN($C390)&gt;0,H390-E390,"")</f>
        <v>-60890.9908</v>
      </c>
      <c r="O390" s="6">
        <f t="shared" si="393"/>
        <v>-2.768643982</v>
      </c>
      <c r="P390" s="6">
        <f t="shared" si="393"/>
        <v>-0.9300105394</v>
      </c>
      <c r="Q390" s="6"/>
      <c r="R390" s="6"/>
      <c r="S390" s="6"/>
      <c r="T390" s="6"/>
      <c r="U390" s="6"/>
      <c r="V390" s="6"/>
      <c r="W390" s="6"/>
      <c r="X390" s="6"/>
      <c r="Y390" s="6"/>
      <c r="Z390" s="6"/>
      <c r="AA390" s="6"/>
      <c r="AB390" s="6"/>
      <c r="AC390" s="6"/>
      <c r="AD390" s="6"/>
      <c r="AE390" s="6"/>
      <c r="AF390" s="6"/>
      <c r="AG390" s="6"/>
    </row>
    <row r="391" ht="14.25" customHeight="1">
      <c r="A391" s="6"/>
      <c r="B391" s="6"/>
      <c r="C391" s="6">
        <v>384.0</v>
      </c>
      <c r="D391" s="6"/>
      <c r="E391" s="6">
        <v>7697257.802573764</v>
      </c>
      <c r="F391" s="6">
        <v>447.27712166473907</v>
      </c>
      <c r="G391" s="6">
        <v>4.0580613982013025</v>
      </c>
      <c r="H391" s="6">
        <v>7627696.6774221985</v>
      </c>
      <c r="I391" s="6">
        <v>444.6475359959446</v>
      </c>
      <c r="J391" s="6">
        <v>3.1427311792125203</v>
      </c>
      <c r="K391" s="6"/>
      <c r="L391" s="6"/>
      <c r="M391" s="6"/>
      <c r="N391" s="6">
        <f t="shared" ref="N391:P391" si="394">IF(LEN($C391)&gt;0,H391-E391,"")</f>
        <v>-69561.12515</v>
      </c>
      <c r="O391" s="6">
        <f t="shared" si="394"/>
        <v>-2.629585669</v>
      </c>
      <c r="P391" s="6">
        <f t="shared" si="394"/>
        <v>-0.915330219</v>
      </c>
      <c r="Q391" s="6"/>
      <c r="R391" s="6"/>
      <c r="S391" s="6"/>
      <c r="T391" s="6"/>
      <c r="U391" s="6"/>
      <c r="V391" s="6"/>
      <c r="W391" s="6"/>
      <c r="X391" s="6"/>
      <c r="Y391" s="6"/>
      <c r="Z391" s="6"/>
      <c r="AA391" s="6"/>
      <c r="AB391" s="6"/>
      <c r="AC391" s="6"/>
      <c r="AD391" s="6"/>
      <c r="AE391" s="6"/>
      <c r="AF391" s="6"/>
      <c r="AG391" s="6"/>
    </row>
    <row r="392" ht="14.25" customHeight="1">
      <c r="A392" s="6"/>
      <c r="B392" s="6"/>
      <c r="C392" s="6">
        <v>385.0</v>
      </c>
      <c r="D392" s="6"/>
      <c r="E392" s="6">
        <v>8362204.429698787</v>
      </c>
      <c r="F392" s="6">
        <v>446.9187306942186</v>
      </c>
      <c r="G392" s="6">
        <v>5.320490762453242</v>
      </c>
      <c r="H392" s="6">
        <v>8242011.99036198</v>
      </c>
      <c r="I392" s="6">
        <v>443.53094233983245</v>
      </c>
      <c r="J392" s="6">
        <v>4.339963888436123</v>
      </c>
      <c r="K392" s="6"/>
      <c r="L392" s="6"/>
      <c r="M392" s="6"/>
      <c r="N392" s="6">
        <f t="shared" ref="N392:P392" si="395">IF(LEN($C392)&gt;0,H392-E392,"")</f>
        <v>-120192.4393</v>
      </c>
      <c r="O392" s="6">
        <f t="shared" si="395"/>
        <v>-3.387788354</v>
      </c>
      <c r="P392" s="6">
        <f t="shared" si="395"/>
        <v>-0.980526874</v>
      </c>
      <c r="Q392" s="6"/>
      <c r="R392" s="6"/>
      <c r="S392" s="6"/>
      <c r="T392" s="6"/>
      <c r="U392" s="6"/>
      <c r="V392" s="6"/>
      <c r="W392" s="6"/>
      <c r="X392" s="6"/>
      <c r="Y392" s="6"/>
      <c r="Z392" s="6"/>
      <c r="AA392" s="6"/>
      <c r="AB392" s="6"/>
      <c r="AC392" s="6"/>
      <c r="AD392" s="6"/>
      <c r="AE392" s="6"/>
      <c r="AF392" s="6"/>
      <c r="AG392" s="6"/>
    </row>
    <row r="393" ht="14.25" customHeight="1">
      <c r="A393" s="6"/>
      <c r="B393" s="6"/>
      <c r="C393" s="6">
        <v>386.0</v>
      </c>
      <c r="D393" s="6"/>
      <c r="E393" s="6">
        <v>6156560.029845287</v>
      </c>
      <c r="F393" s="6">
        <v>464.9183623054903</v>
      </c>
      <c r="G393" s="6">
        <v>4.3857559939839215</v>
      </c>
      <c r="H393" s="6">
        <v>6074763.0044026915</v>
      </c>
      <c r="I393" s="6">
        <v>461.87905066266</v>
      </c>
      <c r="J393" s="6">
        <v>3.369690734649839</v>
      </c>
      <c r="K393" s="6"/>
      <c r="L393" s="6"/>
      <c r="M393" s="6"/>
      <c r="N393" s="6">
        <f t="shared" ref="N393:P393" si="396">IF(LEN($C393)&gt;0,H393-E393,"")</f>
        <v>-81797.02544</v>
      </c>
      <c r="O393" s="6">
        <f t="shared" si="396"/>
        <v>-3.039311643</v>
      </c>
      <c r="P393" s="6">
        <f t="shared" si="396"/>
        <v>-1.016065259</v>
      </c>
      <c r="Q393" s="6"/>
      <c r="R393" s="6"/>
      <c r="S393" s="6"/>
      <c r="T393" s="6"/>
      <c r="U393" s="6"/>
      <c r="V393" s="6"/>
      <c r="W393" s="6"/>
      <c r="X393" s="6"/>
      <c r="Y393" s="6"/>
      <c r="Z393" s="6"/>
      <c r="AA393" s="6"/>
      <c r="AB393" s="6"/>
      <c r="AC393" s="6"/>
      <c r="AD393" s="6"/>
      <c r="AE393" s="6"/>
      <c r="AF393" s="6"/>
      <c r="AG393" s="6"/>
    </row>
    <row r="394" ht="14.25" customHeight="1">
      <c r="A394" s="6"/>
      <c r="B394" s="6"/>
      <c r="C394" s="6">
        <v>387.0</v>
      </c>
      <c r="D394" s="6"/>
      <c r="E394" s="6">
        <v>6037461.6288134875</v>
      </c>
      <c r="F394" s="6">
        <v>435.44303409872197</v>
      </c>
      <c r="G394" s="6">
        <v>4.198202672048747</v>
      </c>
      <c r="H394" s="6">
        <v>5967343.280181184</v>
      </c>
      <c r="I394" s="6">
        <v>431.8852613004391</v>
      </c>
      <c r="J394" s="6">
        <v>3.177657483623749</v>
      </c>
      <c r="K394" s="6"/>
      <c r="L394" s="6"/>
      <c r="M394" s="6"/>
      <c r="N394" s="6">
        <f t="shared" ref="N394:P394" si="397">IF(LEN($C394)&gt;0,H394-E394,"")</f>
        <v>-70118.34863</v>
      </c>
      <c r="O394" s="6">
        <f t="shared" si="397"/>
        <v>-3.557772798</v>
      </c>
      <c r="P394" s="6">
        <f t="shared" si="397"/>
        <v>-1.020545188</v>
      </c>
      <c r="Q394" s="6"/>
      <c r="R394" s="6"/>
      <c r="S394" s="6"/>
      <c r="T394" s="6"/>
      <c r="U394" s="6"/>
      <c r="V394" s="6"/>
      <c r="W394" s="6"/>
      <c r="X394" s="6"/>
      <c r="Y394" s="6"/>
      <c r="Z394" s="6"/>
      <c r="AA394" s="6"/>
      <c r="AB394" s="6"/>
      <c r="AC394" s="6"/>
      <c r="AD394" s="6"/>
      <c r="AE394" s="6"/>
      <c r="AF394" s="6"/>
      <c r="AG394" s="6"/>
    </row>
    <row r="395" ht="14.25" customHeight="1">
      <c r="A395" s="6"/>
      <c r="B395" s="6"/>
      <c r="C395" s="6">
        <v>388.0</v>
      </c>
      <c r="D395" s="6"/>
      <c r="E395" s="6">
        <v>7027733.132171507</v>
      </c>
      <c r="F395" s="6">
        <v>438.4994116271789</v>
      </c>
      <c r="G395" s="6">
        <v>7.0227172014429895</v>
      </c>
      <c r="H395" s="6">
        <v>6853991.0352392215</v>
      </c>
      <c r="I395" s="6">
        <v>433.5841611055673</v>
      </c>
      <c r="J395" s="6">
        <v>4.550416686024997</v>
      </c>
      <c r="K395" s="6"/>
      <c r="L395" s="6"/>
      <c r="M395" s="6"/>
      <c r="N395" s="6">
        <f t="shared" ref="N395:P395" si="398">IF(LEN($C395)&gt;0,H395-E395,"")</f>
        <v>-173742.0969</v>
      </c>
      <c r="O395" s="6">
        <f t="shared" si="398"/>
        <v>-4.915250522</v>
      </c>
      <c r="P395" s="6">
        <f t="shared" si="398"/>
        <v>-2.472300515</v>
      </c>
      <c r="Q395" s="6"/>
      <c r="R395" s="6"/>
      <c r="S395" s="6"/>
      <c r="T395" s="6"/>
      <c r="U395" s="6"/>
      <c r="V395" s="6"/>
      <c r="W395" s="6"/>
      <c r="X395" s="6"/>
      <c r="Y395" s="6"/>
      <c r="Z395" s="6"/>
      <c r="AA395" s="6"/>
      <c r="AB395" s="6"/>
      <c r="AC395" s="6"/>
      <c r="AD395" s="6"/>
      <c r="AE395" s="6"/>
      <c r="AF395" s="6"/>
      <c r="AG395" s="6"/>
    </row>
    <row r="396" ht="14.25" customHeight="1">
      <c r="A396" s="6"/>
      <c r="B396" s="6"/>
      <c r="C396" s="6">
        <v>389.0</v>
      </c>
      <c r="D396" s="6"/>
      <c r="E396" s="6">
        <v>7595328.116069744</v>
      </c>
      <c r="F396" s="6">
        <v>460.17586396127</v>
      </c>
      <c r="G396" s="6">
        <v>3.1490935060046854</v>
      </c>
      <c r="H396" s="6">
        <v>7566088.134567342</v>
      </c>
      <c r="I396" s="6">
        <v>458.8187723297605</v>
      </c>
      <c r="J396" s="6">
        <v>2.882353005694055</v>
      </c>
      <c r="K396" s="6"/>
      <c r="L396" s="6"/>
      <c r="M396" s="6"/>
      <c r="N396" s="6">
        <f t="shared" ref="N396:P396" si="399">IF(LEN($C396)&gt;0,H396-E396,"")</f>
        <v>-29239.9815</v>
      </c>
      <c r="O396" s="6">
        <f t="shared" si="399"/>
        <v>-1.357091632</v>
      </c>
      <c r="P396" s="6">
        <f t="shared" si="399"/>
        <v>-0.2667405003</v>
      </c>
      <c r="Q396" s="6"/>
      <c r="R396" s="6"/>
      <c r="S396" s="6"/>
      <c r="T396" s="6"/>
      <c r="U396" s="6"/>
      <c r="V396" s="6"/>
      <c r="W396" s="6"/>
      <c r="X396" s="6"/>
      <c r="Y396" s="6"/>
      <c r="Z396" s="6"/>
      <c r="AA396" s="6"/>
      <c r="AB396" s="6"/>
      <c r="AC396" s="6"/>
      <c r="AD396" s="6"/>
      <c r="AE396" s="6"/>
      <c r="AF396" s="6"/>
      <c r="AG396" s="6"/>
    </row>
    <row r="397" ht="14.25" customHeight="1">
      <c r="A397" s="6"/>
      <c r="B397" s="6"/>
      <c r="C397" s="6">
        <v>390.0</v>
      </c>
      <c r="D397" s="6"/>
      <c r="E397" s="6">
        <v>8931405.262334788</v>
      </c>
      <c r="F397" s="6">
        <v>503.24835342185395</v>
      </c>
      <c r="G397" s="6">
        <v>3.756316067035859</v>
      </c>
      <c r="H397" s="6">
        <v>8824074.988053372</v>
      </c>
      <c r="I397" s="6">
        <v>498.33554787457336</v>
      </c>
      <c r="J397" s="6">
        <v>3.1671089336861646</v>
      </c>
      <c r="K397" s="6"/>
      <c r="L397" s="6"/>
      <c r="M397" s="6"/>
      <c r="N397" s="6">
        <f t="shared" ref="N397:P397" si="400">IF(LEN($C397)&gt;0,H397-E397,"")</f>
        <v>-107330.2743</v>
      </c>
      <c r="O397" s="6">
        <f t="shared" si="400"/>
        <v>-4.912805547</v>
      </c>
      <c r="P397" s="6">
        <f t="shared" si="400"/>
        <v>-0.5892071333</v>
      </c>
      <c r="Q397" s="6"/>
      <c r="R397" s="6"/>
      <c r="S397" s="6"/>
      <c r="T397" s="6"/>
      <c r="U397" s="6"/>
      <c r="V397" s="6"/>
      <c r="W397" s="6"/>
      <c r="X397" s="6"/>
      <c r="Y397" s="6"/>
      <c r="Z397" s="6"/>
      <c r="AA397" s="6"/>
      <c r="AB397" s="6"/>
      <c r="AC397" s="6"/>
      <c r="AD397" s="6"/>
      <c r="AE397" s="6"/>
      <c r="AF397" s="6"/>
      <c r="AG397" s="6"/>
    </row>
    <row r="398" ht="14.25" customHeight="1">
      <c r="A398" s="6"/>
      <c r="B398" s="6"/>
      <c r="C398" s="6">
        <v>391.0</v>
      </c>
      <c r="D398" s="6"/>
      <c r="E398" s="6">
        <v>7903522.558696008</v>
      </c>
      <c r="F398" s="6">
        <v>458.7347173027272</v>
      </c>
      <c r="G398" s="6">
        <v>6.506205849125539</v>
      </c>
      <c r="H398" s="6">
        <v>7771962.990627429</v>
      </c>
      <c r="I398" s="6">
        <v>453.30817879257836</v>
      </c>
      <c r="J398" s="6">
        <v>4.49059052742342</v>
      </c>
      <c r="K398" s="6"/>
      <c r="L398" s="6"/>
      <c r="M398" s="6"/>
      <c r="N398" s="6">
        <f t="shared" ref="N398:P398" si="401">IF(LEN($C398)&gt;0,H398-E398,"")</f>
        <v>-131559.5681</v>
      </c>
      <c r="O398" s="6">
        <f t="shared" si="401"/>
        <v>-5.42653851</v>
      </c>
      <c r="P398" s="6">
        <f t="shared" si="401"/>
        <v>-2.015615322</v>
      </c>
      <c r="Q398" s="6"/>
      <c r="R398" s="6"/>
      <c r="S398" s="6"/>
      <c r="T398" s="6"/>
      <c r="U398" s="6"/>
      <c r="V398" s="6"/>
      <c r="W398" s="6"/>
      <c r="X398" s="6"/>
      <c r="Y398" s="6"/>
      <c r="Z398" s="6"/>
      <c r="AA398" s="6"/>
      <c r="AB398" s="6"/>
      <c r="AC398" s="6"/>
      <c r="AD398" s="6"/>
      <c r="AE398" s="6"/>
      <c r="AF398" s="6"/>
      <c r="AG398" s="6"/>
    </row>
    <row r="399" ht="14.25" customHeight="1">
      <c r="A399" s="6"/>
      <c r="B399" s="6"/>
      <c r="C399" s="6">
        <v>392.0</v>
      </c>
      <c r="D399" s="6"/>
      <c r="E399" s="6">
        <v>7186750.322239862</v>
      </c>
      <c r="F399" s="6">
        <v>460.4754124526112</v>
      </c>
      <c r="G399" s="6">
        <v>5.157521266916648</v>
      </c>
      <c r="H399" s="6">
        <v>7074094.243621502</v>
      </c>
      <c r="I399" s="6">
        <v>455.6859084577999</v>
      </c>
      <c r="J399" s="6">
        <v>3.7175197512646685</v>
      </c>
      <c r="K399" s="6"/>
      <c r="L399" s="6"/>
      <c r="M399" s="6"/>
      <c r="N399" s="6">
        <f t="shared" ref="N399:P399" si="402">IF(LEN($C399)&gt;0,H399-E399,"")</f>
        <v>-112656.0786</v>
      </c>
      <c r="O399" s="6">
        <f t="shared" si="402"/>
        <v>-4.789503995</v>
      </c>
      <c r="P399" s="6">
        <f t="shared" si="402"/>
        <v>-1.440001516</v>
      </c>
      <c r="Q399" s="6"/>
      <c r="R399" s="6"/>
      <c r="S399" s="6"/>
      <c r="T399" s="6"/>
      <c r="U399" s="6"/>
      <c r="V399" s="6"/>
      <c r="W399" s="6"/>
      <c r="X399" s="6"/>
      <c r="Y399" s="6"/>
      <c r="Z399" s="6"/>
      <c r="AA399" s="6"/>
      <c r="AB399" s="6"/>
      <c r="AC399" s="6"/>
      <c r="AD399" s="6"/>
      <c r="AE399" s="6"/>
      <c r="AF399" s="6"/>
      <c r="AG399" s="6"/>
    </row>
    <row r="400" ht="14.25" customHeight="1">
      <c r="A400" s="6"/>
      <c r="B400" s="6"/>
      <c r="C400" s="6">
        <v>393.0</v>
      </c>
      <c r="D400" s="6"/>
      <c r="E400" s="6">
        <v>7424869.890911137</v>
      </c>
      <c r="F400" s="6">
        <v>443.3295181416555</v>
      </c>
      <c r="G400" s="6">
        <v>5.645903247966473</v>
      </c>
      <c r="H400" s="6">
        <v>7259899.1908769915</v>
      </c>
      <c r="I400" s="6">
        <v>437.1663386480562</v>
      </c>
      <c r="J400" s="6">
        <v>3.6978821855832726</v>
      </c>
      <c r="K400" s="6"/>
      <c r="L400" s="6"/>
      <c r="M400" s="6"/>
      <c r="N400" s="6">
        <f t="shared" ref="N400:P400" si="403">IF(LEN($C400)&gt;0,H400-E400,"")</f>
        <v>-164970.7</v>
      </c>
      <c r="O400" s="6">
        <f t="shared" si="403"/>
        <v>-6.163179494</v>
      </c>
      <c r="P400" s="6">
        <f t="shared" si="403"/>
        <v>-1.948021062</v>
      </c>
      <c r="Q400" s="6"/>
      <c r="R400" s="6"/>
      <c r="S400" s="6"/>
      <c r="T400" s="6"/>
      <c r="U400" s="6"/>
      <c r="V400" s="6"/>
      <c r="W400" s="6"/>
      <c r="X400" s="6"/>
      <c r="Y400" s="6"/>
      <c r="Z400" s="6"/>
      <c r="AA400" s="6"/>
      <c r="AB400" s="6"/>
      <c r="AC400" s="6"/>
      <c r="AD400" s="6"/>
      <c r="AE400" s="6"/>
      <c r="AF400" s="6"/>
      <c r="AG400" s="6"/>
    </row>
    <row r="401" ht="14.25" customHeight="1">
      <c r="A401" s="6"/>
      <c r="B401" s="6"/>
      <c r="C401" s="6">
        <v>394.0</v>
      </c>
      <c r="D401" s="6"/>
      <c r="E401" s="6">
        <v>8435143.098057592</v>
      </c>
      <c r="F401" s="6">
        <v>483.2201917811643</v>
      </c>
      <c r="G401" s="6">
        <v>4.704452943600207</v>
      </c>
      <c r="H401" s="6">
        <v>8315892.797426827</v>
      </c>
      <c r="I401" s="6">
        <v>479.1223785749657</v>
      </c>
      <c r="J401" s="6">
        <v>3.9348438426892836</v>
      </c>
      <c r="K401" s="6"/>
      <c r="L401" s="6"/>
      <c r="M401" s="6"/>
      <c r="N401" s="6">
        <f t="shared" ref="N401:P401" si="404">IF(LEN($C401)&gt;0,H401-E401,"")</f>
        <v>-119250.3006</v>
      </c>
      <c r="O401" s="6">
        <f t="shared" si="404"/>
        <v>-4.097813206</v>
      </c>
      <c r="P401" s="6">
        <f t="shared" si="404"/>
        <v>-0.7696091009</v>
      </c>
      <c r="Q401" s="6"/>
      <c r="R401" s="6"/>
      <c r="S401" s="6"/>
      <c r="T401" s="6"/>
      <c r="U401" s="6"/>
      <c r="V401" s="6"/>
      <c r="W401" s="6"/>
      <c r="X401" s="6"/>
      <c r="Y401" s="6"/>
      <c r="Z401" s="6"/>
      <c r="AA401" s="6"/>
      <c r="AB401" s="6"/>
      <c r="AC401" s="6"/>
      <c r="AD401" s="6"/>
      <c r="AE401" s="6"/>
      <c r="AF401" s="6"/>
      <c r="AG401" s="6"/>
    </row>
    <row r="402" ht="14.25" customHeight="1">
      <c r="A402" s="6"/>
      <c r="B402" s="6"/>
      <c r="C402" s="6">
        <v>395.0</v>
      </c>
      <c r="D402" s="6"/>
      <c r="E402" s="6">
        <v>5346362.718090048</v>
      </c>
      <c r="F402" s="6">
        <v>447.77867193267315</v>
      </c>
      <c r="G402" s="6">
        <v>4.0716846092317684</v>
      </c>
      <c r="H402" s="6">
        <v>5305970.835242733</v>
      </c>
      <c r="I402" s="6">
        <v>445.74363279434726</v>
      </c>
      <c r="J402" s="6">
        <v>3.2242976326235304</v>
      </c>
      <c r="K402" s="6"/>
      <c r="L402" s="6"/>
      <c r="M402" s="6"/>
      <c r="N402" s="6">
        <f t="shared" ref="N402:P402" si="405">IF(LEN($C402)&gt;0,H402-E402,"")</f>
        <v>-40391.88285</v>
      </c>
      <c r="O402" s="6">
        <f t="shared" si="405"/>
        <v>-2.035039138</v>
      </c>
      <c r="P402" s="6">
        <f t="shared" si="405"/>
        <v>-0.8473869766</v>
      </c>
      <c r="Q402" s="6"/>
      <c r="R402" s="6"/>
      <c r="S402" s="6"/>
      <c r="T402" s="6"/>
      <c r="U402" s="6"/>
      <c r="V402" s="6"/>
      <c r="W402" s="6"/>
      <c r="X402" s="6"/>
      <c r="Y402" s="6"/>
      <c r="Z402" s="6"/>
      <c r="AA402" s="6"/>
      <c r="AB402" s="6"/>
      <c r="AC402" s="6"/>
      <c r="AD402" s="6"/>
      <c r="AE402" s="6"/>
      <c r="AF402" s="6"/>
      <c r="AG402" s="6"/>
    </row>
    <row r="403" ht="14.25" customHeight="1">
      <c r="A403" s="6"/>
      <c r="B403" s="6"/>
      <c r="C403" s="6">
        <v>396.0</v>
      </c>
      <c r="D403" s="6"/>
      <c r="E403" s="6">
        <v>7248882.762741309</v>
      </c>
      <c r="F403" s="6">
        <v>496.77982905469395</v>
      </c>
      <c r="G403" s="6">
        <v>4.5134506782467225</v>
      </c>
      <c r="H403" s="6">
        <v>7135871.561625986</v>
      </c>
      <c r="I403" s="6">
        <v>491.2516956856968</v>
      </c>
      <c r="J403" s="6">
        <v>3.1249127081622343</v>
      </c>
      <c r="K403" s="6"/>
      <c r="L403" s="6"/>
      <c r="M403" s="6"/>
      <c r="N403" s="6">
        <f t="shared" ref="N403:P403" si="406">IF(LEN($C403)&gt;0,H403-E403,"")</f>
        <v>-113011.2011</v>
      </c>
      <c r="O403" s="6">
        <f t="shared" si="406"/>
        <v>-5.528133369</v>
      </c>
      <c r="P403" s="6">
        <f t="shared" si="406"/>
        <v>-1.38853797</v>
      </c>
      <c r="Q403" s="6"/>
      <c r="R403" s="6"/>
      <c r="S403" s="6"/>
      <c r="T403" s="6"/>
      <c r="U403" s="6"/>
      <c r="V403" s="6"/>
      <c r="W403" s="6"/>
      <c r="X403" s="6"/>
      <c r="Y403" s="6"/>
      <c r="Z403" s="6"/>
      <c r="AA403" s="6"/>
      <c r="AB403" s="6"/>
      <c r="AC403" s="6"/>
      <c r="AD403" s="6"/>
      <c r="AE403" s="6"/>
      <c r="AF403" s="6"/>
      <c r="AG403" s="6"/>
    </row>
    <row r="404" ht="14.25" customHeight="1">
      <c r="A404" s="6"/>
      <c r="B404" s="6"/>
      <c r="C404" s="6">
        <v>397.0</v>
      </c>
      <c r="D404" s="6"/>
      <c r="E404" s="6">
        <v>6616312.634114409</v>
      </c>
      <c r="F404" s="6">
        <v>498.8229490958627</v>
      </c>
      <c r="G404" s="6">
        <v>4.129511945211312</v>
      </c>
      <c r="H404" s="6">
        <v>6470260.490730333</v>
      </c>
      <c r="I404" s="6">
        <v>491.32014029292054</v>
      </c>
      <c r="J404" s="6">
        <v>2.8911552829475142</v>
      </c>
      <c r="K404" s="6"/>
      <c r="L404" s="6"/>
      <c r="M404" s="6"/>
      <c r="N404" s="6">
        <f t="shared" ref="N404:P404" si="407">IF(LEN($C404)&gt;0,H404-E404,"")</f>
        <v>-146052.1434</v>
      </c>
      <c r="O404" s="6">
        <f t="shared" si="407"/>
        <v>-7.502808803</v>
      </c>
      <c r="P404" s="6">
        <f t="shared" si="407"/>
        <v>-1.238356662</v>
      </c>
      <c r="Q404" s="6"/>
      <c r="R404" s="6"/>
      <c r="S404" s="6"/>
      <c r="T404" s="6"/>
      <c r="U404" s="6"/>
      <c r="V404" s="6"/>
      <c r="W404" s="6"/>
      <c r="X404" s="6"/>
      <c r="Y404" s="6"/>
      <c r="Z404" s="6"/>
      <c r="AA404" s="6"/>
      <c r="AB404" s="6"/>
      <c r="AC404" s="6"/>
      <c r="AD404" s="6"/>
      <c r="AE404" s="6"/>
      <c r="AF404" s="6"/>
      <c r="AG404" s="6"/>
    </row>
    <row r="405" ht="14.25" customHeight="1">
      <c r="A405" s="6"/>
      <c r="B405" s="6"/>
      <c r="C405" s="6">
        <v>398.0</v>
      </c>
      <c r="D405" s="6"/>
      <c r="E405" s="6">
        <v>7534664.504314496</v>
      </c>
      <c r="F405" s="6">
        <v>474.9118804754755</v>
      </c>
      <c r="G405" s="6">
        <v>4.7604716758168255</v>
      </c>
      <c r="H405" s="6">
        <v>7336762.974205374</v>
      </c>
      <c r="I405" s="6">
        <v>465.1035839417108</v>
      </c>
      <c r="J405" s="6">
        <v>3.416676147570663</v>
      </c>
      <c r="K405" s="6"/>
      <c r="L405" s="6"/>
      <c r="M405" s="6"/>
      <c r="N405" s="6">
        <f t="shared" ref="N405:P405" si="408">IF(LEN($C405)&gt;0,H405-E405,"")</f>
        <v>-197901.5301</v>
      </c>
      <c r="O405" s="6">
        <f t="shared" si="408"/>
        <v>-9.808296534</v>
      </c>
      <c r="P405" s="6">
        <f t="shared" si="408"/>
        <v>-1.343795528</v>
      </c>
      <c r="Q405" s="6"/>
      <c r="R405" s="6"/>
      <c r="S405" s="6"/>
      <c r="T405" s="6"/>
      <c r="U405" s="6"/>
      <c r="V405" s="6"/>
      <c r="W405" s="6"/>
      <c r="X405" s="6"/>
      <c r="Y405" s="6"/>
      <c r="Z405" s="6"/>
      <c r="AA405" s="6"/>
      <c r="AB405" s="6"/>
      <c r="AC405" s="6"/>
      <c r="AD405" s="6"/>
      <c r="AE405" s="6"/>
      <c r="AF405" s="6"/>
      <c r="AG405" s="6"/>
    </row>
    <row r="406" ht="14.25" customHeight="1">
      <c r="A406" s="6"/>
      <c r="B406" s="6"/>
      <c r="C406" s="6">
        <v>399.0</v>
      </c>
      <c r="D406" s="6"/>
      <c r="E406" s="6">
        <v>5531974.034930013</v>
      </c>
      <c r="F406" s="6">
        <v>462.41055245636255</v>
      </c>
      <c r="G406" s="6">
        <v>5.47615850608763</v>
      </c>
      <c r="H406" s="6">
        <v>5458691.7621867545</v>
      </c>
      <c r="I406" s="6">
        <v>458.1191243944032</v>
      </c>
      <c r="J406" s="6">
        <v>4.183208477053518</v>
      </c>
      <c r="K406" s="6"/>
      <c r="L406" s="6"/>
      <c r="M406" s="6"/>
      <c r="N406" s="6">
        <f t="shared" ref="N406:P406" si="409">IF(LEN($C406)&gt;0,H406-E406,"")</f>
        <v>-73282.27274</v>
      </c>
      <c r="O406" s="6">
        <f t="shared" si="409"/>
        <v>-4.291428062</v>
      </c>
      <c r="P406" s="6">
        <f t="shared" si="409"/>
        <v>-1.292950029</v>
      </c>
      <c r="Q406" s="6"/>
      <c r="R406" s="6"/>
      <c r="S406" s="6"/>
      <c r="T406" s="6"/>
      <c r="U406" s="6"/>
      <c r="V406" s="6"/>
      <c r="W406" s="6"/>
      <c r="X406" s="6"/>
      <c r="Y406" s="6"/>
      <c r="Z406" s="6"/>
      <c r="AA406" s="6"/>
      <c r="AB406" s="6"/>
      <c r="AC406" s="6"/>
      <c r="AD406" s="6"/>
      <c r="AE406" s="6"/>
      <c r="AF406" s="6"/>
      <c r="AG406" s="6"/>
    </row>
    <row r="407" ht="14.25" customHeight="1">
      <c r="A407" s="6"/>
      <c r="B407" s="6"/>
      <c r="C407" s="6">
        <v>400.0</v>
      </c>
      <c r="D407" s="6"/>
      <c r="E407" s="6">
        <v>7133286.396839786</v>
      </c>
      <c r="F407" s="6">
        <v>473.81970322574284</v>
      </c>
      <c r="G407" s="6">
        <v>5.163952432985877</v>
      </c>
      <c r="H407" s="6">
        <v>7017258.870470412</v>
      </c>
      <c r="I407" s="6">
        <v>470.83443696874065</v>
      </c>
      <c r="J407" s="6">
        <v>3.779470228977048</v>
      </c>
      <c r="K407" s="6"/>
      <c r="L407" s="6"/>
      <c r="M407" s="6"/>
      <c r="N407" s="6">
        <f t="shared" ref="N407:P407" si="410">IF(LEN($C407)&gt;0,H407-E407,"")</f>
        <v>-116027.5264</v>
      </c>
      <c r="O407" s="6">
        <f t="shared" si="410"/>
        <v>-2.985266257</v>
      </c>
      <c r="P407" s="6">
        <f t="shared" si="410"/>
        <v>-1.384482204</v>
      </c>
      <c r="Q407" s="6"/>
      <c r="R407" s="6"/>
      <c r="S407" s="6"/>
      <c r="T407" s="6"/>
      <c r="U407" s="6"/>
      <c r="V407" s="6"/>
      <c r="W407" s="6"/>
      <c r="X407" s="6"/>
      <c r="Y407" s="6"/>
      <c r="Z407" s="6"/>
      <c r="AA407" s="6"/>
      <c r="AB407" s="6"/>
      <c r="AC407" s="6"/>
      <c r="AD407" s="6"/>
      <c r="AE407" s="6"/>
      <c r="AF407" s="6"/>
      <c r="AG407" s="6"/>
    </row>
    <row r="408" ht="14.25" customHeight="1">
      <c r="A408" s="6"/>
      <c r="B408" s="6"/>
      <c r="C408" s="6">
        <v>401.0</v>
      </c>
      <c r="D408" s="6"/>
      <c r="E408" s="6">
        <v>6695351.90837172</v>
      </c>
      <c r="F408" s="6">
        <v>475.36703901276906</v>
      </c>
      <c r="G408" s="6">
        <v>6.068933599620246</v>
      </c>
      <c r="H408" s="6">
        <v>6629414.666048585</v>
      </c>
      <c r="I408" s="6">
        <v>473.59939564217035</v>
      </c>
      <c r="J408" s="6">
        <v>5.033699157463261</v>
      </c>
      <c r="K408" s="6"/>
      <c r="L408" s="6"/>
      <c r="M408" s="6"/>
      <c r="N408" s="6">
        <f t="shared" ref="N408:P408" si="411">IF(LEN($C408)&gt;0,H408-E408,"")</f>
        <v>-65937.24232</v>
      </c>
      <c r="O408" s="6">
        <f t="shared" si="411"/>
        <v>-1.767643371</v>
      </c>
      <c r="P408" s="6">
        <f t="shared" si="411"/>
        <v>-1.035234442</v>
      </c>
      <c r="Q408" s="6"/>
      <c r="R408" s="6"/>
      <c r="S408" s="6"/>
      <c r="T408" s="6"/>
      <c r="U408" s="6"/>
      <c r="V408" s="6"/>
      <c r="W408" s="6"/>
      <c r="X408" s="6"/>
      <c r="Y408" s="6"/>
      <c r="Z408" s="6"/>
      <c r="AA408" s="6"/>
      <c r="AB408" s="6"/>
      <c r="AC408" s="6"/>
      <c r="AD408" s="6"/>
      <c r="AE408" s="6"/>
      <c r="AF408" s="6"/>
      <c r="AG408" s="6"/>
    </row>
    <row r="409" ht="14.25" customHeight="1">
      <c r="A409" s="6"/>
      <c r="B409" s="6"/>
      <c r="C409" s="6">
        <v>402.0</v>
      </c>
      <c r="D409" s="6"/>
      <c r="E409" s="6">
        <v>6570243.291930014</v>
      </c>
      <c r="F409" s="6">
        <v>462.7829073497161</v>
      </c>
      <c r="G409" s="6">
        <v>5.5608728159760386</v>
      </c>
      <c r="H409" s="6">
        <v>6459808.040687417</v>
      </c>
      <c r="I409" s="6">
        <v>458.6713990852466</v>
      </c>
      <c r="J409" s="6">
        <v>3.7675158348862063</v>
      </c>
      <c r="K409" s="6"/>
      <c r="L409" s="6"/>
      <c r="M409" s="6"/>
      <c r="N409" s="6">
        <f t="shared" ref="N409:P409" si="412">IF(LEN($C409)&gt;0,H409-E409,"")</f>
        <v>-110435.2512</v>
      </c>
      <c r="O409" s="6">
        <f t="shared" si="412"/>
        <v>-4.111508264</v>
      </c>
      <c r="P409" s="6">
        <f t="shared" si="412"/>
        <v>-1.793356981</v>
      </c>
      <c r="Q409" s="6"/>
      <c r="R409" s="6"/>
      <c r="S409" s="6"/>
      <c r="T409" s="6"/>
      <c r="U409" s="6"/>
      <c r="V409" s="6"/>
      <c r="W409" s="6"/>
      <c r="X409" s="6"/>
      <c r="Y409" s="6"/>
      <c r="Z409" s="6"/>
      <c r="AA409" s="6"/>
      <c r="AB409" s="6"/>
      <c r="AC409" s="6"/>
      <c r="AD409" s="6"/>
      <c r="AE409" s="6"/>
      <c r="AF409" s="6"/>
      <c r="AG409" s="6"/>
    </row>
    <row r="410" ht="14.25" customHeight="1">
      <c r="A410" s="6"/>
      <c r="B410" s="6"/>
      <c r="C410" s="6">
        <v>403.0</v>
      </c>
      <c r="D410" s="6"/>
      <c r="E410" s="6">
        <v>7897272.775727467</v>
      </c>
      <c r="F410" s="6">
        <v>484.75019201510986</v>
      </c>
      <c r="G410" s="6">
        <v>4.6030087821349035</v>
      </c>
      <c r="H410" s="6">
        <v>7730323.020515541</v>
      </c>
      <c r="I410" s="6">
        <v>477.6948987741516</v>
      </c>
      <c r="J410" s="6">
        <v>3.254080558736082</v>
      </c>
      <c r="K410" s="6"/>
      <c r="L410" s="6"/>
      <c r="M410" s="6"/>
      <c r="N410" s="6">
        <f t="shared" ref="N410:P410" si="413">IF(LEN($C410)&gt;0,H410-E410,"")</f>
        <v>-166949.7552</v>
      </c>
      <c r="O410" s="6">
        <f t="shared" si="413"/>
        <v>-7.055293241</v>
      </c>
      <c r="P410" s="6">
        <f t="shared" si="413"/>
        <v>-1.348928223</v>
      </c>
      <c r="Q410" s="6"/>
      <c r="R410" s="6"/>
      <c r="S410" s="6"/>
      <c r="T410" s="6"/>
      <c r="U410" s="6"/>
      <c r="V410" s="6"/>
      <c r="W410" s="6"/>
      <c r="X410" s="6"/>
      <c r="Y410" s="6"/>
      <c r="Z410" s="6"/>
      <c r="AA410" s="6"/>
      <c r="AB410" s="6"/>
      <c r="AC410" s="6"/>
      <c r="AD410" s="6"/>
      <c r="AE410" s="6"/>
      <c r="AF410" s="6"/>
      <c r="AG410" s="6"/>
    </row>
    <row r="411" ht="14.25" customHeight="1">
      <c r="A411" s="6"/>
      <c r="B411" s="6"/>
      <c r="C411" s="6">
        <v>404.0</v>
      </c>
      <c r="D411" s="6"/>
      <c r="E411" s="6">
        <v>6540981.394894303</v>
      </c>
      <c r="F411" s="6">
        <v>437.71907110809974</v>
      </c>
      <c r="G411" s="6">
        <v>4.5145597324429385</v>
      </c>
      <c r="H411" s="6">
        <v>6424083.728481803</v>
      </c>
      <c r="I411" s="6">
        <v>433.8287366504012</v>
      </c>
      <c r="J411" s="6">
        <v>3.0213834915502713</v>
      </c>
      <c r="K411" s="6"/>
      <c r="L411" s="6"/>
      <c r="M411" s="6"/>
      <c r="N411" s="6">
        <f t="shared" ref="N411:P411" si="414">IF(LEN($C411)&gt;0,H411-E411,"")</f>
        <v>-116897.6664</v>
      </c>
      <c r="O411" s="6">
        <f t="shared" si="414"/>
        <v>-3.890334458</v>
      </c>
      <c r="P411" s="6">
        <f t="shared" si="414"/>
        <v>-1.493176241</v>
      </c>
      <c r="Q411" s="6"/>
      <c r="R411" s="6"/>
      <c r="S411" s="6"/>
      <c r="T411" s="6"/>
      <c r="U411" s="6"/>
      <c r="V411" s="6"/>
      <c r="W411" s="6"/>
      <c r="X411" s="6"/>
      <c r="Y411" s="6"/>
      <c r="Z411" s="6"/>
      <c r="AA411" s="6"/>
      <c r="AB411" s="6"/>
      <c r="AC411" s="6"/>
      <c r="AD411" s="6"/>
      <c r="AE411" s="6"/>
      <c r="AF411" s="6"/>
      <c r="AG411" s="6"/>
    </row>
    <row r="412" ht="14.25" customHeight="1">
      <c r="A412" s="6"/>
      <c r="B412" s="6"/>
      <c r="C412" s="6">
        <v>405.0</v>
      </c>
      <c r="D412" s="6"/>
      <c r="E412" s="6">
        <v>8131634.39670584</v>
      </c>
      <c r="F412" s="6">
        <v>436.3753890622415</v>
      </c>
      <c r="G412" s="6">
        <v>5.345930214652371</v>
      </c>
      <c r="H412" s="6">
        <v>8051231.659449962</v>
      </c>
      <c r="I412" s="6">
        <v>433.99490146477444</v>
      </c>
      <c r="J412" s="6">
        <v>4.175384930974369</v>
      </c>
      <c r="K412" s="6"/>
      <c r="L412" s="6"/>
      <c r="M412" s="6"/>
      <c r="N412" s="6">
        <f t="shared" ref="N412:P412" si="415">IF(LEN($C412)&gt;0,H412-E412,"")</f>
        <v>-80402.73726</v>
      </c>
      <c r="O412" s="6">
        <f t="shared" si="415"/>
        <v>-2.380487597</v>
      </c>
      <c r="P412" s="6">
        <f t="shared" si="415"/>
        <v>-1.170545284</v>
      </c>
      <c r="Q412" s="6"/>
      <c r="R412" s="6"/>
      <c r="S412" s="6"/>
      <c r="T412" s="6"/>
      <c r="U412" s="6"/>
      <c r="V412" s="6"/>
      <c r="W412" s="6"/>
      <c r="X412" s="6"/>
      <c r="Y412" s="6"/>
      <c r="Z412" s="6"/>
      <c r="AA412" s="6"/>
      <c r="AB412" s="6"/>
      <c r="AC412" s="6"/>
      <c r="AD412" s="6"/>
      <c r="AE412" s="6"/>
      <c r="AF412" s="6"/>
      <c r="AG412" s="6"/>
    </row>
    <row r="413" ht="14.25" customHeight="1">
      <c r="A413" s="6"/>
      <c r="B413" s="6"/>
      <c r="C413" s="6">
        <v>406.0</v>
      </c>
      <c r="D413" s="6"/>
      <c r="E413" s="6">
        <v>7922170.331078854</v>
      </c>
      <c r="F413" s="6">
        <v>445.78308450799636</v>
      </c>
      <c r="G413" s="6">
        <v>4.612951115877251</v>
      </c>
      <c r="H413" s="6">
        <v>7773971.280503414</v>
      </c>
      <c r="I413" s="6">
        <v>440.6433506111722</v>
      </c>
      <c r="J413" s="6">
        <v>3.4567612335562377</v>
      </c>
      <c r="K413" s="6"/>
      <c r="L413" s="6"/>
      <c r="M413" s="6"/>
      <c r="N413" s="6">
        <f t="shared" ref="N413:P413" si="416">IF(LEN($C413)&gt;0,H413-E413,"")</f>
        <v>-148199.0506</v>
      </c>
      <c r="O413" s="6">
        <f t="shared" si="416"/>
        <v>-5.139733897</v>
      </c>
      <c r="P413" s="6">
        <f t="shared" si="416"/>
        <v>-1.156189882</v>
      </c>
      <c r="Q413" s="6"/>
      <c r="R413" s="6"/>
      <c r="S413" s="6"/>
      <c r="T413" s="6"/>
      <c r="U413" s="6"/>
      <c r="V413" s="6"/>
      <c r="W413" s="6"/>
      <c r="X413" s="6"/>
      <c r="Y413" s="6"/>
      <c r="Z413" s="6"/>
      <c r="AA413" s="6"/>
      <c r="AB413" s="6"/>
      <c r="AC413" s="6"/>
      <c r="AD413" s="6"/>
      <c r="AE413" s="6"/>
      <c r="AF413" s="6"/>
      <c r="AG413" s="6"/>
    </row>
    <row r="414" ht="14.25" customHeight="1">
      <c r="A414" s="6"/>
      <c r="B414" s="6"/>
      <c r="C414" s="6">
        <v>407.0</v>
      </c>
      <c r="D414" s="6"/>
      <c r="E414" s="6">
        <v>8425228.75546786</v>
      </c>
      <c r="F414" s="6">
        <v>432.1076984241204</v>
      </c>
      <c r="G414" s="6">
        <v>5.8158069507156975</v>
      </c>
      <c r="H414" s="6">
        <v>8313920.446245473</v>
      </c>
      <c r="I414" s="6">
        <v>429.04054900925956</v>
      </c>
      <c r="J414" s="6">
        <v>4.323242073568066</v>
      </c>
      <c r="K414" s="6"/>
      <c r="L414" s="6"/>
      <c r="M414" s="6"/>
      <c r="N414" s="6">
        <f t="shared" ref="N414:P414" si="417">IF(LEN($C414)&gt;0,H414-E414,"")</f>
        <v>-111308.3092</v>
      </c>
      <c r="O414" s="6">
        <f t="shared" si="417"/>
        <v>-3.067149415</v>
      </c>
      <c r="P414" s="6">
        <f t="shared" si="417"/>
        <v>-1.492564877</v>
      </c>
      <c r="Q414" s="6"/>
      <c r="R414" s="6"/>
      <c r="S414" s="6"/>
      <c r="T414" s="6"/>
      <c r="U414" s="6"/>
      <c r="V414" s="6"/>
      <c r="W414" s="6"/>
      <c r="X414" s="6"/>
      <c r="Y414" s="6"/>
      <c r="Z414" s="6"/>
      <c r="AA414" s="6"/>
      <c r="AB414" s="6"/>
      <c r="AC414" s="6"/>
      <c r="AD414" s="6"/>
      <c r="AE414" s="6"/>
      <c r="AF414" s="6"/>
      <c r="AG414" s="6"/>
    </row>
    <row r="415" ht="14.25" customHeight="1">
      <c r="A415" s="6"/>
      <c r="B415" s="6"/>
      <c r="C415" s="6">
        <v>408.0</v>
      </c>
      <c r="D415" s="6"/>
      <c r="E415" s="6">
        <v>7541413.788439036</v>
      </c>
      <c r="F415" s="6">
        <v>497.0602376669146</v>
      </c>
      <c r="G415" s="6">
        <v>5.652257944401208</v>
      </c>
      <c r="H415" s="6">
        <v>7383319.239913882</v>
      </c>
      <c r="I415" s="6">
        <v>490.61679009040694</v>
      </c>
      <c r="J415" s="6">
        <v>4.299327788414354</v>
      </c>
      <c r="K415" s="6"/>
      <c r="L415" s="6"/>
      <c r="M415" s="6"/>
      <c r="N415" s="6">
        <f t="shared" ref="N415:P415" si="418">IF(LEN($C415)&gt;0,H415-E415,"")</f>
        <v>-158094.5485</v>
      </c>
      <c r="O415" s="6">
        <f t="shared" si="418"/>
        <v>-6.443447577</v>
      </c>
      <c r="P415" s="6">
        <f t="shared" si="418"/>
        <v>-1.352930156</v>
      </c>
      <c r="Q415" s="6"/>
      <c r="R415" s="6"/>
      <c r="S415" s="6"/>
      <c r="T415" s="6"/>
      <c r="U415" s="6"/>
      <c r="V415" s="6"/>
      <c r="W415" s="6"/>
      <c r="X415" s="6"/>
      <c r="Y415" s="6"/>
      <c r="Z415" s="6"/>
      <c r="AA415" s="6"/>
      <c r="AB415" s="6"/>
      <c r="AC415" s="6"/>
      <c r="AD415" s="6"/>
      <c r="AE415" s="6"/>
      <c r="AF415" s="6"/>
      <c r="AG415" s="6"/>
    </row>
    <row r="416" ht="14.25" customHeight="1">
      <c r="A416" s="6"/>
      <c r="B416" s="6"/>
      <c r="C416" s="6">
        <v>409.0</v>
      </c>
      <c r="D416" s="6"/>
      <c r="E416" s="6">
        <v>9087386.13761323</v>
      </c>
      <c r="F416" s="6">
        <v>469.8651947583559</v>
      </c>
      <c r="G416" s="6">
        <v>4.685927429050147</v>
      </c>
      <c r="H416" s="6">
        <v>9001015.904679818</v>
      </c>
      <c r="I416" s="6">
        <v>467.0632203163367</v>
      </c>
      <c r="J416" s="6">
        <v>3.5590247154711117</v>
      </c>
      <c r="K416" s="6"/>
      <c r="L416" s="6"/>
      <c r="M416" s="6"/>
      <c r="N416" s="6">
        <f t="shared" ref="N416:P416" si="419">IF(LEN($C416)&gt;0,H416-E416,"")</f>
        <v>-86370.23293</v>
      </c>
      <c r="O416" s="6">
        <f t="shared" si="419"/>
        <v>-2.801974442</v>
      </c>
      <c r="P416" s="6">
        <f t="shared" si="419"/>
        <v>-1.126902714</v>
      </c>
      <c r="Q416" s="6"/>
      <c r="R416" s="6"/>
      <c r="S416" s="6"/>
      <c r="T416" s="6"/>
      <c r="U416" s="6"/>
      <c r="V416" s="6"/>
      <c r="W416" s="6"/>
      <c r="X416" s="6"/>
      <c r="Y416" s="6"/>
      <c r="Z416" s="6"/>
      <c r="AA416" s="6"/>
      <c r="AB416" s="6"/>
      <c r="AC416" s="6"/>
      <c r="AD416" s="6"/>
      <c r="AE416" s="6"/>
      <c r="AF416" s="6"/>
      <c r="AG416" s="6"/>
    </row>
    <row r="417" ht="14.25" customHeight="1">
      <c r="A417" s="6"/>
      <c r="B417" s="6"/>
      <c r="C417" s="6">
        <v>410.0</v>
      </c>
      <c r="D417" s="6"/>
      <c r="E417" s="6">
        <v>8356363.0732035665</v>
      </c>
      <c r="F417" s="6">
        <v>492.4549393442826</v>
      </c>
      <c r="G417" s="6">
        <v>5.172768901215338</v>
      </c>
      <c r="H417" s="6">
        <v>8054770.173723461</v>
      </c>
      <c r="I417" s="6">
        <v>478.2452394768899</v>
      </c>
      <c r="J417" s="6">
        <v>3.1942245822899156</v>
      </c>
      <c r="K417" s="6"/>
      <c r="L417" s="6"/>
      <c r="M417" s="6"/>
      <c r="N417" s="6">
        <f t="shared" ref="N417:P417" si="420">IF(LEN($C417)&gt;0,H417-E417,"")</f>
        <v>-301592.8995</v>
      </c>
      <c r="O417" s="6">
        <f t="shared" si="420"/>
        <v>-14.20969987</v>
      </c>
      <c r="P417" s="6">
        <f t="shared" si="420"/>
        <v>-1.978544319</v>
      </c>
      <c r="Q417" s="6"/>
      <c r="R417" s="6"/>
      <c r="S417" s="6"/>
      <c r="T417" s="6"/>
      <c r="U417" s="6"/>
      <c r="V417" s="6"/>
      <c r="W417" s="6"/>
      <c r="X417" s="6"/>
      <c r="Y417" s="6"/>
      <c r="Z417" s="6"/>
      <c r="AA417" s="6"/>
      <c r="AB417" s="6"/>
      <c r="AC417" s="6"/>
      <c r="AD417" s="6"/>
      <c r="AE417" s="6"/>
      <c r="AF417" s="6"/>
      <c r="AG417" s="6"/>
    </row>
    <row r="418" ht="14.25" customHeight="1">
      <c r="A418" s="6"/>
      <c r="B418" s="6"/>
      <c r="C418" s="6">
        <v>411.0</v>
      </c>
      <c r="D418" s="6"/>
      <c r="E418" s="6">
        <v>7388023.112661152</v>
      </c>
      <c r="F418" s="6">
        <v>480.5339030560426</v>
      </c>
      <c r="G418" s="6">
        <v>5.281524726047577</v>
      </c>
      <c r="H418" s="6">
        <v>7208296.5305674635</v>
      </c>
      <c r="I418" s="6">
        <v>473.258727197858</v>
      </c>
      <c r="J418" s="6">
        <v>3.776366142210142</v>
      </c>
      <c r="K418" s="6"/>
      <c r="L418" s="6"/>
      <c r="M418" s="6"/>
      <c r="N418" s="6">
        <f t="shared" ref="N418:P418" si="421">IF(LEN($C418)&gt;0,H418-E418,"")</f>
        <v>-179726.5821</v>
      </c>
      <c r="O418" s="6">
        <f t="shared" si="421"/>
        <v>-7.275175858</v>
      </c>
      <c r="P418" s="6">
        <f t="shared" si="421"/>
        <v>-1.505158584</v>
      </c>
      <c r="Q418" s="6"/>
      <c r="R418" s="6"/>
      <c r="S418" s="6"/>
      <c r="T418" s="6"/>
      <c r="U418" s="6"/>
      <c r="V418" s="6"/>
      <c r="W418" s="6"/>
      <c r="X418" s="6"/>
      <c r="Y418" s="6"/>
      <c r="Z418" s="6"/>
      <c r="AA418" s="6"/>
      <c r="AB418" s="6"/>
      <c r="AC418" s="6"/>
      <c r="AD418" s="6"/>
      <c r="AE418" s="6"/>
      <c r="AF418" s="6"/>
      <c r="AG418" s="6"/>
    </row>
    <row r="419" ht="14.25" customHeight="1">
      <c r="A419" s="6"/>
      <c r="B419" s="6"/>
      <c r="C419" s="6">
        <v>412.0</v>
      </c>
      <c r="D419" s="6"/>
      <c r="E419" s="6">
        <v>7169151.059190417</v>
      </c>
      <c r="F419" s="6">
        <v>471.95322881782965</v>
      </c>
      <c r="G419" s="6">
        <v>6.104371299508438</v>
      </c>
      <c r="H419" s="6">
        <v>7023809.961336172</v>
      </c>
      <c r="I419" s="6">
        <v>466.32624506999844</v>
      </c>
      <c r="J419" s="6">
        <v>4.527746993961721</v>
      </c>
      <c r="K419" s="6"/>
      <c r="L419" s="6"/>
      <c r="M419" s="6"/>
      <c r="N419" s="6">
        <f t="shared" ref="N419:P419" si="422">IF(LEN($C419)&gt;0,H419-E419,"")</f>
        <v>-145341.0979</v>
      </c>
      <c r="O419" s="6">
        <f t="shared" si="422"/>
        <v>-5.626983748</v>
      </c>
      <c r="P419" s="6">
        <f t="shared" si="422"/>
        <v>-1.576624306</v>
      </c>
      <c r="Q419" s="6"/>
      <c r="R419" s="6"/>
      <c r="S419" s="6"/>
      <c r="T419" s="6"/>
      <c r="U419" s="6"/>
      <c r="V419" s="6"/>
      <c r="W419" s="6"/>
      <c r="X419" s="6"/>
      <c r="Y419" s="6"/>
      <c r="Z419" s="6"/>
      <c r="AA419" s="6"/>
      <c r="AB419" s="6"/>
      <c r="AC419" s="6"/>
      <c r="AD419" s="6"/>
      <c r="AE419" s="6"/>
      <c r="AF419" s="6"/>
      <c r="AG419" s="6"/>
    </row>
    <row r="420" ht="14.25" customHeight="1">
      <c r="A420" s="6"/>
      <c r="B420" s="6"/>
      <c r="C420" s="6">
        <v>413.0</v>
      </c>
      <c r="D420" s="6"/>
      <c r="E420" s="6">
        <v>6226564.877115411</v>
      </c>
      <c r="F420" s="6">
        <v>447.7579798804552</v>
      </c>
      <c r="G420" s="6">
        <v>5.112492798172211</v>
      </c>
      <c r="H420" s="6">
        <v>6156306.846488675</v>
      </c>
      <c r="I420" s="6">
        <v>444.9972037110007</v>
      </c>
      <c r="J420" s="6">
        <v>3.958493910835494</v>
      </c>
      <c r="K420" s="6"/>
      <c r="L420" s="6"/>
      <c r="M420" s="6"/>
      <c r="N420" s="6">
        <f t="shared" ref="N420:P420" si="423">IF(LEN($C420)&gt;0,H420-E420,"")</f>
        <v>-70258.03063</v>
      </c>
      <c r="O420" s="6">
        <f t="shared" si="423"/>
        <v>-2.760776169</v>
      </c>
      <c r="P420" s="6">
        <f t="shared" si="423"/>
        <v>-1.153998887</v>
      </c>
      <c r="Q420" s="6"/>
      <c r="R420" s="6"/>
      <c r="S420" s="6"/>
      <c r="T420" s="6"/>
      <c r="U420" s="6"/>
      <c r="V420" s="6"/>
      <c r="W420" s="6"/>
      <c r="X420" s="6"/>
      <c r="Y420" s="6"/>
      <c r="Z420" s="6"/>
      <c r="AA420" s="6"/>
      <c r="AB420" s="6"/>
      <c r="AC420" s="6"/>
      <c r="AD420" s="6"/>
      <c r="AE420" s="6"/>
      <c r="AF420" s="6"/>
      <c r="AG420" s="6"/>
    </row>
    <row r="421" ht="14.25" customHeight="1">
      <c r="A421" s="6"/>
      <c r="B421" s="6"/>
      <c r="C421" s="6">
        <v>414.0</v>
      </c>
      <c r="D421" s="6"/>
      <c r="E421" s="6">
        <v>6576705.578227259</v>
      </c>
      <c r="F421" s="6">
        <v>443.46945693323977</v>
      </c>
      <c r="G421" s="6">
        <v>6.602098253149229</v>
      </c>
      <c r="H421" s="6">
        <v>6451914.652288261</v>
      </c>
      <c r="I421" s="6">
        <v>437.82875657242704</v>
      </c>
      <c r="J421" s="6">
        <v>4.664425975895835</v>
      </c>
      <c r="K421" s="6"/>
      <c r="L421" s="6"/>
      <c r="M421" s="6"/>
      <c r="N421" s="6">
        <f t="shared" ref="N421:P421" si="424">IF(LEN($C421)&gt;0,H421-E421,"")</f>
        <v>-124790.9259</v>
      </c>
      <c r="O421" s="6">
        <f t="shared" si="424"/>
        <v>-5.640700361</v>
      </c>
      <c r="P421" s="6">
        <f t="shared" si="424"/>
        <v>-1.937672277</v>
      </c>
      <c r="Q421" s="6"/>
      <c r="R421" s="6"/>
      <c r="S421" s="6"/>
      <c r="T421" s="6"/>
      <c r="U421" s="6"/>
      <c r="V421" s="6"/>
      <c r="W421" s="6"/>
      <c r="X421" s="6"/>
      <c r="Y421" s="6"/>
      <c r="Z421" s="6"/>
      <c r="AA421" s="6"/>
      <c r="AB421" s="6"/>
      <c r="AC421" s="6"/>
      <c r="AD421" s="6"/>
      <c r="AE421" s="6"/>
      <c r="AF421" s="6"/>
      <c r="AG421" s="6"/>
    </row>
    <row r="422" ht="14.25" customHeight="1">
      <c r="A422" s="6"/>
      <c r="B422" s="6"/>
      <c r="C422" s="6">
        <v>415.0</v>
      </c>
      <c r="D422" s="6"/>
      <c r="E422" s="6">
        <v>7885536.448570313</v>
      </c>
      <c r="F422" s="6">
        <v>440.69248138932977</v>
      </c>
      <c r="G422" s="6">
        <v>4.9276836722811606</v>
      </c>
      <c r="H422" s="6">
        <v>7785912.582844204</v>
      </c>
      <c r="I422" s="6">
        <v>436.5452532590105</v>
      </c>
      <c r="J422" s="6">
        <v>3.0660460431782264</v>
      </c>
      <c r="K422" s="6"/>
      <c r="L422" s="6"/>
      <c r="M422" s="6"/>
      <c r="N422" s="6">
        <f t="shared" ref="N422:P422" si="425">IF(LEN($C422)&gt;0,H422-E422,"")</f>
        <v>-99623.86573</v>
      </c>
      <c r="O422" s="6">
        <f t="shared" si="425"/>
        <v>-4.14722813</v>
      </c>
      <c r="P422" s="6">
        <f t="shared" si="425"/>
        <v>-1.861637629</v>
      </c>
      <c r="Q422" s="6"/>
      <c r="R422" s="6"/>
      <c r="S422" s="6"/>
      <c r="T422" s="6"/>
      <c r="U422" s="6"/>
      <c r="V422" s="6"/>
      <c r="W422" s="6"/>
      <c r="X422" s="6"/>
      <c r="Y422" s="6"/>
      <c r="Z422" s="6"/>
      <c r="AA422" s="6"/>
      <c r="AB422" s="6"/>
      <c r="AC422" s="6"/>
      <c r="AD422" s="6"/>
      <c r="AE422" s="6"/>
      <c r="AF422" s="6"/>
      <c r="AG422" s="6"/>
    </row>
    <row r="423" ht="14.25" customHeight="1">
      <c r="A423" s="6"/>
      <c r="B423" s="6"/>
      <c r="C423" s="6">
        <v>416.0</v>
      </c>
      <c r="D423" s="6"/>
      <c r="E423" s="6">
        <v>8400010.908099568</v>
      </c>
      <c r="F423" s="6">
        <v>434.5504086167037</v>
      </c>
      <c r="G423" s="6">
        <v>5.555955416304102</v>
      </c>
      <c r="H423" s="6">
        <v>8278684.678153774</v>
      </c>
      <c r="I423" s="6">
        <v>431.3996450815556</v>
      </c>
      <c r="J423" s="6">
        <v>4.226500406460028</v>
      </c>
      <c r="K423" s="6"/>
      <c r="L423" s="6"/>
      <c r="M423" s="6"/>
      <c r="N423" s="6">
        <f t="shared" ref="N423:P423" si="426">IF(LEN($C423)&gt;0,H423-E423,"")</f>
        <v>-121326.2299</v>
      </c>
      <c r="O423" s="6">
        <f t="shared" si="426"/>
        <v>-3.150763535</v>
      </c>
      <c r="P423" s="6">
        <f t="shared" si="426"/>
        <v>-1.32945501</v>
      </c>
      <c r="Q423" s="6"/>
      <c r="R423" s="6"/>
      <c r="S423" s="6"/>
      <c r="T423" s="6"/>
      <c r="U423" s="6"/>
      <c r="V423" s="6"/>
      <c r="W423" s="6"/>
      <c r="X423" s="6"/>
      <c r="Y423" s="6"/>
      <c r="Z423" s="6"/>
      <c r="AA423" s="6"/>
      <c r="AB423" s="6"/>
      <c r="AC423" s="6"/>
      <c r="AD423" s="6"/>
      <c r="AE423" s="6"/>
      <c r="AF423" s="6"/>
      <c r="AG423" s="6"/>
    </row>
    <row r="424" ht="14.25" customHeight="1">
      <c r="A424" s="6"/>
      <c r="B424" s="6"/>
      <c r="C424" s="6">
        <v>417.0</v>
      </c>
      <c r="D424" s="6"/>
      <c r="E424" s="6">
        <v>7222797.477757264</v>
      </c>
      <c r="F424" s="6">
        <v>439.47090111941674</v>
      </c>
      <c r="G424" s="6">
        <v>5.948617795659484</v>
      </c>
      <c r="H424" s="6">
        <v>7109956.92745805</v>
      </c>
      <c r="I424" s="6">
        <v>435.9351461898399</v>
      </c>
      <c r="J424" s="6">
        <v>4.3069219898757805</v>
      </c>
      <c r="K424" s="6"/>
      <c r="L424" s="6"/>
      <c r="M424" s="6"/>
      <c r="N424" s="6">
        <f t="shared" ref="N424:P424" si="427">IF(LEN($C424)&gt;0,H424-E424,"")</f>
        <v>-112840.5503</v>
      </c>
      <c r="O424" s="6">
        <f t="shared" si="427"/>
        <v>-3.53575493</v>
      </c>
      <c r="P424" s="6">
        <f t="shared" si="427"/>
        <v>-1.641695806</v>
      </c>
      <c r="Q424" s="6"/>
      <c r="R424" s="6"/>
      <c r="S424" s="6"/>
      <c r="T424" s="6"/>
      <c r="U424" s="6"/>
      <c r="V424" s="6"/>
      <c r="W424" s="6"/>
      <c r="X424" s="6"/>
      <c r="Y424" s="6"/>
      <c r="Z424" s="6"/>
      <c r="AA424" s="6"/>
      <c r="AB424" s="6"/>
      <c r="AC424" s="6"/>
      <c r="AD424" s="6"/>
      <c r="AE424" s="6"/>
      <c r="AF424" s="6"/>
      <c r="AG424" s="6"/>
    </row>
    <row r="425" ht="14.25" customHeight="1">
      <c r="A425" s="6"/>
      <c r="B425" s="6"/>
      <c r="C425" s="6">
        <v>418.0</v>
      </c>
      <c r="D425" s="6"/>
      <c r="E425" s="6">
        <v>6952140.135061023</v>
      </c>
      <c r="F425" s="6">
        <v>462.9556240542259</v>
      </c>
      <c r="G425" s="6">
        <v>4.970352539150174</v>
      </c>
      <c r="H425" s="6">
        <v>6832132.9708229415</v>
      </c>
      <c r="I425" s="6">
        <v>457.40298424117566</v>
      </c>
      <c r="J425" s="6">
        <v>3.5162340688351525</v>
      </c>
      <c r="K425" s="6"/>
      <c r="L425" s="6"/>
      <c r="M425" s="6"/>
      <c r="N425" s="6">
        <f t="shared" ref="N425:P425" si="428">IF(LEN($C425)&gt;0,H425-E425,"")</f>
        <v>-120007.1642</v>
      </c>
      <c r="O425" s="6">
        <f t="shared" si="428"/>
        <v>-5.552639813</v>
      </c>
      <c r="P425" s="6">
        <f t="shared" si="428"/>
        <v>-1.45411847</v>
      </c>
      <c r="Q425" s="6"/>
      <c r="R425" s="6"/>
      <c r="S425" s="6"/>
      <c r="T425" s="6"/>
      <c r="U425" s="6"/>
      <c r="V425" s="6"/>
      <c r="W425" s="6"/>
      <c r="X425" s="6"/>
      <c r="Y425" s="6"/>
      <c r="Z425" s="6"/>
      <c r="AA425" s="6"/>
      <c r="AB425" s="6"/>
      <c r="AC425" s="6"/>
      <c r="AD425" s="6"/>
      <c r="AE425" s="6"/>
      <c r="AF425" s="6"/>
      <c r="AG425" s="6"/>
    </row>
    <row r="426" ht="14.25" customHeight="1">
      <c r="A426" s="6"/>
      <c r="B426" s="6"/>
      <c r="C426" s="6">
        <v>419.0</v>
      </c>
      <c r="D426" s="6"/>
      <c r="E426" s="6">
        <v>5088072.187337862</v>
      </c>
      <c r="F426" s="6">
        <v>445.7710705505442</v>
      </c>
      <c r="G426" s="6">
        <v>5.448204395641088</v>
      </c>
      <c r="H426" s="6">
        <v>4998605.504129664</v>
      </c>
      <c r="I426" s="6">
        <v>441.5123599663387</v>
      </c>
      <c r="J426" s="6">
        <v>3.6632466651836735</v>
      </c>
      <c r="K426" s="6"/>
      <c r="L426" s="6"/>
      <c r="M426" s="6"/>
      <c r="N426" s="6">
        <f t="shared" ref="N426:P426" si="429">IF(LEN($C426)&gt;0,H426-E426,"")</f>
        <v>-89466.68321</v>
      </c>
      <c r="O426" s="6">
        <f t="shared" si="429"/>
        <v>-4.258710584</v>
      </c>
      <c r="P426" s="6">
        <f t="shared" si="429"/>
        <v>-1.78495773</v>
      </c>
      <c r="Q426" s="6"/>
      <c r="R426" s="6"/>
      <c r="S426" s="6"/>
      <c r="T426" s="6"/>
      <c r="U426" s="6"/>
      <c r="V426" s="6"/>
      <c r="W426" s="6"/>
      <c r="X426" s="6"/>
      <c r="Y426" s="6"/>
      <c r="Z426" s="6"/>
      <c r="AA426" s="6"/>
      <c r="AB426" s="6"/>
      <c r="AC426" s="6"/>
      <c r="AD426" s="6"/>
      <c r="AE426" s="6"/>
      <c r="AF426" s="6"/>
      <c r="AG426" s="6"/>
    </row>
    <row r="427" ht="14.25" customHeight="1">
      <c r="A427" s="6"/>
      <c r="B427" s="6"/>
      <c r="C427" s="6">
        <v>420.0</v>
      </c>
      <c r="D427" s="6"/>
      <c r="E427" s="6">
        <v>8043325.094432359</v>
      </c>
      <c r="F427" s="6">
        <v>460.84309367754753</v>
      </c>
      <c r="G427" s="6">
        <v>4.489711323696817</v>
      </c>
      <c r="H427" s="6">
        <v>7915107.361397652</v>
      </c>
      <c r="I427" s="6">
        <v>456.26266986549103</v>
      </c>
      <c r="J427" s="6">
        <v>2.9238628177472097</v>
      </c>
      <c r="K427" s="6"/>
      <c r="L427" s="6"/>
      <c r="M427" s="6"/>
      <c r="N427" s="6">
        <f t="shared" ref="N427:P427" si="430">IF(LEN($C427)&gt;0,H427-E427,"")</f>
        <v>-128217.733</v>
      </c>
      <c r="O427" s="6">
        <f t="shared" si="430"/>
        <v>-4.580423812</v>
      </c>
      <c r="P427" s="6">
        <f t="shared" si="430"/>
        <v>-1.565848506</v>
      </c>
      <c r="Q427" s="6"/>
      <c r="R427" s="6"/>
      <c r="S427" s="6"/>
      <c r="T427" s="6"/>
      <c r="U427" s="6"/>
      <c r="V427" s="6"/>
      <c r="W427" s="6"/>
      <c r="X427" s="6"/>
      <c r="Y427" s="6"/>
      <c r="Z427" s="6"/>
      <c r="AA427" s="6"/>
      <c r="AB427" s="6"/>
      <c r="AC427" s="6"/>
      <c r="AD427" s="6"/>
      <c r="AE427" s="6"/>
      <c r="AF427" s="6"/>
      <c r="AG427" s="6"/>
    </row>
    <row r="428" ht="14.25" customHeight="1">
      <c r="A428" s="6"/>
      <c r="B428" s="6"/>
      <c r="C428" s="6">
        <v>421.0</v>
      </c>
      <c r="D428" s="6"/>
      <c r="E428" s="6">
        <v>6575451.420536906</v>
      </c>
      <c r="F428" s="6">
        <v>460.1937025473625</v>
      </c>
      <c r="G428" s="6">
        <v>5.136490356244925</v>
      </c>
      <c r="H428" s="6">
        <v>6495098.702061464</v>
      </c>
      <c r="I428" s="6">
        <v>455.5081053100686</v>
      </c>
      <c r="J428" s="6">
        <v>3.6831349906373236</v>
      </c>
      <c r="K428" s="6"/>
      <c r="L428" s="6"/>
      <c r="M428" s="6"/>
      <c r="N428" s="6">
        <f t="shared" ref="N428:P428" si="431">IF(LEN($C428)&gt;0,H428-E428,"")</f>
        <v>-80352.71848</v>
      </c>
      <c r="O428" s="6">
        <f t="shared" si="431"/>
        <v>-4.685597237</v>
      </c>
      <c r="P428" s="6">
        <f t="shared" si="431"/>
        <v>-1.453355366</v>
      </c>
      <c r="Q428" s="6"/>
      <c r="R428" s="6"/>
      <c r="S428" s="6"/>
      <c r="T428" s="6"/>
      <c r="U428" s="6"/>
      <c r="V428" s="6"/>
      <c r="W428" s="6"/>
      <c r="X428" s="6"/>
      <c r="Y428" s="6"/>
      <c r="Z428" s="6"/>
      <c r="AA428" s="6"/>
      <c r="AB428" s="6"/>
      <c r="AC428" s="6"/>
      <c r="AD428" s="6"/>
      <c r="AE428" s="6"/>
      <c r="AF428" s="6"/>
      <c r="AG428" s="6"/>
    </row>
    <row r="429" ht="14.25" customHeight="1">
      <c r="A429" s="6"/>
      <c r="B429" s="6"/>
      <c r="C429" s="6">
        <v>422.0</v>
      </c>
      <c r="D429" s="6"/>
      <c r="E429" s="6">
        <v>6976940.038175844</v>
      </c>
      <c r="F429" s="6">
        <v>480.4584523398777</v>
      </c>
      <c r="G429" s="6">
        <v>4.197835020732914</v>
      </c>
      <c r="H429" s="6">
        <v>6891089.077619136</v>
      </c>
      <c r="I429" s="6">
        <v>475.49906167891913</v>
      </c>
      <c r="J429" s="6">
        <v>2.946885186785638</v>
      </c>
      <c r="K429" s="6"/>
      <c r="L429" s="6"/>
      <c r="M429" s="6"/>
      <c r="N429" s="6">
        <f t="shared" ref="N429:P429" si="432">IF(LEN($C429)&gt;0,H429-E429,"")</f>
        <v>-85850.96056</v>
      </c>
      <c r="O429" s="6">
        <f t="shared" si="432"/>
        <v>-4.959390661</v>
      </c>
      <c r="P429" s="6">
        <f t="shared" si="432"/>
        <v>-1.250949834</v>
      </c>
      <c r="Q429" s="6"/>
      <c r="R429" s="6"/>
      <c r="S429" s="6"/>
      <c r="T429" s="6"/>
      <c r="U429" s="6"/>
      <c r="V429" s="6"/>
      <c r="W429" s="6"/>
      <c r="X429" s="6"/>
      <c r="Y429" s="6"/>
      <c r="Z429" s="6"/>
      <c r="AA429" s="6"/>
      <c r="AB429" s="6"/>
      <c r="AC429" s="6"/>
      <c r="AD429" s="6"/>
      <c r="AE429" s="6"/>
      <c r="AF429" s="6"/>
      <c r="AG429" s="6"/>
    </row>
    <row r="430" ht="14.25" customHeight="1">
      <c r="A430" s="6"/>
      <c r="B430" s="6"/>
      <c r="C430" s="6">
        <v>423.0</v>
      </c>
      <c r="D430" s="6"/>
      <c r="E430" s="6">
        <v>8858852.197738502</v>
      </c>
      <c r="F430" s="6">
        <v>462.045970575624</v>
      </c>
      <c r="G430" s="6">
        <v>5.354608711450329</v>
      </c>
      <c r="H430" s="6">
        <v>8633755.492661158</v>
      </c>
      <c r="I430" s="6">
        <v>450.87054000491094</v>
      </c>
      <c r="J430" s="6">
        <v>3.905841860501934</v>
      </c>
      <c r="K430" s="6"/>
      <c r="L430" s="6"/>
      <c r="M430" s="6"/>
      <c r="N430" s="6">
        <f t="shared" ref="N430:P430" si="433">IF(LEN($C430)&gt;0,H430-E430,"")</f>
        <v>-225096.7051</v>
      </c>
      <c r="O430" s="6">
        <f t="shared" si="433"/>
        <v>-11.17543057</v>
      </c>
      <c r="P430" s="6">
        <f t="shared" si="433"/>
        <v>-1.448766851</v>
      </c>
      <c r="Q430" s="6"/>
      <c r="R430" s="6"/>
      <c r="S430" s="6"/>
      <c r="T430" s="6"/>
      <c r="U430" s="6"/>
      <c r="V430" s="6"/>
      <c r="W430" s="6"/>
      <c r="X430" s="6"/>
      <c r="Y430" s="6"/>
      <c r="Z430" s="6"/>
      <c r="AA430" s="6"/>
      <c r="AB430" s="6"/>
      <c r="AC430" s="6"/>
      <c r="AD430" s="6"/>
      <c r="AE430" s="6"/>
      <c r="AF430" s="6"/>
      <c r="AG430" s="6"/>
    </row>
    <row r="431" ht="14.25" customHeight="1">
      <c r="A431" s="6"/>
      <c r="B431" s="6"/>
      <c r="C431" s="6">
        <v>424.0</v>
      </c>
      <c r="D431" s="6"/>
      <c r="E431" s="6">
        <v>8414617.327001927</v>
      </c>
      <c r="F431" s="6">
        <v>458.1685493275928</v>
      </c>
      <c r="G431" s="6">
        <v>5.1267330434556255</v>
      </c>
      <c r="H431" s="6">
        <v>8306313.545493755</v>
      </c>
      <c r="I431" s="6">
        <v>453.8184442639045</v>
      </c>
      <c r="J431" s="6">
        <v>3.5144794593857474</v>
      </c>
      <c r="K431" s="6"/>
      <c r="L431" s="6"/>
      <c r="M431" s="6"/>
      <c r="N431" s="6">
        <f t="shared" ref="N431:P431" si="434">IF(LEN($C431)&gt;0,H431-E431,"")</f>
        <v>-108303.7815</v>
      </c>
      <c r="O431" s="6">
        <f t="shared" si="434"/>
        <v>-4.350105064</v>
      </c>
      <c r="P431" s="6">
        <f t="shared" si="434"/>
        <v>-1.612253584</v>
      </c>
      <c r="Q431" s="6"/>
      <c r="R431" s="6"/>
      <c r="S431" s="6"/>
      <c r="T431" s="6"/>
      <c r="U431" s="6"/>
      <c r="V431" s="6"/>
      <c r="W431" s="6"/>
      <c r="X431" s="6"/>
      <c r="Y431" s="6"/>
      <c r="Z431" s="6"/>
      <c r="AA431" s="6"/>
      <c r="AB431" s="6"/>
      <c r="AC431" s="6"/>
      <c r="AD431" s="6"/>
      <c r="AE431" s="6"/>
      <c r="AF431" s="6"/>
      <c r="AG431" s="6"/>
    </row>
    <row r="432" ht="14.25" customHeight="1">
      <c r="A432" s="6"/>
      <c r="B432" s="6"/>
      <c r="C432" s="6">
        <v>425.0</v>
      </c>
      <c r="D432" s="6"/>
      <c r="E432" s="6">
        <v>5494257.678813707</v>
      </c>
      <c r="F432" s="6">
        <v>462.5260160623856</v>
      </c>
      <c r="G432" s="6">
        <v>5.02750793211145</v>
      </c>
      <c r="H432" s="6">
        <v>5443581.78276079</v>
      </c>
      <c r="I432" s="6">
        <v>461.2469971147779</v>
      </c>
      <c r="J432" s="6">
        <v>3.6937530745822835</v>
      </c>
      <c r="K432" s="6"/>
      <c r="L432" s="6"/>
      <c r="M432" s="6"/>
      <c r="N432" s="6">
        <f t="shared" ref="N432:P432" si="435">IF(LEN($C432)&gt;0,H432-E432,"")</f>
        <v>-50675.89605</v>
      </c>
      <c r="O432" s="6">
        <f t="shared" si="435"/>
        <v>-1.279018948</v>
      </c>
      <c r="P432" s="6">
        <f t="shared" si="435"/>
        <v>-1.333754858</v>
      </c>
      <c r="Q432" s="6"/>
      <c r="R432" s="6"/>
      <c r="S432" s="6"/>
      <c r="T432" s="6"/>
      <c r="U432" s="6"/>
      <c r="V432" s="6"/>
      <c r="W432" s="6"/>
      <c r="X432" s="6"/>
      <c r="Y432" s="6"/>
      <c r="Z432" s="6"/>
      <c r="AA432" s="6"/>
      <c r="AB432" s="6"/>
      <c r="AC432" s="6"/>
      <c r="AD432" s="6"/>
      <c r="AE432" s="6"/>
      <c r="AF432" s="6"/>
      <c r="AG432" s="6"/>
    </row>
    <row r="433" ht="14.25" customHeight="1">
      <c r="A433" s="6"/>
      <c r="B433" s="6"/>
      <c r="C433" s="6">
        <v>426.0</v>
      </c>
      <c r="D433" s="6"/>
      <c r="E433" s="6">
        <v>7577162.104426044</v>
      </c>
      <c r="F433" s="6">
        <v>500.31879405771053</v>
      </c>
      <c r="G433" s="6">
        <v>3.759567221994481</v>
      </c>
      <c r="H433" s="6">
        <v>7466963.6772808805</v>
      </c>
      <c r="I433" s="6">
        <v>493.8884459843542</v>
      </c>
      <c r="J433" s="6">
        <v>2.888352273031113</v>
      </c>
      <c r="K433" s="6"/>
      <c r="L433" s="6"/>
      <c r="M433" s="6"/>
      <c r="N433" s="6">
        <f t="shared" ref="N433:P433" si="436">IF(LEN($C433)&gt;0,H433-E433,"")</f>
        <v>-110198.4271</v>
      </c>
      <c r="O433" s="6">
        <f t="shared" si="436"/>
        <v>-6.430348073</v>
      </c>
      <c r="P433" s="6">
        <f t="shared" si="436"/>
        <v>-0.871214949</v>
      </c>
      <c r="Q433" s="6"/>
      <c r="R433" s="6"/>
      <c r="S433" s="6"/>
      <c r="T433" s="6"/>
      <c r="U433" s="6"/>
      <c r="V433" s="6"/>
      <c r="W433" s="6"/>
      <c r="X433" s="6"/>
      <c r="Y433" s="6"/>
      <c r="Z433" s="6"/>
      <c r="AA433" s="6"/>
      <c r="AB433" s="6"/>
      <c r="AC433" s="6"/>
      <c r="AD433" s="6"/>
      <c r="AE433" s="6"/>
      <c r="AF433" s="6"/>
      <c r="AG433" s="6"/>
    </row>
    <row r="434" ht="14.25" customHeight="1">
      <c r="A434" s="6"/>
      <c r="B434" s="6"/>
      <c r="C434" s="6">
        <v>427.0</v>
      </c>
      <c r="D434" s="6"/>
      <c r="E434" s="6">
        <v>7922550.960305877</v>
      </c>
      <c r="F434" s="6">
        <v>482.2461139693738</v>
      </c>
      <c r="G434" s="6">
        <v>4.543108068829275</v>
      </c>
      <c r="H434" s="6">
        <v>7856192.501705115</v>
      </c>
      <c r="I434" s="6">
        <v>479.07526257045913</v>
      </c>
      <c r="J434" s="6">
        <v>3.7562762539014054</v>
      </c>
      <c r="K434" s="6"/>
      <c r="L434" s="6"/>
      <c r="M434" s="6"/>
      <c r="N434" s="6">
        <f t="shared" ref="N434:P434" si="437">IF(LEN($C434)&gt;0,H434-E434,"")</f>
        <v>-66358.4586</v>
      </c>
      <c r="O434" s="6">
        <f t="shared" si="437"/>
        <v>-3.170851399</v>
      </c>
      <c r="P434" s="6">
        <f t="shared" si="437"/>
        <v>-0.7868318149</v>
      </c>
      <c r="Q434" s="6"/>
      <c r="R434" s="6"/>
      <c r="S434" s="6"/>
      <c r="T434" s="6"/>
      <c r="U434" s="6"/>
      <c r="V434" s="6"/>
      <c r="W434" s="6"/>
      <c r="X434" s="6"/>
      <c r="Y434" s="6"/>
      <c r="Z434" s="6"/>
      <c r="AA434" s="6"/>
      <c r="AB434" s="6"/>
      <c r="AC434" s="6"/>
      <c r="AD434" s="6"/>
      <c r="AE434" s="6"/>
      <c r="AF434" s="6"/>
      <c r="AG434" s="6"/>
    </row>
    <row r="435" ht="14.25" customHeight="1">
      <c r="A435" s="6"/>
      <c r="B435" s="6"/>
      <c r="C435" s="6">
        <v>428.0</v>
      </c>
      <c r="D435" s="6"/>
      <c r="E435" s="6">
        <v>7518303.9293098</v>
      </c>
      <c r="F435" s="6">
        <v>482.3021182096446</v>
      </c>
      <c r="G435" s="6">
        <v>5.588133192551378</v>
      </c>
      <c r="H435" s="6">
        <v>7343060.165912258</v>
      </c>
      <c r="I435" s="6">
        <v>476.0012829375982</v>
      </c>
      <c r="J435" s="6">
        <v>4.194855033959456</v>
      </c>
      <c r="K435" s="6"/>
      <c r="L435" s="6"/>
      <c r="M435" s="6"/>
      <c r="N435" s="6">
        <f t="shared" ref="N435:P435" si="438">IF(LEN($C435)&gt;0,H435-E435,"")</f>
        <v>-175243.7634</v>
      </c>
      <c r="O435" s="6">
        <f t="shared" si="438"/>
        <v>-6.300835272</v>
      </c>
      <c r="P435" s="6">
        <f t="shared" si="438"/>
        <v>-1.393278159</v>
      </c>
      <c r="Q435" s="6"/>
      <c r="R435" s="6"/>
      <c r="S435" s="6"/>
      <c r="T435" s="6"/>
      <c r="U435" s="6"/>
      <c r="V435" s="6"/>
      <c r="W435" s="6"/>
      <c r="X435" s="6"/>
      <c r="Y435" s="6"/>
      <c r="Z435" s="6"/>
      <c r="AA435" s="6"/>
      <c r="AB435" s="6"/>
      <c r="AC435" s="6"/>
      <c r="AD435" s="6"/>
      <c r="AE435" s="6"/>
      <c r="AF435" s="6"/>
      <c r="AG435" s="6"/>
    </row>
    <row r="436" ht="14.25" customHeight="1">
      <c r="A436" s="6"/>
      <c r="B436" s="6"/>
      <c r="C436" s="6">
        <v>429.0</v>
      </c>
      <c r="D436" s="6"/>
      <c r="E436" s="6">
        <v>8893194.442858802</v>
      </c>
      <c r="F436" s="6">
        <v>449.5563118428497</v>
      </c>
      <c r="G436" s="6">
        <v>4.724581936004401</v>
      </c>
      <c r="H436" s="6">
        <v>8822950.152361399</v>
      </c>
      <c r="I436" s="6">
        <v>447.46854652049075</v>
      </c>
      <c r="J436" s="6">
        <v>3.8964799857371983</v>
      </c>
      <c r="K436" s="6"/>
      <c r="L436" s="6"/>
      <c r="M436" s="6"/>
      <c r="N436" s="6">
        <f t="shared" ref="N436:P436" si="439">IF(LEN($C436)&gt;0,H436-E436,"")</f>
        <v>-70244.2905</v>
      </c>
      <c r="O436" s="6">
        <f t="shared" si="439"/>
        <v>-2.087765322</v>
      </c>
      <c r="P436" s="6">
        <f t="shared" si="439"/>
        <v>-0.8281019503</v>
      </c>
      <c r="Q436" s="6"/>
      <c r="R436" s="6"/>
      <c r="S436" s="6"/>
      <c r="T436" s="6"/>
      <c r="U436" s="6"/>
      <c r="V436" s="6"/>
      <c r="W436" s="6"/>
      <c r="X436" s="6"/>
      <c r="Y436" s="6"/>
      <c r="Z436" s="6"/>
      <c r="AA436" s="6"/>
      <c r="AB436" s="6"/>
      <c r="AC436" s="6"/>
      <c r="AD436" s="6"/>
      <c r="AE436" s="6"/>
      <c r="AF436" s="6"/>
      <c r="AG436" s="6"/>
    </row>
    <row r="437" ht="14.25" customHeight="1">
      <c r="A437" s="6"/>
      <c r="B437" s="6"/>
      <c r="C437" s="6">
        <v>430.0</v>
      </c>
      <c r="D437" s="6"/>
      <c r="E437" s="6">
        <v>6217845.827288524</v>
      </c>
      <c r="F437" s="6">
        <v>472.9739733659921</v>
      </c>
      <c r="G437" s="6">
        <v>6.598739948455592</v>
      </c>
      <c r="H437" s="6">
        <v>6099251.071477391</v>
      </c>
      <c r="I437" s="6">
        <v>467.48871648171473</v>
      </c>
      <c r="J437" s="6">
        <v>4.563806201651729</v>
      </c>
      <c r="K437" s="6"/>
      <c r="L437" s="6"/>
      <c r="M437" s="6"/>
      <c r="N437" s="6">
        <f t="shared" ref="N437:P437" si="440">IF(LEN($C437)&gt;0,H437-E437,"")</f>
        <v>-118594.7558</v>
      </c>
      <c r="O437" s="6">
        <f t="shared" si="440"/>
        <v>-5.485256884</v>
      </c>
      <c r="P437" s="6">
        <f t="shared" si="440"/>
        <v>-2.034933747</v>
      </c>
      <c r="Q437" s="6"/>
      <c r="R437" s="6"/>
      <c r="S437" s="6"/>
      <c r="T437" s="6"/>
      <c r="U437" s="6"/>
      <c r="V437" s="6"/>
      <c r="W437" s="6"/>
      <c r="X437" s="6"/>
      <c r="Y437" s="6"/>
      <c r="Z437" s="6"/>
      <c r="AA437" s="6"/>
      <c r="AB437" s="6"/>
      <c r="AC437" s="6"/>
      <c r="AD437" s="6"/>
      <c r="AE437" s="6"/>
      <c r="AF437" s="6"/>
      <c r="AG437" s="6"/>
    </row>
    <row r="438" ht="14.25" customHeight="1">
      <c r="A438" s="6"/>
      <c r="B438" s="6"/>
      <c r="C438" s="6">
        <v>431.0</v>
      </c>
      <c r="D438" s="6"/>
      <c r="E438" s="6">
        <v>5151084.944056538</v>
      </c>
      <c r="F438" s="6">
        <v>449.51394626898684</v>
      </c>
      <c r="G438" s="6">
        <v>5.886387372306762</v>
      </c>
      <c r="H438" s="6">
        <v>5092495.492495822</v>
      </c>
      <c r="I438" s="6">
        <v>447.48101784052443</v>
      </c>
      <c r="J438" s="6">
        <v>4.8238757227582125</v>
      </c>
      <c r="K438" s="6"/>
      <c r="L438" s="6"/>
      <c r="M438" s="6"/>
      <c r="N438" s="6">
        <f t="shared" ref="N438:P438" si="441">IF(LEN($C438)&gt;0,H438-E438,"")</f>
        <v>-58589.45156</v>
      </c>
      <c r="O438" s="6">
        <f t="shared" si="441"/>
        <v>-2.032928428</v>
      </c>
      <c r="P438" s="6">
        <f t="shared" si="441"/>
        <v>-1.06251165</v>
      </c>
      <c r="Q438" s="6"/>
      <c r="R438" s="6"/>
      <c r="S438" s="6"/>
      <c r="T438" s="6"/>
      <c r="U438" s="6"/>
      <c r="V438" s="6"/>
      <c r="W438" s="6"/>
      <c r="X438" s="6"/>
      <c r="Y438" s="6"/>
      <c r="Z438" s="6"/>
      <c r="AA438" s="6"/>
      <c r="AB438" s="6"/>
      <c r="AC438" s="6"/>
      <c r="AD438" s="6"/>
      <c r="AE438" s="6"/>
      <c r="AF438" s="6"/>
      <c r="AG438" s="6"/>
    </row>
    <row r="439" ht="14.25" customHeight="1">
      <c r="A439" s="6"/>
      <c r="B439" s="6"/>
      <c r="C439" s="6">
        <v>432.0</v>
      </c>
      <c r="D439" s="6"/>
      <c r="E439" s="6">
        <v>8114884.504843189</v>
      </c>
      <c r="F439" s="6">
        <v>436.21140810715957</v>
      </c>
      <c r="G439" s="6">
        <v>5.431524018048278</v>
      </c>
      <c r="H439" s="6">
        <v>7934570.809074776</v>
      </c>
      <c r="I439" s="6">
        <v>429.38441493480843</v>
      </c>
      <c r="J439" s="6">
        <v>3.250449061630826</v>
      </c>
      <c r="K439" s="6"/>
      <c r="L439" s="6"/>
      <c r="M439" s="6"/>
      <c r="N439" s="6">
        <f t="shared" ref="N439:P439" si="442">IF(LEN($C439)&gt;0,H439-E439,"")</f>
        <v>-180313.6958</v>
      </c>
      <c r="O439" s="6">
        <f t="shared" si="442"/>
        <v>-6.826993172</v>
      </c>
      <c r="P439" s="6">
        <f t="shared" si="442"/>
        <v>-2.181074956</v>
      </c>
      <c r="Q439" s="6"/>
      <c r="R439" s="6"/>
      <c r="S439" s="6"/>
      <c r="T439" s="6"/>
      <c r="U439" s="6"/>
      <c r="V439" s="6"/>
      <c r="W439" s="6"/>
      <c r="X439" s="6"/>
      <c r="Y439" s="6"/>
      <c r="Z439" s="6"/>
      <c r="AA439" s="6"/>
      <c r="AB439" s="6"/>
      <c r="AC439" s="6"/>
      <c r="AD439" s="6"/>
      <c r="AE439" s="6"/>
      <c r="AF439" s="6"/>
      <c r="AG439" s="6"/>
    </row>
    <row r="440" ht="14.25" customHeight="1">
      <c r="A440" s="6"/>
      <c r="B440" s="6"/>
      <c r="C440" s="6">
        <v>433.0</v>
      </c>
      <c r="D440" s="6"/>
      <c r="E440" s="6">
        <v>5946663.875964943</v>
      </c>
      <c r="F440" s="6">
        <v>460.84114322115363</v>
      </c>
      <c r="G440" s="6">
        <v>5.814480859874201</v>
      </c>
      <c r="H440" s="6">
        <v>5807013.051265247</v>
      </c>
      <c r="I440" s="6">
        <v>457.00710073928684</v>
      </c>
      <c r="J440" s="6">
        <v>3.7581717751956325</v>
      </c>
      <c r="K440" s="6"/>
      <c r="L440" s="6"/>
      <c r="M440" s="6"/>
      <c r="N440" s="6">
        <f t="shared" ref="N440:P440" si="443">IF(LEN($C440)&gt;0,H440-E440,"")</f>
        <v>-139650.8247</v>
      </c>
      <c r="O440" s="6">
        <f t="shared" si="443"/>
        <v>-3.834042482</v>
      </c>
      <c r="P440" s="6">
        <f t="shared" si="443"/>
        <v>-2.056309085</v>
      </c>
      <c r="Q440" s="6"/>
      <c r="R440" s="6"/>
      <c r="S440" s="6"/>
      <c r="T440" s="6"/>
      <c r="U440" s="6"/>
      <c r="V440" s="6"/>
      <c r="W440" s="6"/>
      <c r="X440" s="6"/>
      <c r="Y440" s="6"/>
      <c r="Z440" s="6"/>
      <c r="AA440" s="6"/>
      <c r="AB440" s="6"/>
      <c r="AC440" s="6"/>
      <c r="AD440" s="6"/>
      <c r="AE440" s="6"/>
      <c r="AF440" s="6"/>
      <c r="AG440" s="6"/>
    </row>
    <row r="441" ht="14.25" customHeight="1">
      <c r="A441" s="6"/>
      <c r="B441" s="6"/>
      <c r="C441" s="6">
        <v>434.0</v>
      </c>
      <c r="D441" s="6"/>
      <c r="E441" s="6">
        <v>4626945.545618707</v>
      </c>
      <c r="F441" s="6">
        <v>444.34294505467034</v>
      </c>
      <c r="G441" s="6">
        <v>4.832375278451823</v>
      </c>
      <c r="H441" s="6">
        <v>4580562.467587215</v>
      </c>
      <c r="I441" s="6">
        <v>442.2792903353891</v>
      </c>
      <c r="J441" s="6">
        <v>3.9199637363696254</v>
      </c>
      <c r="K441" s="6"/>
      <c r="L441" s="6"/>
      <c r="M441" s="6"/>
      <c r="N441" s="6">
        <f t="shared" ref="N441:P441" si="444">IF(LEN($C441)&gt;0,H441-E441,"")</f>
        <v>-46383.07803</v>
      </c>
      <c r="O441" s="6">
        <f t="shared" si="444"/>
        <v>-2.063654719</v>
      </c>
      <c r="P441" s="6">
        <f t="shared" si="444"/>
        <v>-0.9124115421</v>
      </c>
      <c r="Q441" s="6"/>
      <c r="R441" s="6"/>
      <c r="S441" s="6"/>
      <c r="T441" s="6"/>
      <c r="U441" s="6"/>
      <c r="V441" s="6"/>
      <c r="W441" s="6"/>
      <c r="X441" s="6"/>
      <c r="Y441" s="6"/>
      <c r="Z441" s="6"/>
      <c r="AA441" s="6"/>
      <c r="AB441" s="6"/>
      <c r="AC441" s="6"/>
      <c r="AD441" s="6"/>
      <c r="AE441" s="6"/>
      <c r="AF441" s="6"/>
      <c r="AG441" s="6"/>
    </row>
    <row r="442" ht="14.25" customHeight="1">
      <c r="A442" s="6"/>
      <c r="B442" s="6"/>
      <c r="C442" s="6">
        <v>435.0</v>
      </c>
      <c r="D442" s="6"/>
      <c r="E442" s="6">
        <v>8230683.912417448</v>
      </c>
      <c r="F442" s="6">
        <v>458.9459238155522</v>
      </c>
      <c r="G442" s="6">
        <v>6.227906139226291</v>
      </c>
      <c r="H442" s="6">
        <v>8103626.919976132</v>
      </c>
      <c r="I442" s="6">
        <v>454.6199622249286</v>
      </c>
      <c r="J442" s="6">
        <v>5.097582485682817</v>
      </c>
      <c r="K442" s="6"/>
      <c r="L442" s="6"/>
      <c r="M442" s="6"/>
      <c r="N442" s="6">
        <f t="shared" ref="N442:P442" si="445">IF(LEN($C442)&gt;0,H442-E442,"")</f>
        <v>-127056.9924</v>
      </c>
      <c r="O442" s="6">
        <f t="shared" si="445"/>
        <v>-4.325961591</v>
      </c>
      <c r="P442" s="6">
        <f t="shared" si="445"/>
        <v>-1.130323654</v>
      </c>
      <c r="Q442" s="6"/>
      <c r="R442" s="6"/>
      <c r="S442" s="6"/>
      <c r="T442" s="6"/>
      <c r="U442" s="6"/>
      <c r="V442" s="6"/>
      <c r="W442" s="6"/>
      <c r="X442" s="6"/>
      <c r="Y442" s="6"/>
      <c r="Z442" s="6"/>
      <c r="AA442" s="6"/>
      <c r="AB442" s="6"/>
      <c r="AC442" s="6"/>
      <c r="AD442" s="6"/>
      <c r="AE442" s="6"/>
      <c r="AF442" s="6"/>
      <c r="AG442" s="6"/>
    </row>
    <row r="443" ht="14.25" customHeight="1">
      <c r="A443" s="6"/>
      <c r="B443" s="6"/>
      <c r="C443" s="6">
        <v>436.0</v>
      </c>
      <c r="D443" s="6"/>
      <c r="E443" s="6">
        <v>5814836.213527968</v>
      </c>
      <c r="F443" s="6">
        <v>460.5542170088343</v>
      </c>
      <c r="G443" s="6">
        <v>6.1554855404027755</v>
      </c>
      <c r="H443" s="6">
        <v>5742352.479060717</v>
      </c>
      <c r="I443" s="6">
        <v>459.268955847061</v>
      </c>
      <c r="J443" s="6">
        <v>4.718719828865017</v>
      </c>
      <c r="K443" s="6"/>
      <c r="L443" s="6"/>
      <c r="M443" s="6"/>
      <c r="N443" s="6">
        <f t="shared" ref="N443:P443" si="446">IF(LEN($C443)&gt;0,H443-E443,"")</f>
        <v>-72483.73447</v>
      </c>
      <c r="O443" s="6">
        <f t="shared" si="446"/>
        <v>-1.285261162</v>
      </c>
      <c r="P443" s="6">
        <f t="shared" si="446"/>
        <v>-1.436765712</v>
      </c>
      <c r="Q443" s="6"/>
      <c r="R443" s="6"/>
      <c r="S443" s="6"/>
      <c r="T443" s="6"/>
      <c r="U443" s="6"/>
      <c r="V443" s="6"/>
      <c r="W443" s="6"/>
      <c r="X443" s="6"/>
      <c r="Y443" s="6"/>
      <c r="Z443" s="6"/>
      <c r="AA443" s="6"/>
      <c r="AB443" s="6"/>
      <c r="AC443" s="6"/>
      <c r="AD443" s="6"/>
      <c r="AE443" s="6"/>
      <c r="AF443" s="6"/>
      <c r="AG443" s="6"/>
    </row>
    <row r="444" ht="14.25" customHeight="1">
      <c r="A444" s="6"/>
      <c r="B444" s="6"/>
      <c r="C444" s="6">
        <v>437.0</v>
      </c>
      <c r="D444" s="6"/>
      <c r="E444" s="6">
        <v>6621860.185138631</v>
      </c>
      <c r="F444" s="6">
        <v>490.1769737228692</v>
      </c>
      <c r="G444" s="6">
        <v>5.0178173466998715</v>
      </c>
      <c r="H444" s="6">
        <v>6491568.986936737</v>
      </c>
      <c r="I444" s="6">
        <v>484.40371818643314</v>
      </c>
      <c r="J444" s="6">
        <v>3.7915017948047347</v>
      </c>
      <c r="K444" s="6"/>
      <c r="L444" s="6"/>
      <c r="M444" s="6"/>
      <c r="N444" s="6">
        <f t="shared" ref="N444:P444" si="447">IF(LEN($C444)&gt;0,H444-E444,"")</f>
        <v>-130291.1982</v>
      </c>
      <c r="O444" s="6">
        <f t="shared" si="447"/>
        <v>-5.773255536</v>
      </c>
      <c r="P444" s="6">
        <f t="shared" si="447"/>
        <v>-1.226315552</v>
      </c>
      <c r="Q444" s="6"/>
      <c r="R444" s="6"/>
      <c r="S444" s="6"/>
      <c r="T444" s="6"/>
      <c r="U444" s="6"/>
      <c r="V444" s="6"/>
      <c r="W444" s="6"/>
      <c r="X444" s="6"/>
      <c r="Y444" s="6"/>
      <c r="Z444" s="6"/>
      <c r="AA444" s="6"/>
      <c r="AB444" s="6"/>
      <c r="AC444" s="6"/>
      <c r="AD444" s="6"/>
      <c r="AE444" s="6"/>
      <c r="AF444" s="6"/>
      <c r="AG444" s="6"/>
    </row>
    <row r="445" ht="14.25" customHeight="1">
      <c r="A445" s="6"/>
      <c r="B445" s="6"/>
      <c r="C445" s="6">
        <v>438.0</v>
      </c>
      <c r="D445" s="6"/>
      <c r="E445" s="6">
        <v>8284630.156565024</v>
      </c>
      <c r="F445" s="6">
        <v>454.2838129081832</v>
      </c>
      <c r="G445" s="6">
        <v>4.697058679913452</v>
      </c>
      <c r="H445" s="6">
        <v>8163096.08234922</v>
      </c>
      <c r="I445" s="6">
        <v>448.9972900399195</v>
      </c>
      <c r="J445" s="6">
        <v>3.7847889685123675</v>
      </c>
      <c r="K445" s="6"/>
      <c r="L445" s="6"/>
      <c r="M445" s="6"/>
      <c r="N445" s="6">
        <f t="shared" ref="N445:P445" si="448">IF(LEN($C445)&gt;0,H445-E445,"")</f>
        <v>-121534.0742</v>
      </c>
      <c r="O445" s="6">
        <f t="shared" si="448"/>
        <v>-5.286522868</v>
      </c>
      <c r="P445" s="6">
        <f t="shared" si="448"/>
        <v>-0.9122697114</v>
      </c>
      <c r="Q445" s="6"/>
      <c r="R445" s="6"/>
      <c r="S445" s="6"/>
      <c r="T445" s="6"/>
      <c r="U445" s="6"/>
      <c r="V445" s="6"/>
      <c r="W445" s="6"/>
      <c r="X445" s="6"/>
      <c r="Y445" s="6"/>
      <c r="Z445" s="6"/>
      <c r="AA445" s="6"/>
      <c r="AB445" s="6"/>
      <c r="AC445" s="6"/>
      <c r="AD445" s="6"/>
      <c r="AE445" s="6"/>
      <c r="AF445" s="6"/>
      <c r="AG445" s="6"/>
    </row>
    <row r="446" ht="14.25" customHeight="1">
      <c r="A446" s="6"/>
      <c r="B446" s="6"/>
      <c r="C446" s="6">
        <v>439.0</v>
      </c>
      <c r="D446" s="6"/>
      <c r="E446" s="6">
        <v>7002893.93471917</v>
      </c>
      <c r="F446" s="6">
        <v>490.5931887158676</v>
      </c>
      <c r="G446" s="6">
        <v>5.14110515817442</v>
      </c>
      <c r="H446" s="6">
        <v>6942032.893752661</v>
      </c>
      <c r="I446" s="6">
        <v>487.4600514343333</v>
      </c>
      <c r="J446" s="6">
        <v>3.9475900313693284</v>
      </c>
      <c r="K446" s="6"/>
      <c r="L446" s="6"/>
      <c r="M446" s="6"/>
      <c r="N446" s="6">
        <f t="shared" ref="N446:P446" si="449">IF(LEN($C446)&gt;0,H446-E446,"")</f>
        <v>-60861.04097</v>
      </c>
      <c r="O446" s="6">
        <f t="shared" si="449"/>
        <v>-3.133137282</v>
      </c>
      <c r="P446" s="6">
        <f t="shared" si="449"/>
        <v>-1.193515127</v>
      </c>
      <c r="Q446" s="6"/>
      <c r="R446" s="6"/>
      <c r="S446" s="6"/>
      <c r="T446" s="6"/>
      <c r="U446" s="6"/>
      <c r="V446" s="6"/>
      <c r="W446" s="6"/>
      <c r="X446" s="6"/>
      <c r="Y446" s="6"/>
      <c r="Z446" s="6"/>
      <c r="AA446" s="6"/>
      <c r="AB446" s="6"/>
      <c r="AC446" s="6"/>
      <c r="AD446" s="6"/>
      <c r="AE446" s="6"/>
      <c r="AF446" s="6"/>
      <c r="AG446" s="6"/>
    </row>
    <row r="447" ht="14.25" customHeight="1">
      <c r="A447" s="6"/>
      <c r="B447" s="6"/>
      <c r="C447" s="6">
        <v>440.0</v>
      </c>
      <c r="D447" s="6"/>
      <c r="E447" s="6">
        <v>5334578.692049042</v>
      </c>
      <c r="F447" s="6">
        <v>440.6084399643156</v>
      </c>
      <c r="G447" s="6">
        <v>6.624375661297368</v>
      </c>
      <c r="H447" s="6">
        <v>5255591.300482291</v>
      </c>
      <c r="I447" s="6">
        <v>438.13191994554006</v>
      </c>
      <c r="J447" s="6">
        <v>5.325579573476995</v>
      </c>
      <c r="K447" s="6"/>
      <c r="L447" s="6"/>
      <c r="M447" s="6"/>
      <c r="N447" s="6">
        <f t="shared" ref="N447:P447" si="450">IF(LEN($C447)&gt;0,H447-E447,"")</f>
        <v>-78987.39157</v>
      </c>
      <c r="O447" s="6">
        <f t="shared" si="450"/>
        <v>-2.476520019</v>
      </c>
      <c r="P447" s="6">
        <f t="shared" si="450"/>
        <v>-1.298796088</v>
      </c>
      <c r="Q447" s="6"/>
      <c r="R447" s="6"/>
      <c r="S447" s="6"/>
      <c r="T447" s="6"/>
      <c r="U447" s="6"/>
      <c r="V447" s="6"/>
      <c r="W447" s="6"/>
      <c r="X447" s="6"/>
      <c r="Y447" s="6"/>
      <c r="Z447" s="6"/>
      <c r="AA447" s="6"/>
      <c r="AB447" s="6"/>
      <c r="AC447" s="6"/>
      <c r="AD447" s="6"/>
      <c r="AE447" s="6"/>
      <c r="AF447" s="6"/>
      <c r="AG447" s="6"/>
    </row>
    <row r="448" ht="14.25" customHeight="1">
      <c r="A448" s="6"/>
      <c r="B448" s="6"/>
      <c r="C448" s="6">
        <v>441.0</v>
      </c>
      <c r="D448" s="6"/>
      <c r="E448" s="6">
        <v>6655333.069680708</v>
      </c>
      <c r="F448" s="6">
        <v>484.8243488351399</v>
      </c>
      <c r="G448" s="6">
        <v>4.5241160170298915</v>
      </c>
      <c r="H448" s="6">
        <v>6472394.351622977</v>
      </c>
      <c r="I448" s="6">
        <v>476.44920063734435</v>
      </c>
      <c r="J448" s="6">
        <v>3.2775558929397146</v>
      </c>
      <c r="K448" s="6"/>
      <c r="L448" s="6"/>
      <c r="M448" s="6"/>
      <c r="N448" s="6">
        <f t="shared" ref="N448:P448" si="451">IF(LEN($C448)&gt;0,H448-E448,"")</f>
        <v>-182938.7181</v>
      </c>
      <c r="O448" s="6">
        <f t="shared" si="451"/>
        <v>-8.375148198</v>
      </c>
      <c r="P448" s="6">
        <f t="shared" si="451"/>
        <v>-1.246560124</v>
      </c>
      <c r="Q448" s="6"/>
      <c r="R448" s="6"/>
      <c r="S448" s="6"/>
      <c r="T448" s="6"/>
      <c r="U448" s="6"/>
      <c r="V448" s="6"/>
      <c r="W448" s="6"/>
      <c r="X448" s="6"/>
      <c r="Y448" s="6"/>
      <c r="Z448" s="6"/>
      <c r="AA448" s="6"/>
      <c r="AB448" s="6"/>
      <c r="AC448" s="6"/>
      <c r="AD448" s="6"/>
      <c r="AE448" s="6"/>
      <c r="AF448" s="6"/>
      <c r="AG448" s="6"/>
    </row>
    <row r="449" ht="14.25" customHeight="1">
      <c r="A449" s="6"/>
      <c r="B449" s="6"/>
      <c r="C449" s="6">
        <v>442.0</v>
      </c>
      <c r="D449" s="6"/>
      <c r="E449" s="6">
        <v>7404687.23218025</v>
      </c>
      <c r="F449" s="6">
        <v>450.3470889603941</v>
      </c>
      <c r="G449" s="6">
        <v>4.677251323780789</v>
      </c>
      <c r="H449" s="6">
        <v>7242033.402230772</v>
      </c>
      <c r="I449" s="6">
        <v>443.6229194068215</v>
      </c>
      <c r="J449" s="6">
        <v>3.5506268642117544</v>
      </c>
      <c r="K449" s="6"/>
      <c r="L449" s="6"/>
      <c r="M449" s="6"/>
      <c r="N449" s="6">
        <f t="shared" ref="N449:P449" si="452">IF(LEN($C449)&gt;0,H449-E449,"")</f>
        <v>-162653.8299</v>
      </c>
      <c r="O449" s="6">
        <f t="shared" si="452"/>
        <v>-6.724169554</v>
      </c>
      <c r="P449" s="6">
        <f t="shared" si="452"/>
        <v>-1.12662446</v>
      </c>
      <c r="Q449" s="6"/>
      <c r="R449" s="6"/>
      <c r="S449" s="6"/>
      <c r="T449" s="6"/>
      <c r="U449" s="6"/>
      <c r="V449" s="6"/>
      <c r="W449" s="6"/>
      <c r="X449" s="6"/>
      <c r="Y449" s="6"/>
      <c r="Z449" s="6"/>
      <c r="AA449" s="6"/>
      <c r="AB449" s="6"/>
      <c r="AC449" s="6"/>
      <c r="AD449" s="6"/>
      <c r="AE449" s="6"/>
      <c r="AF449" s="6"/>
      <c r="AG449" s="6"/>
    </row>
    <row r="450" ht="14.25" customHeight="1">
      <c r="A450" s="6"/>
      <c r="B450" s="6"/>
      <c r="C450" s="6">
        <v>443.0</v>
      </c>
      <c r="D450" s="6"/>
      <c r="E450" s="6">
        <v>6931772.635377191</v>
      </c>
      <c r="F450" s="6">
        <v>459.15427361301903</v>
      </c>
      <c r="G450" s="6">
        <v>5.968883149236228</v>
      </c>
      <c r="H450" s="6">
        <v>6842848.898080783</v>
      </c>
      <c r="I450" s="6">
        <v>456.87284492996224</v>
      </c>
      <c r="J450" s="6">
        <v>4.1938653047967325</v>
      </c>
      <c r="K450" s="6"/>
      <c r="L450" s="6"/>
      <c r="M450" s="6"/>
      <c r="N450" s="6">
        <f t="shared" ref="N450:P450" si="453">IF(LEN($C450)&gt;0,H450-E450,"")</f>
        <v>-88923.7373</v>
      </c>
      <c r="O450" s="6">
        <f t="shared" si="453"/>
        <v>-2.281428683</v>
      </c>
      <c r="P450" s="6">
        <f t="shared" si="453"/>
        <v>-1.775017844</v>
      </c>
      <c r="Q450" s="6"/>
      <c r="R450" s="6"/>
      <c r="S450" s="6"/>
      <c r="T450" s="6"/>
      <c r="U450" s="6"/>
      <c r="V450" s="6"/>
      <c r="W450" s="6"/>
      <c r="X450" s="6"/>
      <c r="Y450" s="6"/>
      <c r="Z450" s="6"/>
      <c r="AA450" s="6"/>
      <c r="AB450" s="6"/>
      <c r="AC450" s="6"/>
      <c r="AD450" s="6"/>
      <c r="AE450" s="6"/>
      <c r="AF450" s="6"/>
      <c r="AG450" s="6"/>
    </row>
    <row r="451" ht="14.25" customHeight="1">
      <c r="A451" s="6"/>
      <c r="B451" s="6"/>
      <c r="C451" s="6">
        <v>444.0</v>
      </c>
      <c r="D451" s="6"/>
      <c r="E451" s="6">
        <v>8183662.906566691</v>
      </c>
      <c r="F451" s="6">
        <v>471.698285695369</v>
      </c>
      <c r="G451" s="6">
        <v>4.151112677605849</v>
      </c>
      <c r="H451" s="6">
        <v>8077244.197819844</v>
      </c>
      <c r="I451" s="6">
        <v>468.4101385068878</v>
      </c>
      <c r="J451" s="6">
        <v>2.7787758462272283</v>
      </c>
      <c r="K451" s="6"/>
      <c r="L451" s="6"/>
      <c r="M451" s="6"/>
      <c r="N451" s="6">
        <f t="shared" ref="N451:P451" si="454">IF(LEN($C451)&gt;0,H451-E451,"")</f>
        <v>-106418.7087</v>
      </c>
      <c r="O451" s="6">
        <f t="shared" si="454"/>
        <v>-3.288147188</v>
      </c>
      <c r="P451" s="6">
        <f t="shared" si="454"/>
        <v>-1.372336831</v>
      </c>
      <c r="Q451" s="6"/>
      <c r="R451" s="6"/>
      <c r="S451" s="6"/>
      <c r="T451" s="6"/>
      <c r="U451" s="6"/>
      <c r="V451" s="6"/>
      <c r="W451" s="6"/>
      <c r="X451" s="6"/>
      <c r="Y451" s="6"/>
      <c r="Z451" s="6"/>
      <c r="AA451" s="6"/>
      <c r="AB451" s="6"/>
      <c r="AC451" s="6"/>
      <c r="AD451" s="6"/>
      <c r="AE451" s="6"/>
      <c r="AF451" s="6"/>
      <c r="AG451" s="6"/>
    </row>
    <row r="452" ht="14.25" customHeight="1">
      <c r="A452" s="6"/>
      <c r="B452" s="6"/>
      <c r="C452" s="6">
        <v>445.0</v>
      </c>
      <c r="D452" s="6"/>
      <c r="E452" s="6">
        <v>7532553.231399275</v>
      </c>
      <c r="F452" s="6">
        <v>435.2808239418591</v>
      </c>
      <c r="G452" s="6">
        <v>5.355126205589307</v>
      </c>
      <c r="H452" s="6">
        <v>7438740.6005726</v>
      </c>
      <c r="I452" s="6">
        <v>431.4276955398468</v>
      </c>
      <c r="J452" s="6">
        <v>4.063361153623307</v>
      </c>
      <c r="K452" s="6"/>
      <c r="L452" s="6"/>
      <c r="M452" s="6"/>
      <c r="N452" s="6">
        <f t="shared" ref="N452:P452" si="455">IF(LEN($C452)&gt;0,H452-E452,"")</f>
        <v>-93812.63083</v>
      </c>
      <c r="O452" s="6">
        <f t="shared" si="455"/>
        <v>-3.853128402</v>
      </c>
      <c r="P452" s="6">
        <f t="shared" si="455"/>
        <v>-1.291765052</v>
      </c>
      <c r="Q452" s="6"/>
      <c r="R452" s="6"/>
      <c r="S452" s="6"/>
      <c r="T452" s="6"/>
      <c r="U452" s="6"/>
      <c r="V452" s="6"/>
      <c r="W452" s="6"/>
      <c r="X452" s="6"/>
      <c r="Y452" s="6"/>
      <c r="Z452" s="6"/>
      <c r="AA452" s="6"/>
      <c r="AB452" s="6"/>
      <c r="AC452" s="6"/>
      <c r="AD452" s="6"/>
      <c r="AE452" s="6"/>
      <c r="AF452" s="6"/>
      <c r="AG452" s="6"/>
    </row>
    <row r="453" ht="14.25" customHeight="1">
      <c r="A453" s="6"/>
      <c r="B453" s="6"/>
      <c r="C453" s="6">
        <v>446.0</v>
      </c>
      <c r="D453" s="6"/>
      <c r="E453" s="6">
        <v>6925338.739635565</v>
      </c>
      <c r="F453" s="6">
        <v>445.67661348447996</v>
      </c>
      <c r="G453" s="6">
        <v>5.2249404204678225</v>
      </c>
      <c r="H453" s="6">
        <v>6862146.072469935</v>
      </c>
      <c r="I453" s="6">
        <v>442.4808891323581</v>
      </c>
      <c r="J453" s="6">
        <v>4.2535623682766355</v>
      </c>
      <c r="K453" s="6"/>
      <c r="L453" s="6"/>
      <c r="M453" s="6"/>
      <c r="N453" s="6">
        <f t="shared" ref="N453:P453" si="456">IF(LEN($C453)&gt;0,H453-E453,"")</f>
        <v>-63192.66717</v>
      </c>
      <c r="O453" s="6">
        <f t="shared" si="456"/>
        <v>-3.195724352</v>
      </c>
      <c r="P453" s="6">
        <f t="shared" si="456"/>
        <v>-0.9713780522</v>
      </c>
      <c r="Q453" s="6"/>
      <c r="R453" s="6"/>
      <c r="S453" s="6"/>
      <c r="T453" s="6"/>
      <c r="U453" s="6"/>
      <c r="V453" s="6"/>
      <c r="W453" s="6"/>
      <c r="X453" s="6"/>
      <c r="Y453" s="6"/>
      <c r="Z453" s="6"/>
      <c r="AA453" s="6"/>
      <c r="AB453" s="6"/>
      <c r="AC453" s="6"/>
      <c r="AD453" s="6"/>
      <c r="AE453" s="6"/>
      <c r="AF453" s="6"/>
      <c r="AG453" s="6"/>
    </row>
    <row r="454" ht="14.25" customHeight="1">
      <c r="A454" s="6"/>
      <c r="B454" s="6"/>
      <c r="C454" s="6">
        <v>447.0</v>
      </c>
      <c r="D454" s="6"/>
      <c r="E454" s="6">
        <v>6251596.099853238</v>
      </c>
      <c r="F454" s="6">
        <v>500.05432933894997</v>
      </c>
      <c r="G454" s="6">
        <v>5.103828882031158</v>
      </c>
      <c r="H454" s="6">
        <v>6170407.022621137</v>
      </c>
      <c r="I454" s="6">
        <v>495.6402302124955</v>
      </c>
      <c r="J454" s="6">
        <v>4.387171053382739</v>
      </c>
      <c r="K454" s="6"/>
      <c r="L454" s="6"/>
      <c r="M454" s="6"/>
      <c r="N454" s="6">
        <f t="shared" ref="N454:P454" si="457">IF(LEN($C454)&gt;0,H454-E454,"")</f>
        <v>-81189.07723</v>
      </c>
      <c r="O454" s="6">
        <f t="shared" si="457"/>
        <v>-4.414099126</v>
      </c>
      <c r="P454" s="6">
        <f t="shared" si="457"/>
        <v>-0.7166578286</v>
      </c>
      <c r="Q454" s="6"/>
      <c r="R454" s="6"/>
      <c r="S454" s="6"/>
      <c r="T454" s="6"/>
      <c r="U454" s="6"/>
      <c r="V454" s="6"/>
      <c r="W454" s="6"/>
      <c r="X454" s="6"/>
      <c r="Y454" s="6"/>
      <c r="Z454" s="6"/>
      <c r="AA454" s="6"/>
      <c r="AB454" s="6"/>
      <c r="AC454" s="6"/>
      <c r="AD454" s="6"/>
      <c r="AE454" s="6"/>
      <c r="AF454" s="6"/>
      <c r="AG454" s="6"/>
    </row>
    <row r="455" ht="14.25" customHeight="1">
      <c r="A455" s="6"/>
      <c r="B455" s="6"/>
      <c r="C455" s="6">
        <v>448.0</v>
      </c>
      <c r="D455" s="6"/>
      <c r="E455" s="6">
        <v>8535370.469771426</v>
      </c>
      <c r="F455" s="6">
        <v>504.44108516522255</v>
      </c>
      <c r="G455" s="6">
        <v>6.2603171792626995</v>
      </c>
      <c r="H455" s="6">
        <v>8359258.007643092</v>
      </c>
      <c r="I455" s="6">
        <v>496.13398006322706</v>
      </c>
      <c r="J455" s="6">
        <v>4.511942585511469</v>
      </c>
      <c r="K455" s="6"/>
      <c r="L455" s="6"/>
      <c r="M455" s="6"/>
      <c r="N455" s="6">
        <f t="shared" ref="N455:P455" si="458">IF(LEN($C455)&gt;0,H455-E455,"")</f>
        <v>-176112.4621</v>
      </c>
      <c r="O455" s="6">
        <f t="shared" si="458"/>
        <v>-8.307105102</v>
      </c>
      <c r="P455" s="6">
        <f t="shared" si="458"/>
        <v>-1.748374594</v>
      </c>
      <c r="Q455" s="6"/>
      <c r="R455" s="6"/>
      <c r="S455" s="6"/>
      <c r="T455" s="6"/>
      <c r="U455" s="6"/>
      <c r="V455" s="6"/>
      <c r="W455" s="6"/>
      <c r="X455" s="6"/>
      <c r="Y455" s="6"/>
      <c r="Z455" s="6"/>
      <c r="AA455" s="6"/>
      <c r="AB455" s="6"/>
      <c r="AC455" s="6"/>
      <c r="AD455" s="6"/>
      <c r="AE455" s="6"/>
      <c r="AF455" s="6"/>
      <c r="AG455" s="6"/>
    </row>
    <row r="456" ht="14.25" customHeight="1">
      <c r="A456" s="6"/>
      <c r="B456" s="6"/>
      <c r="C456" s="6">
        <v>449.0</v>
      </c>
      <c r="D456" s="6"/>
      <c r="E456" s="6">
        <v>8224172.988529644</v>
      </c>
      <c r="F456" s="6">
        <v>476.7182882917939</v>
      </c>
      <c r="G456" s="6">
        <v>3.438760563068024</v>
      </c>
      <c r="H456" s="6">
        <v>8141407.888445798</v>
      </c>
      <c r="I456" s="6">
        <v>473.8872120191939</v>
      </c>
      <c r="J456" s="6">
        <v>2.6378834427927527</v>
      </c>
      <c r="K456" s="6"/>
      <c r="L456" s="6"/>
      <c r="M456" s="6"/>
      <c r="N456" s="6">
        <f t="shared" ref="N456:P456" si="459">IF(LEN($C456)&gt;0,H456-E456,"")</f>
        <v>-82765.10008</v>
      </c>
      <c r="O456" s="6">
        <f t="shared" si="459"/>
        <v>-2.831076273</v>
      </c>
      <c r="P456" s="6">
        <f t="shared" si="459"/>
        <v>-0.8008771203</v>
      </c>
      <c r="Q456" s="6"/>
      <c r="R456" s="6"/>
      <c r="S456" s="6"/>
      <c r="T456" s="6"/>
      <c r="U456" s="6"/>
      <c r="V456" s="6"/>
      <c r="W456" s="6"/>
      <c r="X456" s="6"/>
      <c r="Y456" s="6"/>
      <c r="Z456" s="6"/>
      <c r="AA456" s="6"/>
      <c r="AB456" s="6"/>
      <c r="AC456" s="6"/>
      <c r="AD456" s="6"/>
      <c r="AE456" s="6"/>
      <c r="AF456" s="6"/>
      <c r="AG456" s="6"/>
    </row>
    <row r="457" ht="14.25" customHeight="1">
      <c r="A457" s="6"/>
      <c r="B457" s="6"/>
      <c r="C457" s="6">
        <v>450.0</v>
      </c>
      <c r="D457" s="6"/>
      <c r="E457" s="6">
        <v>6779023.762023537</v>
      </c>
      <c r="F457" s="6">
        <v>462.5894850409112</v>
      </c>
      <c r="G457" s="6">
        <v>5.084293000165469</v>
      </c>
      <c r="H457" s="6">
        <v>6708897.327531815</v>
      </c>
      <c r="I457" s="6">
        <v>459.88825898027386</v>
      </c>
      <c r="J457" s="6">
        <v>3.8523900818078447</v>
      </c>
      <c r="K457" s="6"/>
      <c r="L457" s="6"/>
      <c r="M457" s="6"/>
      <c r="N457" s="6">
        <f t="shared" ref="N457:P457" si="460">IF(LEN($C457)&gt;0,H457-E457,"")</f>
        <v>-70126.43449</v>
      </c>
      <c r="O457" s="6">
        <f t="shared" si="460"/>
        <v>-2.701226061</v>
      </c>
      <c r="P457" s="6">
        <f t="shared" si="460"/>
        <v>-1.231902918</v>
      </c>
      <c r="Q457" s="6"/>
      <c r="R457" s="6"/>
      <c r="S457" s="6"/>
      <c r="T457" s="6"/>
      <c r="U457" s="6"/>
      <c r="V457" s="6"/>
      <c r="W457" s="6"/>
      <c r="X457" s="6"/>
      <c r="Y457" s="6"/>
      <c r="Z457" s="6"/>
      <c r="AA457" s="6"/>
      <c r="AB457" s="6"/>
      <c r="AC457" s="6"/>
      <c r="AD457" s="6"/>
      <c r="AE457" s="6"/>
      <c r="AF457" s="6"/>
      <c r="AG457" s="6"/>
    </row>
    <row r="458" ht="14.25" customHeight="1">
      <c r="A458" s="6"/>
      <c r="B458" s="6"/>
      <c r="C458" s="6">
        <v>451.0</v>
      </c>
      <c r="D458" s="6"/>
      <c r="E458" s="6">
        <v>7813179.493338027</v>
      </c>
      <c r="F458" s="6">
        <v>500.73883085853043</v>
      </c>
      <c r="G458" s="6">
        <v>4.3270372558147105</v>
      </c>
      <c r="H458" s="6">
        <v>7680237.575567879</v>
      </c>
      <c r="I458" s="6">
        <v>494.53169435928027</v>
      </c>
      <c r="J458" s="6">
        <v>3.0643552199426467</v>
      </c>
      <c r="K458" s="6"/>
      <c r="L458" s="6"/>
      <c r="M458" s="6"/>
      <c r="N458" s="6">
        <f t="shared" ref="N458:P458" si="461">IF(LEN($C458)&gt;0,H458-E458,"")</f>
        <v>-132941.9178</v>
      </c>
      <c r="O458" s="6">
        <f t="shared" si="461"/>
        <v>-6.207136499</v>
      </c>
      <c r="P458" s="6">
        <f t="shared" si="461"/>
        <v>-1.262682036</v>
      </c>
      <c r="Q458" s="6"/>
      <c r="R458" s="6"/>
      <c r="S458" s="6"/>
      <c r="T458" s="6"/>
      <c r="U458" s="6"/>
      <c r="V458" s="6"/>
      <c r="W458" s="6"/>
      <c r="X458" s="6"/>
      <c r="Y458" s="6"/>
      <c r="Z458" s="6"/>
      <c r="AA458" s="6"/>
      <c r="AB458" s="6"/>
      <c r="AC458" s="6"/>
      <c r="AD458" s="6"/>
      <c r="AE458" s="6"/>
      <c r="AF458" s="6"/>
      <c r="AG458" s="6"/>
    </row>
    <row r="459" ht="14.25" customHeight="1">
      <c r="A459" s="6"/>
      <c r="B459" s="6"/>
      <c r="C459" s="6">
        <v>452.0</v>
      </c>
      <c r="D459" s="6"/>
      <c r="E459" s="6">
        <v>6783462.767576566</v>
      </c>
      <c r="F459" s="6">
        <v>429.377588151242</v>
      </c>
      <c r="G459" s="6">
        <v>4.15066196004841</v>
      </c>
      <c r="H459" s="6">
        <v>6725646.681501424</v>
      </c>
      <c r="I459" s="6">
        <v>426.9562517750127</v>
      </c>
      <c r="J459" s="6">
        <v>3.170600889309579</v>
      </c>
      <c r="K459" s="6"/>
      <c r="L459" s="6"/>
      <c r="M459" s="6"/>
      <c r="N459" s="6">
        <f t="shared" ref="N459:P459" si="462">IF(LEN($C459)&gt;0,H459-E459,"")</f>
        <v>-57816.08608</v>
      </c>
      <c r="O459" s="6">
        <f t="shared" si="462"/>
        <v>-2.421336376</v>
      </c>
      <c r="P459" s="6">
        <f t="shared" si="462"/>
        <v>-0.9800610707</v>
      </c>
      <c r="Q459" s="6"/>
      <c r="R459" s="6"/>
      <c r="S459" s="6"/>
      <c r="T459" s="6"/>
      <c r="U459" s="6"/>
      <c r="V459" s="6"/>
      <c r="W459" s="6"/>
      <c r="X459" s="6"/>
      <c r="Y459" s="6"/>
      <c r="Z459" s="6"/>
      <c r="AA459" s="6"/>
      <c r="AB459" s="6"/>
      <c r="AC459" s="6"/>
      <c r="AD459" s="6"/>
      <c r="AE459" s="6"/>
      <c r="AF459" s="6"/>
      <c r="AG459" s="6"/>
    </row>
    <row r="460" ht="14.25" customHeight="1">
      <c r="A460" s="6"/>
      <c r="B460" s="6"/>
      <c r="C460" s="6">
        <v>453.0</v>
      </c>
      <c r="D460" s="6"/>
      <c r="E460" s="6">
        <v>7554255.97872406</v>
      </c>
      <c r="F460" s="6">
        <v>448.78180983908635</v>
      </c>
      <c r="G460" s="6">
        <v>4.81194711567239</v>
      </c>
      <c r="H460" s="6">
        <v>7461599.529357677</v>
      </c>
      <c r="I460" s="6">
        <v>445.510658867015</v>
      </c>
      <c r="J460" s="6">
        <v>3.310763476240871</v>
      </c>
      <c r="K460" s="6"/>
      <c r="L460" s="6"/>
      <c r="M460" s="6"/>
      <c r="N460" s="6">
        <f t="shared" ref="N460:P460" si="463">IF(LEN($C460)&gt;0,H460-E460,"")</f>
        <v>-92656.44937</v>
      </c>
      <c r="O460" s="6">
        <f t="shared" si="463"/>
        <v>-3.271150972</v>
      </c>
      <c r="P460" s="6">
        <f t="shared" si="463"/>
        <v>-1.501183639</v>
      </c>
      <c r="Q460" s="6"/>
      <c r="R460" s="6"/>
      <c r="S460" s="6"/>
      <c r="T460" s="6"/>
      <c r="U460" s="6"/>
      <c r="V460" s="6"/>
      <c r="W460" s="6"/>
      <c r="X460" s="6"/>
      <c r="Y460" s="6"/>
      <c r="Z460" s="6"/>
      <c r="AA460" s="6"/>
      <c r="AB460" s="6"/>
      <c r="AC460" s="6"/>
      <c r="AD460" s="6"/>
      <c r="AE460" s="6"/>
      <c r="AF460" s="6"/>
      <c r="AG460" s="6"/>
    </row>
    <row r="461" ht="14.25" customHeight="1">
      <c r="A461" s="6"/>
      <c r="B461" s="6"/>
      <c r="C461" s="6">
        <v>454.0</v>
      </c>
      <c r="D461" s="6"/>
      <c r="E461" s="6">
        <v>7574951.466399432</v>
      </c>
      <c r="F461" s="6">
        <v>455.1820692580562</v>
      </c>
      <c r="G461" s="6">
        <v>3.6544857223816227</v>
      </c>
      <c r="H461" s="6">
        <v>7452551.135863664</v>
      </c>
      <c r="I461" s="6">
        <v>448.70172075397943</v>
      </c>
      <c r="J461" s="6">
        <v>2.2623840184259176</v>
      </c>
      <c r="K461" s="6"/>
      <c r="L461" s="6"/>
      <c r="M461" s="6"/>
      <c r="N461" s="6">
        <f t="shared" ref="N461:P461" si="464">IF(LEN($C461)&gt;0,H461-E461,"")</f>
        <v>-122400.3305</v>
      </c>
      <c r="O461" s="6">
        <f t="shared" si="464"/>
        <v>-6.480348504</v>
      </c>
      <c r="P461" s="6">
        <f t="shared" si="464"/>
        <v>-1.392101704</v>
      </c>
      <c r="Q461" s="6"/>
      <c r="R461" s="6"/>
      <c r="S461" s="6"/>
      <c r="T461" s="6"/>
      <c r="U461" s="6"/>
      <c r="V461" s="6"/>
      <c r="W461" s="6"/>
      <c r="X461" s="6"/>
      <c r="Y461" s="6"/>
      <c r="Z461" s="6"/>
      <c r="AA461" s="6"/>
      <c r="AB461" s="6"/>
      <c r="AC461" s="6"/>
      <c r="AD461" s="6"/>
      <c r="AE461" s="6"/>
      <c r="AF461" s="6"/>
      <c r="AG461" s="6"/>
    </row>
    <row r="462" ht="14.25" customHeight="1">
      <c r="A462" s="6"/>
      <c r="B462" s="6"/>
      <c r="C462" s="6">
        <v>455.0</v>
      </c>
      <c r="D462" s="6"/>
      <c r="E462" s="6">
        <v>6859651.901635375</v>
      </c>
      <c r="F462" s="6">
        <v>441.73143783834564</v>
      </c>
      <c r="G462" s="6">
        <v>6.692278133724406</v>
      </c>
      <c r="H462" s="6">
        <v>6617582.05312886</v>
      </c>
      <c r="I462" s="6">
        <v>432.2134011588328</v>
      </c>
      <c r="J462" s="6">
        <v>3.824248024685262</v>
      </c>
      <c r="K462" s="6"/>
      <c r="L462" s="6"/>
      <c r="M462" s="6"/>
      <c r="N462" s="6">
        <f t="shared" ref="N462:P462" si="465">IF(LEN($C462)&gt;0,H462-E462,"")</f>
        <v>-242069.8485</v>
      </c>
      <c r="O462" s="6">
        <f t="shared" si="465"/>
        <v>-9.51803668</v>
      </c>
      <c r="P462" s="6">
        <f t="shared" si="465"/>
        <v>-2.868030109</v>
      </c>
      <c r="Q462" s="6"/>
      <c r="R462" s="6"/>
      <c r="S462" s="6"/>
      <c r="T462" s="6"/>
      <c r="U462" s="6"/>
      <c r="V462" s="6"/>
      <c r="W462" s="6"/>
      <c r="X462" s="6"/>
      <c r="Y462" s="6"/>
      <c r="Z462" s="6"/>
      <c r="AA462" s="6"/>
      <c r="AB462" s="6"/>
      <c r="AC462" s="6"/>
      <c r="AD462" s="6"/>
      <c r="AE462" s="6"/>
      <c r="AF462" s="6"/>
      <c r="AG462" s="6"/>
    </row>
    <row r="463" ht="14.25" customHeight="1">
      <c r="A463" s="6"/>
      <c r="B463" s="6"/>
      <c r="C463" s="6">
        <v>456.0</v>
      </c>
      <c r="D463" s="6"/>
      <c r="E463" s="6">
        <v>7325370.717825357</v>
      </c>
      <c r="F463" s="6">
        <v>483.52852912758107</v>
      </c>
      <c r="G463" s="6">
        <v>6.5748431974790655</v>
      </c>
      <c r="H463" s="6">
        <v>7226293.917661956</v>
      </c>
      <c r="I463" s="6">
        <v>480.146074662205</v>
      </c>
      <c r="J463" s="6">
        <v>4.679633792586092</v>
      </c>
      <c r="K463" s="6"/>
      <c r="L463" s="6"/>
      <c r="M463" s="6"/>
      <c r="N463" s="6">
        <f t="shared" ref="N463:P463" si="466">IF(LEN($C463)&gt;0,H463-E463,"")</f>
        <v>-99076.80016</v>
      </c>
      <c r="O463" s="6">
        <f t="shared" si="466"/>
        <v>-3.382454465</v>
      </c>
      <c r="P463" s="6">
        <f t="shared" si="466"/>
        <v>-1.895209405</v>
      </c>
      <c r="Q463" s="6"/>
      <c r="R463" s="6"/>
      <c r="S463" s="6"/>
      <c r="T463" s="6"/>
      <c r="U463" s="6"/>
      <c r="V463" s="6"/>
      <c r="W463" s="6"/>
      <c r="X463" s="6"/>
      <c r="Y463" s="6"/>
      <c r="Z463" s="6"/>
      <c r="AA463" s="6"/>
      <c r="AB463" s="6"/>
      <c r="AC463" s="6"/>
      <c r="AD463" s="6"/>
      <c r="AE463" s="6"/>
      <c r="AF463" s="6"/>
      <c r="AG463" s="6"/>
    </row>
    <row r="464" ht="14.25" customHeight="1">
      <c r="A464" s="6"/>
      <c r="B464" s="6"/>
      <c r="C464" s="6">
        <v>457.0</v>
      </c>
      <c r="D464" s="6"/>
      <c r="E464" s="6">
        <v>7845788.036230223</v>
      </c>
      <c r="F464" s="6">
        <v>445.97261641152033</v>
      </c>
      <c r="G464" s="6">
        <v>4.304350411877023</v>
      </c>
      <c r="H464" s="6">
        <v>7738625.516246668</v>
      </c>
      <c r="I464" s="6">
        <v>442.05505091957696</v>
      </c>
      <c r="J464" s="6">
        <v>2.871939369989102</v>
      </c>
      <c r="K464" s="6"/>
      <c r="L464" s="6"/>
      <c r="M464" s="6"/>
      <c r="N464" s="6">
        <f t="shared" ref="N464:P464" si="467">IF(LEN($C464)&gt;0,H464-E464,"")</f>
        <v>-107162.52</v>
      </c>
      <c r="O464" s="6">
        <f t="shared" si="467"/>
        <v>-3.917565492</v>
      </c>
      <c r="P464" s="6">
        <f t="shared" si="467"/>
        <v>-1.432411042</v>
      </c>
      <c r="Q464" s="6"/>
      <c r="R464" s="6"/>
      <c r="S464" s="6"/>
      <c r="T464" s="6"/>
      <c r="U464" s="6"/>
      <c r="V464" s="6"/>
      <c r="W464" s="6"/>
      <c r="X464" s="6"/>
      <c r="Y464" s="6"/>
      <c r="Z464" s="6"/>
      <c r="AA464" s="6"/>
      <c r="AB464" s="6"/>
      <c r="AC464" s="6"/>
      <c r="AD464" s="6"/>
      <c r="AE464" s="6"/>
      <c r="AF464" s="6"/>
      <c r="AG464" s="6"/>
    </row>
    <row r="465" ht="14.25" customHeight="1">
      <c r="A465" s="6"/>
      <c r="B465" s="6"/>
      <c r="C465" s="6">
        <v>458.0</v>
      </c>
      <c r="D465" s="6"/>
      <c r="E465" s="6">
        <v>8634014.269770345</v>
      </c>
      <c r="F465" s="6">
        <v>473.0406497529658</v>
      </c>
      <c r="G465" s="6">
        <v>4.94488139754413</v>
      </c>
      <c r="H465" s="6">
        <v>8539842.933516115</v>
      </c>
      <c r="I465" s="6">
        <v>469.686373301897</v>
      </c>
      <c r="J465" s="6">
        <v>3.739652725572737</v>
      </c>
      <c r="K465" s="6"/>
      <c r="L465" s="6"/>
      <c r="M465" s="6"/>
      <c r="N465" s="6">
        <f t="shared" ref="N465:P465" si="468">IF(LEN($C465)&gt;0,H465-E465,"")</f>
        <v>-94171.33625</v>
      </c>
      <c r="O465" s="6">
        <f t="shared" si="468"/>
        <v>-3.354276451</v>
      </c>
      <c r="P465" s="6">
        <f t="shared" si="468"/>
        <v>-1.205228672</v>
      </c>
      <c r="Q465" s="6"/>
      <c r="R465" s="6"/>
      <c r="S465" s="6"/>
      <c r="T465" s="6"/>
      <c r="U465" s="6"/>
      <c r="V465" s="6"/>
      <c r="W465" s="6"/>
      <c r="X465" s="6"/>
      <c r="Y465" s="6"/>
      <c r="Z465" s="6"/>
      <c r="AA465" s="6"/>
      <c r="AB465" s="6"/>
      <c r="AC465" s="6"/>
      <c r="AD465" s="6"/>
      <c r="AE465" s="6"/>
      <c r="AF465" s="6"/>
      <c r="AG465" s="6"/>
    </row>
    <row r="466" ht="14.25" customHeight="1">
      <c r="A466" s="6"/>
      <c r="B466" s="6"/>
      <c r="C466" s="6">
        <v>459.0</v>
      </c>
      <c r="D466" s="6"/>
      <c r="E466" s="6">
        <v>7146594.513993632</v>
      </c>
      <c r="F466" s="6">
        <v>429.1064072778662</v>
      </c>
      <c r="G466" s="6">
        <v>5.0779153380870605</v>
      </c>
      <c r="H466" s="6">
        <v>7067197.639863694</v>
      </c>
      <c r="I466" s="6">
        <v>426.4486412839294</v>
      </c>
      <c r="J466" s="6">
        <v>3.452974024651958</v>
      </c>
      <c r="K466" s="6"/>
      <c r="L466" s="6"/>
      <c r="M466" s="6"/>
      <c r="N466" s="6">
        <f t="shared" ref="N466:P466" si="469">IF(LEN($C466)&gt;0,H466-E466,"")</f>
        <v>-79396.87413</v>
      </c>
      <c r="O466" s="6">
        <f t="shared" si="469"/>
        <v>-2.657765994</v>
      </c>
      <c r="P466" s="6">
        <f t="shared" si="469"/>
        <v>-1.624941313</v>
      </c>
      <c r="Q466" s="6"/>
      <c r="R466" s="6"/>
      <c r="S466" s="6"/>
      <c r="T466" s="6"/>
      <c r="U466" s="6"/>
      <c r="V466" s="6"/>
      <c r="W466" s="6"/>
      <c r="X466" s="6"/>
      <c r="Y466" s="6"/>
      <c r="Z466" s="6"/>
      <c r="AA466" s="6"/>
      <c r="AB466" s="6"/>
      <c r="AC466" s="6"/>
      <c r="AD466" s="6"/>
      <c r="AE466" s="6"/>
      <c r="AF466" s="6"/>
      <c r="AG466" s="6"/>
    </row>
    <row r="467" ht="14.25" customHeight="1">
      <c r="A467" s="6"/>
      <c r="B467" s="6"/>
      <c r="C467" s="6">
        <v>460.0</v>
      </c>
      <c r="D467" s="6"/>
      <c r="E467" s="6">
        <v>6978542.66454741</v>
      </c>
      <c r="F467" s="6">
        <v>490.3838349251294</v>
      </c>
      <c r="G467" s="6">
        <v>4.461461384950682</v>
      </c>
      <c r="H467" s="6">
        <v>6949385.407246448</v>
      </c>
      <c r="I467" s="6">
        <v>489.16767739852685</v>
      </c>
      <c r="J467" s="6">
        <v>3.7913742715149956</v>
      </c>
      <c r="K467" s="6"/>
      <c r="L467" s="6"/>
      <c r="M467" s="6"/>
      <c r="N467" s="6">
        <f t="shared" ref="N467:P467" si="470">IF(LEN($C467)&gt;0,H467-E467,"")</f>
        <v>-29157.2573</v>
      </c>
      <c r="O467" s="6">
        <f t="shared" si="470"/>
        <v>-1.216157527</v>
      </c>
      <c r="P467" s="6">
        <f t="shared" si="470"/>
        <v>-0.6700871134</v>
      </c>
      <c r="Q467" s="6"/>
      <c r="R467" s="6"/>
      <c r="S467" s="6"/>
      <c r="T467" s="6"/>
      <c r="U467" s="6"/>
      <c r="V467" s="6"/>
      <c r="W467" s="6"/>
      <c r="X467" s="6"/>
      <c r="Y467" s="6"/>
      <c r="Z467" s="6"/>
      <c r="AA467" s="6"/>
      <c r="AB467" s="6"/>
      <c r="AC467" s="6"/>
      <c r="AD467" s="6"/>
      <c r="AE467" s="6"/>
      <c r="AF467" s="6"/>
      <c r="AG467" s="6"/>
    </row>
    <row r="468" ht="14.25" customHeight="1">
      <c r="A468" s="6"/>
      <c r="B468" s="6"/>
      <c r="C468" s="6">
        <v>461.0</v>
      </c>
      <c r="D468" s="6"/>
      <c r="E468" s="6">
        <v>6765859.392126218</v>
      </c>
      <c r="F468" s="6">
        <v>486.6914388397589</v>
      </c>
      <c r="G468" s="6">
        <v>5.889778318757516</v>
      </c>
      <c r="H468" s="6">
        <v>6610053.102378863</v>
      </c>
      <c r="I468" s="6">
        <v>478.1637772271059</v>
      </c>
      <c r="J468" s="6">
        <v>4.4347195895290605</v>
      </c>
      <c r="K468" s="6"/>
      <c r="L468" s="6"/>
      <c r="M468" s="6"/>
      <c r="N468" s="6">
        <f t="shared" ref="N468:P468" si="471">IF(LEN($C468)&gt;0,H468-E468,"")</f>
        <v>-155806.2897</v>
      </c>
      <c r="O468" s="6">
        <f t="shared" si="471"/>
        <v>-8.527661613</v>
      </c>
      <c r="P468" s="6">
        <f t="shared" si="471"/>
        <v>-1.455058729</v>
      </c>
      <c r="Q468" s="6"/>
      <c r="R468" s="6"/>
      <c r="S468" s="6"/>
      <c r="T468" s="6"/>
      <c r="U468" s="6"/>
      <c r="V468" s="6"/>
      <c r="W468" s="6"/>
      <c r="X468" s="6"/>
      <c r="Y468" s="6"/>
      <c r="Z468" s="6"/>
      <c r="AA468" s="6"/>
      <c r="AB468" s="6"/>
      <c r="AC468" s="6"/>
      <c r="AD468" s="6"/>
      <c r="AE468" s="6"/>
      <c r="AF468" s="6"/>
      <c r="AG468" s="6"/>
    </row>
    <row r="469" ht="14.25" customHeight="1">
      <c r="A469" s="6"/>
      <c r="B469" s="6"/>
      <c r="C469" s="6">
        <v>462.0</v>
      </c>
      <c r="D469" s="6"/>
      <c r="E469" s="6">
        <v>5509585.674495164</v>
      </c>
      <c r="F469" s="6">
        <v>438.11113176227974</v>
      </c>
      <c r="G469" s="6">
        <v>5.260544690043905</v>
      </c>
      <c r="H469" s="6">
        <v>5396447.56433501</v>
      </c>
      <c r="I469" s="6">
        <v>434.4388634917807</v>
      </c>
      <c r="J469" s="6">
        <v>3.205313440601506</v>
      </c>
      <c r="K469" s="6"/>
      <c r="L469" s="6"/>
      <c r="M469" s="6"/>
      <c r="N469" s="6">
        <f t="shared" ref="N469:P469" si="472">IF(LEN($C469)&gt;0,H469-E469,"")</f>
        <v>-113138.1102</v>
      </c>
      <c r="O469" s="6">
        <f t="shared" si="472"/>
        <v>-3.67226827</v>
      </c>
      <c r="P469" s="6">
        <f t="shared" si="472"/>
        <v>-2.055231249</v>
      </c>
      <c r="Q469" s="6"/>
      <c r="R469" s="6"/>
      <c r="S469" s="6"/>
      <c r="T469" s="6"/>
      <c r="U469" s="6"/>
      <c r="V469" s="6"/>
      <c r="W469" s="6"/>
      <c r="X469" s="6"/>
      <c r="Y469" s="6"/>
      <c r="Z469" s="6"/>
      <c r="AA469" s="6"/>
      <c r="AB469" s="6"/>
      <c r="AC469" s="6"/>
      <c r="AD469" s="6"/>
      <c r="AE469" s="6"/>
      <c r="AF469" s="6"/>
      <c r="AG469" s="6"/>
    </row>
    <row r="470" ht="14.25" customHeight="1">
      <c r="A470" s="6"/>
      <c r="B470" s="6"/>
      <c r="C470" s="6">
        <v>463.0</v>
      </c>
      <c r="D470" s="6"/>
      <c r="E470" s="6">
        <v>5840521.122771366</v>
      </c>
      <c r="F470" s="6">
        <v>435.369879474998</v>
      </c>
      <c r="G470" s="6">
        <v>5.245550543830982</v>
      </c>
      <c r="H470" s="6">
        <v>5699783.72413447</v>
      </c>
      <c r="I470" s="6">
        <v>430.67250736517224</v>
      </c>
      <c r="J470" s="6">
        <v>3.1437222070025994</v>
      </c>
      <c r="K470" s="6"/>
      <c r="L470" s="6"/>
      <c r="M470" s="6"/>
      <c r="N470" s="6">
        <f t="shared" ref="N470:P470" si="473">IF(LEN($C470)&gt;0,H470-E470,"")</f>
        <v>-140737.3986</v>
      </c>
      <c r="O470" s="6">
        <f t="shared" si="473"/>
        <v>-4.69737211</v>
      </c>
      <c r="P470" s="6">
        <f t="shared" si="473"/>
        <v>-2.101828337</v>
      </c>
      <c r="Q470" s="6"/>
      <c r="R470" s="6"/>
      <c r="S470" s="6"/>
      <c r="T470" s="6"/>
      <c r="U470" s="6"/>
      <c r="V470" s="6"/>
      <c r="W470" s="6"/>
      <c r="X470" s="6"/>
      <c r="Y470" s="6"/>
      <c r="Z470" s="6"/>
      <c r="AA470" s="6"/>
      <c r="AB470" s="6"/>
      <c r="AC470" s="6"/>
      <c r="AD470" s="6"/>
      <c r="AE470" s="6"/>
      <c r="AF470" s="6"/>
      <c r="AG470" s="6"/>
    </row>
    <row r="471" ht="14.25" customHeight="1">
      <c r="A471" s="6"/>
      <c r="B471" s="6"/>
      <c r="C471" s="6">
        <v>464.0</v>
      </c>
      <c r="D471" s="6"/>
      <c r="E471" s="6">
        <v>6578084.633211988</v>
      </c>
      <c r="F471" s="6">
        <v>456.13227855146977</v>
      </c>
      <c r="G471" s="6">
        <v>3.9884264145002795</v>
      </c>
      <c r="H471" s="6">
        <v>6495624.817583532</v>
      </c>
      <c r="I471" s="6">
        <v>452.5823060414942</v>
      </c>
      <c r="J471" s="6">
        <v>2.9000578328111652</v>
      </c>
      <c r="K471" s="6"/>
      <c r="L471" s="6"/>
      <c r="M471" s="6"/>
      <c r="N471" s="6">
        <f t="shared" ref="N471:P471" si="474">IF(LEN($C471)&gt;0,H471-E471,"")</f>
        <v>-82459.81563</v>
      </c>
      <c r="O471" s="6">
        <f t="shared" si="474"/>
        <v>-3.54997251</v>
      </c>
      <c r="P471" s="6">
        <f t="shared" si="474"/>
        <v>-1.088368582</v>
      </c>
      <c r="Q471" s="6"/>
      <c r="R471" s="6"/>
      <c r="S471" s="6"/>
      <c r="T471" s="6"/>
      <c r="U471" s="6"/>
      <c r="V471" s="6"/>
      <c r="W471" s="6"/>
      <c r="X471" s="6"/>
      <c r="Y471" s="6"/>
      <c r="Z471" s="6"/>
      <c r="AA471" s="6"/>
      <c r="AB471" s="6"/>
      <c r="AC471" s="6"/>
      <c r="AD471" s="6"/>
      <c r="AE471" s="6"/>
      <c r="AF471" s="6"/>
      <c r="AG471" s="6"/>
    </row>
    <row r="472" ht="14.25" customHeight="1">
      <c r="A472" s="6"/>
      <c r="B472" s="6"/>
      <c r="C472" s="6">
        <v>465.0</v>
      </c>
      <c r="D472" s="6"/>
      <c r="E472" s="6">
        <v>6915181.0938161975</v>
      </c>
      <c r="F472" s="6">
        <v>472.55535189165005</v>
      </c>
      <c r="G472" s="6">
        <v>4.908860389194272</v>
      </c>
      <c r="H472" s="6">
        <v>6842003.840646102</v>
      </c>
      <c r="I472" s="6">
        <v>468.83042342239224</v>
      </c>
      <c r="J472" s="6">
        <v>4.17834210818038</v>
      </c>
      <c r="K472" s="6"/>
      <c r="L472" s="6"/>
      <c r="M472" s="6"/>
      <c r="N472" s="6">
        <f t="shared" ref="N472:P472" si="475">IF(LEN($C472)&gt;0,H472-E472,"")</f>
        <v>-73177.25317</v>
      </c>
      <c r="O472" s="6">
        <f t="shared" si="475"/>
        <v>-3.724928469</v>
      </c>
      <c r="P472" s="6">
        <f t="shared" si="475"/>
        <v>-0.730518281</v>
      </c>
      <c r="Q472" s="6"/>
      <c r="R472" s="6"/>
      <c r="S472" s="6"/>
      <c r="T472" s="6"/>
      <c r="U472" s="6"/>
      <c r="V472" s="6"/>
      <c r="W472" s="6"/>
      <c r="X472" s="6"/>
      <c r="Y472" s="6"/>
      <c r="Z472" s="6"/>
      <c r="AA472" s="6"/>
      <c r="AB472" s="6"/>
      <c r="AC472" s="6"/>
      <c r="AD472" s="6"/>
      <c r="AE472" s="6"/>
      <c r="AF472" s="6"/>
      <c r="AG472" s="6"/>
    </row>
    <row r="473" ht="14.25" customHeight="1">
      <c r="A473" s="6"/>
      <c r="B473" s="6"/>
      <c r="C473" s="6">
        <v>466.0</v>
      </c>
      <c r="D473" s="6"/>
      <c r="E473" s="6">
        <v>8917762.596866772</v>
      </c>
      <c r="F473" s="6">
        <v>442.56997015138387</v>
      </c>
      <c r="G473" s="6">
        <v>5.470274839017177</v>
      </c>
      <c r="H473" s="6">
        <v>8781310.388000607</v>
      </c>
      <c r="I473" s="6">
        <v>436.0172462114273</v>
      </c>
      <c r="J473" s="6">
        <v>3.855938064744022</v>
      </c>
      <c r="K473" s="6"/>
      <c r="L473" s="6"/>
      <c r="M473" s="6"/>
      <c r="N473" s="6">
        <f t="shared" ref="N473:P473" si="476">IF(LEN($C473)&gt;0,H473-E473,"")</f>
        <v>-136452.2089</v>
      </c>
      <c r="O473" s="6">
        <f t="shared" si="476"/>
        <v>-6.55272394</v>
      </c>
      <c r="P473" s="6">
        <f t="shared" si="476"/>
        <v>-1.614336774</v>
      </c>
      <c r="Q473" s="6"/>
      <c r="R473" s="6"/>
      <c r="S473" s="6"/>
      <c r="T473" s="6"/>
      <c r="U473" s="6"/>
      <c r="V473" s="6"/>
      <c r="W473" s="6"/>
      <c r="X473" s="6"/>
      <c r="Y473" s="6"/>
      <c r="Z473" s="6"/>
      <c r="AA473" s="6"/>
      <c r="AB473" s="6"/>
      <c r="AC473" s="6"/>
      <c r="AD473" s="6"/>
      <c r="AE473" s="6"/>
      <c r="AF473" s="6"/>
      <c r="AG473" s="6"/>
    </row>
    <row r="474" ht="14.25" customHeight="1">
      <c r="A474" s="6"/>
      <c r="B474" s="6"/>
      <c r="C474" s="6">
        <v>467.0</v>
      </c>
      <c r="D474" s="6"/>
      <c r="E474" s="6">
        <v>8754249.97569521</v>
      </c>
      <c r="F474" s="6">
        <v>496.64416700852667</v>
      </c>
      <c r="G474" s="6">
        <v>4.288487301807285</v>
      </c>
      <c r="H474" s="6">
        <v>8567960.534190712</v>
      </c>
      <c r="I474" s="6">
        <v>488.3344128817132</v>
      </c>
      <c r="J474" s="6">
        <v>2.8508468881886433</v>
      </c>
      <c r="K474" s="6"/>
      <c r="L474" s="6"/>
      <c r="M474" s="6"/>
      <c r="N474" s="6">
        <f t="shared" ref="N474:P474" si="477">IF(LEN($C474)&gt;0,H474-E474,"")</f>
        <v>-186289.4415</v>
      </c>
      <c r="O474" s="6">
        <f t="shared" si="477"/>
        <v>-8.309754127</v>
      </c>
      <c r="P474" s="6">
        <f t="shared" si="477"/>
        <v>-1.437640414</v>
      </c>
      <c r="Q474" s="6"/>
      <c r="R474" s="6"/>
      <c r="S474" s="6"/>
      <c r="T474" s="6"/>
      <c r="U474" s="6"/>
      <c r="V474" s="6"/>
      <c r="W474" s="6"/>
      <c r="X474" s="6"/>
      <c r="Y474" s="6"/>
      <c r="Z474" s="6"/>
      <c r="AA474" s="6"/>
      <c r="AB474" s="6"/>
      <c r="AC474" s="6"/>
      <c r="AD474" s="6"/>
      <c r="AE474" s="6"/>
      <c r="AF474" s="6"/>
      <c r="AG474" s="6"/>
    </row>
    <row r="475" ht="14.25" customHeight="1">
      <c r="A475" s="6"/>
      <c r="B475" s="6"/>
      <c r="C475" s="6">
        <v>468.0</v>
      </c>
      <c r="D475" s="6"/>
      <c r="E475" s="6">
        <v>6697764.21929945</v>
      </c>
      <c r="F475" s="6">
        <v>442.34384682752284</v>
      </c>
      <c r="G475" s="6">
        <v>5.511119608104691</v>
      </c>
      <c r="H475" s="6">
        <v>6606177.5891874805</v>
      </c>
      <c r="I475" s="6">
        <v>438.1119711879146</v>
      </c>
      <c r="J475" s="6">
        <v>4.347979290225252</v>
      </c>
      <c r="K475" s="6"/>
      <c r="L475" s="6"/>
      <c r="M475" s="6"/>
      <c r="N475" s="6">
        <f t="shared" ref="N475:P475" si="478">IF(LEN($C475)&gt;0,H475-E475,"")</f>
        <v>-91586.63011</v>
      </c>
      <c r="O475" s="6">
        <f t="shared" si="478"/>
        <v>-4.23187564</v>
      </c>
      <c r="P475" s="6">
        <f t="shared" si="478"/>
        <v>-1.163140318</v>
      </c>
      <c r="Q475" s="6"/>
      <c r="R475" s="6"/>
      <c r="S475" s="6"/>
      <c r="T475" s="6"/>
      <c r="U475" s="6"/>
      <c r="V475" s="6"/>
      <c r="W475" s="6"/>
      <c r="X475" s="6"/>
      <c r="Y475" s="6"/>
      <c r="Z475" s="6"/>
      <c r="AA475" s="6"/>
      <c r="AB475" s="6"/>
      <c r="AC475" s="6"/>
      <c r="AD475" s="6"/>
      <c r="AE475" s="6"/>
      <c r="AF475" s="6"/>
      <c r="AG475" s="6"/>
    </row>
    <row r="476" ht="14.25" customHeight="1">
      <c r="A476" s="6"/>
      <c r="B476" s="6"/>
      <c r="C476" s="6">
        <v>469.0</v>
      </c>
      <c r="D476" s="6"/>
      <c r="E476" s="6">
        <v>6354665.814049057</v>
      </c>
      <c r="F476" s="6">
        <v>476.1541869022775</v>
      </c>
      <c r="G476" s="6">
        <v>5.106967458144641</v>
      </c>
      <c r="H476" s="6">
        <v>6283587.145705175</v>
      </c>
      <c r="I476" s="6">
        <v>473.5915297099393</v>
      </c>
      <c r="J476" s="6">
        <v>4.285595527050695</v>
      </c>
      <c r="K476" s="6"/>
      <c r="L476" s="6"/>
      <c r="M476" s="6"/>
      <c r="N476" s="6">
        <f t="shared" ref="N476:P476" si="479">IF(LEN($C476)&gt;0,H476-E476,"")</f>
        <v>-71078.66834</v>
      </c>
      <c r="O476" s="6">
        <f t="shared" si="479"/>
        <v>-2.562657192</v>
      </c>
      <c r="P476" s="6">
        <f t="shared" si="479"/>
        <v>-0.8213719311</v>
      </c>
      <c r="Q476" s="6"/>
      <c r="R476" s="6"/>
      <c r="S476" s="6"/>
      <c r="T476" s="6"/>
      <c r="U476" s="6"/>
      <c r="V476" s="6"/>
      <c r="W476" s="6"/>
      <c r="X476" s="6"/>
      <c r="Y476" s="6"/>
      <c r="Z476" s="6"/>
      <c r="AA476" s="6"/>
      <c r="AB476" s="6"/>
      <c r="AC476" s="6"/>
      <c r="AD476" s="6"/>
      <c r="AE476" s="6"/>
      <c r="AF476" s="6"/>
      <c r="AG476" s="6"/>
    </row>
    <row r="477" ht="14.25" customHeight="1">
      <c r="A477" s="6"/>
      <c r="B477" s="6"/>
      <c r="C477" s="6">
        <v>470.0</v>
      </c>
      <c r="D477" s="6"/>
      <c r="E477" s="6">
        <v>8385763.42537424</v>
      </c>
      <c r="F477" s="6">
        <v>493.147787884715</v>
      </c>
      <c r="G477" s="6">
        <v>4.645743924662708</v>
      </c>
      <c r="H477" s="6">
        <v>8293860.651895598</v>
      </c>
      <c r="I477" s="6">
        <v>489.53667512923835</v>
      </c>
      <c r="J477" s="6">
        <v>3.494497192343532</v>
      </c>
      <c r="K477" s="6"/>
      <c r="L477" s="6"/>
      <c r="M477" s="6"/>
      <c r="N477" s="6">
        <f t="shared" ref="N477:P477" si="480">IF(LEN($C477)&gt;0,H477-E477,"")</f>
        <v>-91902.77348</v>
      </c>
      <c r="O477" s="6">
        <f t="shared" si="480"/>
        <v>-3.611112755</v>
      </c>
      <c r="P477" s="6">
        <f t="shared" si="480"/>
        <v>-1.151246732</v>
      </c>
      <c r="Q477" s="6"/>
      <c r="R477" s="6"/>
      <c r="S477" s="6"/>
      <c r="T477" s="6"/>
      <c r="U477" s="6"/>
      <c r="V477" s="6"/>
      <c r="W477" s="6"/>
      <c r="X477" s="6"/>
      <c r="Y477" s="6"/>
      <c r="Z477" s="6"/>
      <c r="AA477" s="6"/>
      <c r="AB477" s="6"/>
      <c r="AC477" s="6"/>
      <c r="AD477" s="6"/>
      <c r="AE477" s="6"/>
      <c r="AF477" s="6"/>
      <c r="AG477" s="6"/>
    </row>
    <row r="478" ht="14.25" customHeight="1">
      <c r="A478" s="6"/>
      <c r="B478" s="6"/>
      <c r="C478" s="6">
        <v>471.0</v>
      </c>
      <c r="D478" s="6"/>
      <c r="E478" s="6">
        <v>9678586.808247935</v>
      </c>
      <c r="F478" s="6">
        <v>492.5973277588151</v>
      </c>
      <c r="G478" s="6">
        <v>5.403018200516261</v>
      </c>
      <c r="H478" s="6">
        <v>9527199.672310509</v>
      </c>
      <c r="I478" s="6">
        <v>488.3452365505939</v>
      </c>
      <c r="J478" s="6">
        <v>3.7246797640485148</v>
      </c>
      <c r="K478" s="6"/>
      <c r="L478" s="6"/>
      <c r="M478" s="6"/>
      <c r="N478" s="6">
        <f t="shared" ref="N478:P478" si="481">IF(LEN($C478)&gt;0,H478-E478,"")</f>
        <v>-151387.1359</v>
      </c>
      <c r="O478" s="6">
        <f t="shared" si="481"/>
        <v>-4.252091208</v>
      </c>
      <c r="P478" s="6">
        <f t="shared" si="481"/>
        <v>-1.678338436</v>
      </c>
      <c r="Q478" s="6"/>
      <c r="R478" s="6"/>
      <c r="S478" s="6"/>
      <c r="T478" s="6"/>
      <c r="U478" s="6"/>
      <c r="V478" s="6"/>
      <c r="W478" s="6"/>
      <c r="X478" s="6"/>
      <c r="Y478" s="6"/>
      <c r="Z478" s="6"/>
      <c r="AA478" s="6"/>
      <c r="AB478" s="6"/>
      <c r="AC478" s="6"/>
      <c r="AD478" s="6"/>
      <c r="AE478" s="6"/>
      <c r="AF478" s="6"/>
      <c r="AG478" s="6"/>
    </row>
    <row r="479" ht="14.25" customHeight="1">
      <c r="A479" s="6"/>
      <c r="B479" s="6"/>
      <c r="C479" s="6">
        <v>472.0</v>
      </c>
      <c r="D479" s="6"/>
      <c r="E479" s="6">
        <v>6262765.945363003</v>
      </c>
      <c r="F479" s="6">
        <v>468.963748884138</v>
      </c>
      <c r="G479" s="6">
        <v>6.149445415300242</v>
      </c>
      <c r="H479" s="6">
        <v>6182197.13846252</v>
      </c>
      <c r="I479" s="6">
        <v>466.35348315565165</v>
      </c>
      <c r="J479" s="6">
        <v>4.431181721003636</v>
      </c>
      <c r="K479" s="6"/>
      <c r="L479" s="6"/>
      <c r="M479" s="6"/>
      <c r="N479" s="6">
        <f t="shared" ref="N479:P479" si="482">IF(LEN($C479)&gt;0,H479-E479,"")</f>
        <v>-80568.8069</v>
      </c>
      <c r="O479" s="6">
        <f t="shared" si="482"/>
        <v>-2.610265728</v>
      </c>
      <c r="P479" s="6">
        <f t="shared" si="482"/>
        <v>-1.718263694</v>
      </c>
      <c r="Q479" s="6"/>
      <c r="R479" s="6"/>
      <c r="S479" s="6"/>
      <c r="T479" s="6"/>
      <c r="U479" s="6"/>
      <c r="V479" s="6"/>
      <c r="W479" s="6"/>
      <c r="X479" s="6"/>
      <c r="Y479" s="6"/>
      <c r="Z479" s="6"/>
      <c r="AA479" s="6"/>
      <c r="AB479" s="6"/>
      <c r="AC479" s="6"/>
      <c r="AD479" s="6"/>
      <c r="AE479" s="6"/>
      <c r="AF479" s="6"/>
      <c r="AG479" s="6"/>
    </row>
    <row r="480" ht="14.25" customHeight="1">
      <c r="A480" s="6"/>
      <c r="B480" s="6"/>
      <c r="C480" s="6">
        <v>473.0</v>
      </c>
      <c r="D480" s="6"/>
      <c r="E480" s="6">
        <v>7832353.642252876</v>
      </c>
      <c r="F480" s="6">
        <v>441.08814055483066</v>
      </c>
      <c r="G480" s="6">
        <v>3.5541588880984496</v>
      </c>
      <c r="H480" s="6">
        <v>7705313.353459281</v>
      </c>
      <c r="I480" s="6">
        <v>436.5181530866634</v>
      </c>
      <c r="J480" s="6">
        <v>2.5821415256350684</v>
      </c>
      <c r="K480" s="6"/>
      <c r="L480" s="6"/>
      <c r="M480" s="6"/>
      <c r="N480" s="6">
        <f t="shared" ref="N480:P480" si="483">IF(LEN($C480)&gt;0,H480-E480,"")</f>
        <v>-127040.2888</v>
      </c>
      <c r="O480" s="6">
        <f t="shared" si="483"/>
        <v>-4.569987468</v>
      </c>
      <c r="P480" s="6">
        <f t="shared" si="483"/>
        <v>-0.9720173625</v>
      </c>
      <c r="Q480" s="6"/>
      <c r="R480" s="6"/>
      <c r="S480" s="6"/>
      <c r="T480" s="6"/>
      <c r="U480" s="6"/>
      <c r="V480" s="6"/>
      <c r="W480" s="6"/>
      <c r="X480" s="6"/>
      <c r="Y480" s="6"/>
      <c r="Z480" s="6"/>
      <c r="AA480" s="6"/>
      <c r="AB480" s="6"/>
      <c r="AC480" s="6"/>
      <c r="AD480" s="6"/>
      <c r="AE480" s="6"/>
      <c r="AF480" s="6"/>
      <c r="AG480" s="6"/>
    </row>
    <row r="481" ht="14.25" customHeight="1">
      <c r="A481" s="6"/>
      <c r="B481" s="6"/>
      <c r="C481" s="6">
        <v>474.0</v>
      </c>
      <c r="D481" s="6"/>
      <c r="E481" s="6">
        <v>7960688.58427589</v>
      </c>
      <c r="F481" s="6">
        <v>476.1507385191038</v>
      </c>
      <c r="G481" s="6">
        <v>4.095423006662035</v>
      </c>
      <c r="H481" s="6">
        <v>7788570.668172664</v>
      </c>
      <c r="I481" s="6">
        <v>470.0567403925752</v>
      </c>
      <c r="J481" s="6">
        <v>2.9582760592774147</v>
      </c>
      <c r="K481" s="6"/>
      <c r="L481" s="6"/>
      <c r="M481" s="6"/>
      <c r="N481" s="6">
        <f t="shared" ref="N481:P481" si="484">IF(LEN($C481)&gt;0,H481-E481,"")</f>
        <v>-172117.9161</v>
      </c>
      <c r="O481" s="6">
        <f t="shared" si="484"/>
        <v>-6.093998127</v>
      </c>
      <c r="P481" s="6">
        <f t="shared" si="484"/>
        <v>-1.137146947</v>
      </c>
      <c r="Q481" s="6"/>
      <c r="R481" s="6"/>
      <c r="S481" s="6"/>
      <c r="T481" s="6"/>
      <c r="U481" s="6"/>
      <c r="V481" s="6"/>
      <c r="W481" s="6"/>
      <c r="X481" s="6"/>
      <c r="Y481" s="6"/>
      <c r="Z481" s="6"/>
      <c r="AA481" s="6"/>
      <c r="AB481" s="6"/>
      <c r="AC481" s="6"/>
      <c r="AD481" s="6"/>
      <c r="AE481" s="6"/>
      <c r="AF481" s="6"/>
      <c r="AG481" s="6"/>
    </row>
    <row r="482" ht="14.25" customHeight="1">
      <c r="A482" s="6"/>
      <c r="B482" s="6"/>
      <c r="C482" s="6">
        <v>475.0</v>
      </c>
      <c r="D482" s="6"/>
      <c r="E482" s="6">
        <v>7432977.712764985</v>
      </c>
      <c r="F482" s="6">
        <v>436.03646482548965</v>
      </c>
      <c r="G482" s="6">
        <v>4.309185604054188</v>
      </c>
      <c r="H482" s="6">
        <v>7337156.969437249</v>
      </c>
      <c r="I482" s="6">
        <v>433.16225462566075</v>
      </c>
      <c r="J482" s="6">
        <v>3.0771129061438747</v>
      </c>
      <c r="K482" s="6"/>
      <c r="L482" s="6"/>
      <c r="M482" s="6"/>
      <c r="N482" s="6">
        <f t="shared" ref="N482:P482" si="485">IF(LEN($C482)&gt;0,H482-E482,"")</f>
        <v>-95820.74333</v>
      </c>
      <c r="O482" s="6">
        <f t="shared" si="485"/>
        <v>-2.8742102</v>
      </c>
      <c r="P482" s="6">
        <f t="shared" si="485"/>
        <v>-1.232072698</v>
      </c>
      <c r="Q482" s="6"/>
      <c r="R482" s="6"/>
      <c r="S482" s="6"/>
      <c r="T482" s="6"/>
      <c r="U482" s="6"/>
      <c r="V482" s="6"/>
      <c r="W482" s="6"/>
      <c r="X482" s="6"/>
      <c r="Y482" s="6"/>
      <c r="Z482" s="6"/>
      <c r="AA482" s="6"/>
      <c r="AB482" s="6"/>
      <c r="AC482" s="6"/>
      <c r="AD482" s="6"/>
      <c r="AE482" s="6"/>
      <c r="AF482" s="6"/>
      <c r="AG482" s="6"/>
    </row>
    <row r="483" ht="14.25" customHeight="1">
      <c r="A483" s="6"/>
      <c r="B483" s="6"/>
      <c r="C483" s="6">
        <v>476.0</v>
      </c>
      <c r="D483" s="6"/>
      <c r="E483" s="6">
        <v>6386723.162252671</v>
      </c>
      <c r="F483" s="6">
        <v>489.74054819276347</v>
      </c>
      <c r="G483" s="6">
        <v>5.8388788371840175</v>
      </c>
      <c r="H483" s="6">
        <v>6272037.509940762</v>
      </c>
      <c r="I483" s="6">
        <v>485.85781388962346</v>
      </c>
      <c r="J483" s="6">
        <v>4.657343494935252</v>
      </c>
      <c r="K483" s="6"/>
      <c r="L483" s="6"/>
      <c r="M483" s="6"/>
      <c r="N483" s="6">
        <f t="shared" ref="N483:P483" si="486">IF(LEN($C483)&gt;0,H483-E483,"")</f>
        <v>-114685.6523</v>
      </c>
      <c r="O483" s="6">
        <f t="shared" si="486"/>
        <v>-3.882734303</v>
      </c>
      <c r="P483" s="6">
        <f t="shared" si="486"/>
        <v>-1.181535342</v>
      </c>
      <c r="Q483" s="6"/>
      <c r="R483" s="6"/>
      <c r="S483" s="6"/>
      <c r="T483" s="6"/>
      <c r="U483" s="6"/>
      <c r="V483" s="6"/>
      <c r="W483" s="6"/>
      <c r="X483" s="6"/>
      <c r="Y483" s="6"/>
      <c r="Z483" s="6"/>
      <c r="AA483" s="6"/>
      <c r="AB483" s="6"/>
      <c r="AC483" s="6"/>
      <c r="AD483" s="6"/>
      <c r="AE483" s="6"/>
      <c r="AF483" s="6"/>
      <c r="AG483" s="6"/>
    </row>
    <row r="484" ht="14.25" customHeight="1">
      <c r="A484" s="6"/>
      <c r="B484" s="6"/>
      <c r="C484" s="6">
        <v>477.0</v>
      </c>
      <c r="D484" s="6"/>
      <c r="E484" s="6">
        <v>7658262.7913516965</v>
      </c>
      <c r="F484" s="6">
        <v>490.48702395404246</v>
      </c>
      <c r="G484" s="6">
        <v>4.6234073191102105</v>
      </c>
      <c r="H484" s="6">
        <v>7523372.979631391</v>
      </c>
      <c r="I484" s="6">
        <v>484.70211766757643</v>
      </c>
      <c r="J484" s="6">
        <v>3.4468166379504694</v>
      </c>
      <c r="K484" s="6"/>
      <c r="L484" s="6"/>
      <c r="M484" s="6"/>
      <c r="N484" s="6">
        <f t="shared" ref="N484:P484" si="487">IF(LEN($C484)&gt;0,H484-E484,"")</f>
        <v>-134889.8117</v>
      </c>
      <c r="O484" s="6">
        <f t="shared" si="487"/>
        <v>-5.784906286</v>
      </c>
      <c r="P484" s="6">
        <f t="shared" si="487"/>
        <v>-1.176590681</v>
      </c>
      <c r="Q484" s="6"/>
      <c r="R484" s="6"/>
      <c r="S484" s="6"/>
      <c r="T484" s="6"/>
      <c r="U484" s="6"/>
      <c r="V484" s="6"/>
      <c r="W484" s="6"/>
      <c r="X484" s="6"/>
      <c r="Y484" s="6"/>
      <c r="Z484" s="6"/>
      <c r="AA484" s="6"/>
      <c r="AB484" s="6"/>
      <c r="AC484" s="6"/>
      <c r="AD484" s="6"/>
      <c r="AE484" s="6"/>
      <c r="AF484" s="6"/>
      <c r="AG484" s="6"/>
    </row>
    <row r="485" ht="14.25" customHeight="1">
      <c r="A485" s="6"/>
      <c r="B485" s="6"/>
      <c r="C485" s="6">
        <v>478.0</v>
      </c>
      <c r="D485" s="6"/>
      <c r="E485" s="6">
        <v>7223161.82752967</v>
      </c>
      <c r="F485" s="6">
        <v>482.69956417780276</v>
      </c>
      <c r="G485" s="6">
        <v>6.225694599738353</v>
      </c>
      <c r="H485" s="6">
        <v>7123993.576950598</v>
      </c>
      <c r="I485" s="6">
        <v>479.5206229467234</v>
      </c>
      <c r="J485" s="6">
        <v>4.518362805987006</v>
      </c>
      <c r="K485" s="6"/>
      <c r="L485" s="6"/>
      <c r="M485" s="6"/>
      <c r="N485" s="6">
        <f t="shared" ref="N485:P485" si="488">IF(LEN($C485)&gt;0,H485-E485,"")</f>
        <v>-99168.25058</v>
      </c>
      <c r="O485" s="6">
        <f t="shared" si="488"/>
        <v>-3.178941231</v>
      </c>
      <c r="P485" s="6">
        <f t="shared" si="488"/>
        <v>-1.707331794</v>
      </c>
      <c r="Q485" s="6"/>
      <c r="R485" s="6"/>
      <c r="S485" s="6"/>
      <c r="T485" s="6"/>
      <c r="U485" s="6"/>
      <c r="V485" s="6"/>
      <c r="W485" s="6"/>
      <c r="X485" s="6"/>
      <c r="Y485" s="6"/>
      <c r="Z485" s="6"/>
      <c r="AA485" s="6"/>
      <c r="AB485" s="6"/>
      <c r="AC485" s="6"/>
      <c r="AD485" s="6"/>
      <c r="AE485" s="6"/>
      <c r="AF485" s="6"/>
      <c r="AG485" s="6"/>
    </row>
    <row r="486" ht="14.25" customHeight="1">
      <c r="A486" s="6"/>
      <c r="B486" s="6"/>
      <c r="C486" s="6">
        <v>479.0</v>
      </c>
      <c r="D486" s="6"/>
      <c r="E486" s="6">
        <v>6669661.774959183</v>
      </c>
      <c r="F486" s="6">
        <v>462.8783037773101</v>
      </c>
      <c r="G486" s="6">
        <v>4.958619681180898</v>
      </c>
      <c r="H486" s="6">
        <v>6603743.674649959</v>
      </c>
      <c r="I486" s="6">
        <v>460.30237723134115</v>
      </c>
      <c r="J486" s="6">
        <v>3.9220872517163494</v>
      </c>
      <c r="K486" s="6"/>
      <c r="L486" s="6"/>
      <c r="M486" s="6"/>
      <c r="N486" s="6">
        <f t="shared" ref="N486:P486" si="489">IF(LEN($C486)&gt;0,H486-E486,"")</f>
        <v>-65918.10031</v>
      </c>
      <c r="O486" s="6">
        <f t="shared" si="489"/>
        <v>-2.575926546</v>
      </c>
      <c r="P486" s="6">
        <f t="shared" si="489"/>
        <v>-1.036532429</v>
      </c>
      <c r="Q486" s="6"/>
      <c r="R486" s="6"/>
      <c r="S486" s="6"/>
      <c r="T486" s="6"/>
      <c r="U486" s="6"/>
      <c r="V486" s="6"/>
      <c r="W486" s="6"/>
      <c r="X486" s="6"/>
      <c r="Y486" s="6"/>
      <c r="Z486" s="6"/>
      <c r="AA486" s="6"/>
      <c r="AB486" s="6"/>
      <c r="AC486" s="6"/>
      <c r="AD486" s="6"/>
      <c r="AE486" s="6"/>
      <c r="AF486" s="6"/>
      <c r="AG486" s="6"/>
    </row>
    <row r="487" ht="14.25" customHeight="1">
      <c r="A487" s="6"/>
      <c r="B487" s="6"/>
      <c r="C487" s="6">
        <v>480.0</v>
      </c>
      <c r="D487" s="6"/>
      <c r="E487" s="6">
        <v>7450771.666607668</v>
      </c>
      <c r="F487" s="6">
        <v>447.6599605246383</v>
      </c>
      <c r="G487" s="6">
        <v>3.597028402055166</v>
      </c>
      <c r="H487" s="6">
        <v>7357709.289987854</v>
      </c>
      <c r="I487" s="6">
        <v>443.4322696837925</v>
      </c>
      <c r="J487" s="6">
        <v>2.9851528583227886</v>
      </c>
      <c r="K487" s="6"/>
      <c r="L487" s="6"/>
      <c r="M487" s="6"/>
      <c r="N487" s="6">
        <f t="shared" ref="N487:P487" si="490">IF(LEN($C487)&gt;0,H487-E487,"")</f>
        <v>-93062.37662</v>
      </c>
      <c r="O487" s="6">
        <f t="shared" si="490"/>
        <v>-4.227690841</v>
      </c>
      <c r="P487" s="6">
        <f t="shared" si="490"/>
        <v>-0.6118755437</v>
      </c>
      <c r="Q487" s="6"/>
      <c r="R487" s="6"/>
      <c r="S487" s="6"/>
      <c r="T487" s="6"/>
      <c r="U487" s="6"/>
      <c r="V487" s="6"/>
      <c r="W487" s="6"/>
      <c r="X487" s="6"/>
      <c r="Y487" s="6"/>
      <c r="Z487" s="6"/>
      <c r="AA487" s="6"/>
      <c r="AB487" s="6"/>
      <c r="AC487" s="6"/>
      <c r="AD487" s="6"/>
      <c r="AE487" s="6"/>
      <c r="AF487" s="6"/>
      <c r="AG487" s="6"/>
    </row>
    <row r="488" ht="14.25" customHeight="1">
      <c r="A488" s="6"/>
      <c r="B488" s="6"/>
      <c r="C488" s="6">
        <v>481.0</v>
      </c>
      <c r="D488" s="6"/>
      <c r="E488" s="6">
        <v>5801727.619319874</v>
      </c>
      <c r="F488" s="6">
        <v>469.72624551666195</v>
      </c>
      <c r="G488" s="6">
        <v>4.8004559911363796</v>
      </c>
      <c r="H488" s="6">
        <v>5697871.055330026</v>
      </c>
      <c r="I488" s="6">
        <v>465.5656866740558</v>
      </c>
      <c r="J488" s="6">
        <v>3.7071815813175255</v>
      </c>
      <c r="K488" s="6"/>
      <c r="L488" s="6"/>
      <c r="M488" s="6"/>
      <c r="N488" s="6">
        <f t="shared" ref="N488:P488" si="491">IF(LEN($C488)&gt;0,H488-E488,"")</f>
        <v>-103856.564</v>
      </c>
      <c r="O488" s="6">
        <f t="shared" si="491"/>
        <v>-4.160558843</v>
      </c>
      <c r="P488" s="6">
        <f t="shared" si="491"/>
        <v>-1.09327441</v>
      </c>
      <c r="Q488" s="6"/>
      <c r="R488" s="6"/>
      <c r="S488" s="6"/>
      <c r="T488" s="6"/>
      <c r="U488" s="6"/>
      <c r="V488" s="6"/>
      <c r="W488" s="6"/>
      <c r="X488" s="6"/>
      <c r="Y488" s="6"/>
      <c r="Z488" s="6"/>
      <c r="AA488" s="6"/>
      <c r="AB488" s="6"/>
      <c r="AC488" s="6"/>
      <c r="AD488" s="6"/>
      <c r="AE488" s="6"/>
      <c r="AF488" s="6"/>
      <c r="AG488" s="6"/>
    </row>
    <row r="489" ht="14.25" customHeight="1">
      <c r="A489" s="6"/>
      <c r="B489" s="6"/>
      <c r="C489" s="6">
        <v>482.0</v>
      </c>
      <c r="D489" s="6"/>
      <c r="E489" s="6">
        <v>8140145.690254821</v>
      </c>
      <c r="F489" s="6">
        <v>484.8417275382399</v>
      </c>
      <c r="G489" s="6">
        <v>4.930540137474118</v>
      </c>
      <c r="H489" s="6">
        <v>7984166.260425193</v>
      </c>
      <c r="I489" s="6">
        <v>479.11163222523265</v>
      </c>
      <c r="J489" s="6">
        <v>3.7486189863566453</v>
      </c>
      <c r="K489" s="6"/>
      <c r="L489" s="6"/>
      <c r="M489" s="6"/>
      <c r="N489" s="6">
        <f t="shared" ref="N489:P489" si="492">IF(LEN($C489)&gt;0,H489-E489,"")</f>
        <v>-155979.4298</v>
      </c>
      <c r="O489" s="6">
        <f t="shared" si="492"/>
        <v>-5.730095313</v>
      </c>
      <c r="P489" s="6">
        <f t="shared" si="492"/>
        <v>-1.181921151</v>
      </c>
      <c r="Q489" s="6"/>
      <c r="R489" s="6"/>
      <c r="S489" s="6"/>
      <c r="T489" s="6"/>
      <c r="U489" s="6"/>
      <c r="V489" s="6"/>
      <c r="W489" s="6"/>
      <c r="X489" s="6"/>
      <c r="Y489" s="6"/>
      <c r="Z489" s="6"/>
      <c r="AA489" s="6"/>
      <c r="AB489" s="6"/>
      <c r="AC489" s="6"/>
      <c r="AD489" s="6"/>
      <c r="AE489" s="6"/>
      <c r="AF489" s="6"/>
      <c r="AG489" s="6"/>
    </row>
    <row r="490" ht="14.25" customHeight="1">
      <c r="A490" s="6"/>
      <c r="B490" s="6"/>
      <c r="C490" s="6">
        <v>483.0</v>
      </c>
      <c r="D490" s="6"/>
      <c r="E490" s="6">
        <v>8100107.9111525845</v>
      </c>
      <c r="F490" s="6">
        <v>472.3418291913633</v>
      </c>
      <c r="G490" s="6">
        <v>6.135894383597144</v>
      </c>
      <c r="H490" s="6">
        <v>7959803.169425827</v>
      </c>
      <c r="I490" s="6">
        <v>467.08418686916804</v>
      </c>
      <c r="J490" s="6">
        <v>4.009782979772056</v>
      </c>
      <c r="K490" s="6"/>
      <c r="L490" s="6"/>
      <c r="M490" s="6"/>
      <c r="N490" s="6">
        <f t="shared" ref="N490:P490" si="493">IF(LEN($C490)&gt;0,H490-E490,"")</f>
        <v>-140304.7417</v>
      </c>
      <c r="O490" s="6">
        <f t="shared" si="493"/>
        <v>-5.257642322</v>
      </c>
      <c r="P490" s="6">
        <f t="shared" si="493"/>
        <v>-2.126111404</v>
      </c>
      <c r="Q490" s="6"/>
      <c r="R490" s="6"/>
      <c r="S490" s="6"/>
      <c r="T490" s="6"/>
      <c r="U490" s="6"/>
      <c r="V490" s="6"/>
      <c r="W490" s="6"/>
      <c r="X490" s="6"/>
      <c r="Y490" s="6"/>
      <c r="Z490" s="6"/>
      <c r="AA490" s="6"/>
      <c r="AB490" s="6"/>
      <c r="AC490" s="6"/>
      <c r="AD490" s="6"/>
      <c r="AE490" s="6"/>
      <c r="AF490" s="6"/>
      <c r="AG490" s="6"/>
    </row>
    <row r="491" ht="14.25" customHeight="1">
      <c r="A491" s="6"/>
      <c r="B491" s="6"/>
      <c r="C491" s="6">
        <v>484.0</v>
      </c>
      <c r="D491" s="6"/>
      <c r="E491" s="6">
        <v>6471594.305654966</v>
      </c>
      <c r="F491" s="6">
        <v>438.62520908753277</v>
      </c>
      <c r="G491" s="6">
        <v>4.479052269319818</v>
      </c>
      <c r="H491" s="6">
        <v>6415451.75160696</v>
      </c>
      <c r="I491" s="6">
        <v>436.0006565466018</v>
      </c>
      <c r="J491" s="6">
        <v>3.5441928183847993</v>
      </c>
      <c r="K491" s="6"/>
      <c r="L491" s="6"/>
      <c r="M491" s="6"/>
      <c r="N491" s="6">
        <f t="shared" ref="N491:P491" si="494">IF(LEN($C491)&gt;0,H491-E491,"")</f>
        <v>-56142.55405</v>
      </c>
      <c r="O491" s="6">
        <f t="shared" si="494"/>
        <v>-2.624552541</v>
      </c>
      <c r="P491" s="6">
        <f t="shared" si="494"/>
        <v>-0.9348594509</v>
      </c>
      <c r="Q491" s="6"/>
      <c r="R491" s="6"/>
      <c r="S491" s="6"/>
      <c r="T491" s="6"/>
      <c r="U491" s="6"/>
      <c r="V491" s="6"/>
      <c r="W491" s="6"/>
      <c r="X491" s="6"/>
      <c r="Y491" s="6"/>
      <c r="Z491" s="6"/>
      <c r="AA491" s="6"/>
      <c r="AB491" s="6"/>
      <c r="AC491" s="6"/>
      <c r="AD491" s="6"/>
      <c r="AE491" s="6"/>
      <c r="AF491" s="6"/>
      <c r="AG491" s="6"/>
    </row>
    <row r="492" ht="14.25" customHeight="1">
      <c r="A492" s="6"/>
      <c r="B492" s="6"/>
      <c r="C492" s="6">
        <v>485.0</v>
      </c>
      <c r="D492" s="6"/>
      <c r="E492" s="6">
        <v>6992846.711252475</v>
      </c>
      <c r="F492" s="6">
        <v>473.4602178537755</v>
      </c>
      <c r="G492" s="6">
        <v>4.2280024121771325</v>
      </c>
      <c r="H492" s="6">
        <v>6849611.112739899</v>
      </c>
      <c r="I492" s="6">
        <v>467.29120182684295</v>
      </c>
      <c r="J492" s="6">
        <v>3.1698264598338204</v>
      </c>
      <c r="K492" s="6"/>
      <c r="L492" s="6"/>
      <c r="M492" s="6"/>
      <c r="N492" s="6">
        <f t="shared" ref="N492:P492" si="495">IF(LEN($C492)&gt;0,H492-E492,"")</f>
        <v>-143235.5985</v>
      </c>
      <c r="O492" s="6">
        <f t="shared" si="495"/>
        <v>-6.169016027</v>
      </c>
      <c r="P492" s="6">
        <f t="shared" si="495"/>
        <v>-1.058175952</v>
      </c>
      <c r="Q492" s="6"/>
      <c r="R492" s="6"/>
      <c r="S492" s="6"/>
      <c r="T492" s="6"/>
      <c r="U492" s="6"/>
      <c r="V492" s="6"/>
      <c r="W492" s="6"/>
      <c r="X492" s="6"/>
      <c r="Y492" s="6"/>
      <c r="Z492" s="6"/>
      <c r="AA492" s="6"/>
      <c r="AB492" s="6"/>
      <c r="AC492" s="6"/>
      <c r="AD492" s="6"/>
      <c r="AE492" s="6"/>
      <c r="AF492" s="6"/>
      <c r="AG492" s="6"/>
    </row>
    <row r="493" ht="14.25" customHeight="1">
      <c r="A493" s="6"/>
      <c r="B493" s="6"/>
      <c r="C493" s="6">
        <v>486.0</v>
      </c>
      <c r="D493" s="6"/>
      <c r="E493" s="6">
        <v>7043749.372116554</v>
      </c>
      <c r="F493" s="6">
        <v>489.39033408765084</v>
      </c>
      <c r="G493" s="6">
        <v>4.366660488161028</v>
      </c>
      <c r="H493" s="6">
        <v>6954855.60766852</v>
      </c>
      <c r="I493" s="6">
        <v>484.9667363121048</v>
      </c>
      <c r="J493" s="6">
        <v>3.0344958152383588</v>
      </c>
      <c r="K493" s="6"/>
      <c r="L493" s="6"/>
      <c r="M493" s="6"/>
      <c r="N493" s="6">
        <f t="shared" ref="N493:P493" si="496">IF(LEN($C493)&gt;0,H493-E493,"")</f>
        <v>-88893.76445</v>
      </c>
      <c r="O493" s="6">
        <f t="shared" si="496"/>
        <v>-4.423597776</v>
      </c>
      <c r="P493" s="6">
        <f t="shared" si="496"/>
        <v>-1.332164673</v>
      </c>
      <c r="Q493" s="6"/>
      <c r="R493" s="6"/>
      <c r="S493" s="6"/>
      <c r="T493" s="6"/>
      <c r="U493" s="6"/>
      <c r="V493" s="6"/>
      <c r="W493" s="6"/>
      <c r="X493" s="6"/>
      <c r="Y493" s="6"/>
      <c r="Z493" s="6"/>
      <c r="AA493" s="6"/>
      <c r="AB493" s="6"/>
      <c r="AC493" s="6"/>
      <c r="AD493" s="6"/>
      <c r="AE493" s="6"/>
      <c r="AF493" s="6"/>
      <c r="AG493" s="6"/>
    </row>
    <row r="494" ht="14.25" customHeight="1">
      <c r="A494" s="6"/>
      <c r="B494" s="6"/>
      <c r="C494" s="6">
        <v>487.0</v>
      </c>
      <c r="D494" s="6"/>
      <c r="E494" s="6">
        <v>7189252.307585973</v>
      </c>
      <c r="F494" s="6">
        <v>490.3092294257787</v>
      </c>
      <c r="G494" s="6">
        <v>5.666019081834545</v>
      </c>
      <c r="H494" s="6">
        <v>7105511.194057177</v>
      </c>
      <c r="I494" s="6">
        <v>486.992362373098</v>
      </c>
      <c r="J494" s="6">
        <v>4.96901282895054</v>
      </c>
      <c r="K494" s="6"/>
      <c r="L494" s="6"/>
      <c r="M494" s="6"/>
      <c r="N494" s="6">
        <f t="shared" ref="N494:P494" si="497">IF(LEN($C494)&gt;0,H494-E494,"")</f>
        <v>-83741.11353</v>
      </c>
      <c r="O494" s="6">
        <f t="shared" si="497"/>
        <v>-3.316867053</v>
      </c>
      <c r="P494" s="6">
        <f t="shared" si="497"/>
        <v>-0.6970062529</v>
      </c>
      <c r="Q494" s="6"/>
      <c r="R494" s="6"/>
      <c r="S494" s="6"/>
      <c r="T494" s="6"/>
      <c r="U494" s="6"/>
      <c r="V494" s="6"/>
      <c r="W494" s="6"/>
      <c r="X494" s="6"/>
      <c r="Y494" s="6"/>
      <c r="Z494" s="6"/>
      <c r="AA494" s="6"/>
      <c r="AB494" s="6"/>
      <c r="AC494" s="6"/>
      <c r="AD494" s="6"/>
      <c r="AE494" s="6"/>
      <c r="AF494" s="6"/>
      <c r="AG494" s="6"/>
    </row>
    <row r="495" ht="14.25" customHeight="1">
      <c r="A495" s="6"/>
      <c r="B495" s="6"/>
      <c r="C495" s="6">
        <v>488.0</v>
      </c>
      <c r="D495" s="6"/>
      <c r="E495" s="6">
        <v>7192629.5491248015</v>
      </c>
      <c r="F495" s="6">
        <v>442.2806139407614</v>
      </c>
      <c r="G495" s="6">
        <v>5.290364730017458</v>
      </c>
      <c r="H495" s="6">
        <v>7117142.971156585</v>
      </c>
      <c r="I495" s="6">
        <v>439.4891808609642</v>
      </c>
      <c r="J495" s="6">
        <v>4.157182632852393</v>
      </c>
      <c r="K495" s="6"/>
      <c r="L495" s="6"/>
      <c r="M495" s="6"/>
      <c r="N495" s="6">
        <f t="shared" ref="N495:P495" si="498">IF(LEN($C495)&gt;0,H495-E495,"")</f>
        <v>-75486.57797</v>
      </c>
      <c r="O495" s="6">
        <f t="shared" si="498"/>
        <v>-2.79143308</v>
      </c>
      <c r="P495" s="6">
        <f t="shared" si="498"/>
        <v>-1.133182097</v>
      </c>
      <c r="Q495" s="6"/>
      <c r="R495" s="6"/>
      <c r="S495" s="6"/>
      <c r="T495" s="6"/>
      <c r="U495" s="6"/>
      <c r="V495" s="6"/>
      <c r="W495" s="6"/>
      <c r="X495" s="6"/>
      <c r="Y495" s="6"/>
      <c r="Z495" s="6"/>
      <c r="AA495" s="6"/>
      <c r="AB495" s="6"/>
      <c r="AC495" s="6"/>
      <c r="AD495" s="6"/>
      <c r="AE495" s="6"/>
      <c r="AF495" s="6"/>
      <c r="AG495" s="6"/>
    </row>
    <row r="496" ht="14.25" customHeight="1">
      <c r="A496" s="6"/>
      <c r="B496" s="6"/>
      <c r="C496" s="6">
        <v>489.0</v>
      </c>
      <c r="D496" s="6"/>
      <c r="E496" s="6">
        <v>6490651.497757878</v>
      </c>
      <c r="F496" s="6">
        <v>480.48249337909715</v>
      </c>
      <c r="G496" s="6">
        <v>5.3287168072394815</v>
      </c>
      <c r="H496" s="6">
        <v>6377810.645036374</v>
      </c>
      <c r="I496" s="6">
        <v>476.0526228920915</v>
      </c>
      <c r="J496" s="6">
        <v>3.183461355737727</v>
      </c>
      <c r="K496" s="6"/>
      <c r="L496" s="6"/>
      <c r="M496" s="6"/>
      <c r="N496" s="6">
        <f t="shared" ref="N496:P496" si="499">IF(LEN($C496)&gt;0,H496-E496,"")</f>
        <v>-112840.8527</v>
      </c>
      <c r="O496" s="6">
        <f t="shared" si="499"/>
        <v>-4.429870487</v>
      </c>
      <c r="P496" s="6">
        <f t="shared" si="499"/>
        <v>-2.145255452</v>
      </c>
      <c r="Q496" s="6"/>
      <c r="R496" s="6"/>
      <c r="S496" s="6"/>
      <c r="T496" s="6"/>
      <c r="U496" s="6"/>
      <c r="V496" s="6"/>
      <c r="W496" s="6"/>
      <c r="X496" s="6"/>
      <c r="Y496" s="6"/>
      <c r="Z496" s="6"/>
      <c r="AA496" s="6"/>
      <c r="AB496" s="6"/>
      <c r="AC496" s="6"/>
      <c r="AD496" s="6"/>
      <c r="AE496" s="6"/>
      <c r="AF496" s="6"/>
      <c r="AG496" s="6"/>
    </row>
    <row r="497" ht="14.25" customHeight="1">
      <c r="A497" s="6"/>
      <c r="B497" s="6"/>
      <c r="C497" s="6">
        <v>490.0</v>
      </c>
      <c r="D497" s="6"/>
      <c r="E497" s="6">
        <v>8362198.892322746</v>
      </c>
      <c r="F497" s="6">
        <v>513.6230220349611</v>
      </c>
      <c r="G497" s="6">
        <v>4.694673389532514</v>
      </c>
      <c r="H497" s="6">
        <v>8237492.294192057</v>
      </c>
      <c r="I497" s="6">
        <v>505.4526904491171</v>
      </c>
      <c r="J497" s="6">
        <v>3.6485823876656305</v>
      </c>
      <c r="K497" s="6"/>
      <c r="L497" s="6"/>
      <c r="M497" s="6"/>
      <c r="N497" s="6">
        <f t="shared" ref="N497:P497" si="500">IF(LEN($C497)&gt;0,H497-E497,"")</f>
        <v>-124706.5981</v>
      </c>
      <c r="O497" s="6">
        <f t="shared" si="500"/>
        <v>-8.170331586</v>
      </c>
      <c r="P497" s="6">
        <f t="shared" si="500"/>
        <v>-1.046091002</v>
      </c>
      <c r="Q497" s="6"/>
      <c r="R497" s="6"/>
      <c r="S497" s="6"/>
      <c r="T497" s="6"/>
      <c r="U497" s="6"/>
      <c r="V497" s="6"/>
      <c r="W497" s="6"/>
      <c r="X497" s="6"/>
      <c r="Y497" s="6"/>
      <c r="Z497" s="6"/>
      <c r="AA497" s="6"/>
      <c r="AB497" s="6"/>
      <c r="AC497" s="6"/>
      <c r="AD497" s="6"/>
      <c r="AE497" s="6"/>
      <c r="AF497" s="6"/>
      <c r="AG497" s="6"/>
    </row>
    <row r="498" ht="14.25" customHeight="1">
      <c r="A498" s="6"/>
      <c r="B498" s="6"/>
      <c r="C498" s="6">
        <v>491.0</v>
      </c>
      <c r="D498" s="6"/>
      <c r="E498" s="6">
        <v>7193594.26153735</v>
      </c>
      <c r="F498" s="6">
        <v>478.0790381380879</v>
      </c>
      <c r="G498" s="6">
        <v>6.062218943556703</v>
      </c>
      <c r="H498" s="6">
        <v>7096225.49414341</v>
      </c>
      <c r="I498" s="6">
        <v>474.7120729769433</v>
      </c>
      <c r="J498" s="6">
        <v>4.531805805240025</v>
      </c>
      <c r="K498" s="6"/>
      <c r="L498" s="6"/>
      <c r="M498" s="6"/>
      <c r="N498" s="6">
        <f t="shared" ref="N498:P498" si="501">IF(LEN($C498)&gt;0,H498-E498,"")</f>
        <v>-97368.76739</v>
      </c>
      <c r="O498" s="6">
        <f t="shared" si="501"/>
        <v>-3.366965161</v>
      </c>
      <c r="P498" s="6">
        <f t="shared" si="501"/>
        <v>-1.530413138</v>
      </c>
      <c r="Q498" s="6"/>
      <c r="R498" s="6"/>
      <c r="S498" s="6"/>
      <c r="T498" s="6"/>
      <c r="U498" s="6"/>
      <c r="V498" s="6"/>
      <c r="W498" s="6"/>
      <c r="X498" s="6"/>
      <c r="Y498" s="6"/>
      <c r="Z498" s="6"/>
      <c r="AA498" s="6"/>
      <c r="AB498" s="6"/>
      <c r="AC498" s="6"/>
      <c r="AD498" s="6"/>
      <c r="AE498" s="6"/>
      <c r="AF498" s="6"/>
      <c r="AG498" s="6"/>
    </row>
    <row r="499" ht="14.25" customHeight="1">
      <c r="A499" s="6"/>
      <c r="B499" s="6"/>
      <c r="C499" s="6">
        <v>492.0</v>
      </c>
      <c r="D499" s="6"/>
      <c r="E499" s="6">
        <v>8889246.25023428</v>
      </c>
      <c r="F499" s="6">
        <v>468.62363626383933</v>
      </c>
      <c r="G499" s="6">
        <v>4.476764847445614</v>
      </c>
      <c r="H499" s="6">
        <v>8765664.775252761</v>
      </c>
      <c r="I499" s="6">
        <v>464.85608222081777</v>
      </c>
      <c r="J499" s="6">
        <v>3.2679976317831367</v>
      </c>
      <c r="K499" s="6"/>
      <c r="L499" s="6"/>
      <c r="M499" s="6"/>
      <c r="N499" s="6">
        <f t="shared" ref="N499:P499" si="502">IF(LEN($C499)&gt;0,H499-E499,"")</f>
        <v>-123581.475</v>
      </c>
      <c r="O499" s="6">
        <f t="shared" si="502"/>
        <v>-3.767554043</v>
      </c>
      <c r="P499" s="6">
        <f t="shared" si="502"/>
        <v>-1.208767216</v>
      </c>
      <c r="Q499" s="6"/>
      <c r="R499" s="6"/>
      <c r="S499" s="6"/>
      <c r="T499" s="6"/>
      <c r="U499" s="6"/>
      <c r="V499" s="6"/>
      <c r="W499" s="6"/>
      <c r="X499" s="6"/>
      <c r="Y499" s="6"/>
      <c r="Z499" s="6"/>
      <c r="AA499" s="6"/>
      <c r="AB499" s="6"/>
      <c r="AC499" s="6"/>
      <c r="AD499" s="6"/>
      <c r="AE499" s="6"/>
      <c r="AF499" s="6"/>
      <c r="AG499" s="6"/>
    </row>
    <row r="500" ht="14.25" customHeight="1">
      <c r="A500" s="6"/>
      <c r="B500" s="6"/>
      <c r="C500" s="6">
        <v>493.0</v>
      </c>
      <c r="D500" s="6"/>
      <c r="E500" s="6">
        <v>8849621.129800389</v>
      </c>
      <c r="F500" s="6">
        <v>470.03273543369613</v>
      </c>
      <c r="G500" s="6">
        <v>6.076223016779757</v>
      </c>
      <c r="H500" s="6">
        <v>8644301.500822047</v>
      </c>
      <c r="I500" s="6">
        <v>460.68038657280414</v>
      </c>
      <c r="J500" s="6">
        <v>4.240961416095413</v>
      </c>
      <c r="K500" s="6"/>
      <c r="L500" s="6"/>
      <c r="M500" s="6"/>
      <c r="N500" s="6">
        <f t="shared" ref="N500:P500" si="503">IF(LEN($C500)&gt;0,H500-E500,"")</f>
        <v>-205319.629</v>
      </c>
      <c r="O500" s="6">
        <f t="shared" si="503"/>
        <v>-9.352348861</v>
      </c>
      <c r="P500" s="6">
        <f t="shared" si="503"/>
        <v>-1.835261601</v>
      </c>
      <c r="Q500" s="6"/>
      <c r="R500" s="6"/>
      <c r="S500" s="6"/>
      <c r="T500" s="6"/>
      <c r="U500" s="6"/>
      <c r="V500" s="6"/>
      <c r="W500" s="6"/>
      <c r="X500" s="6"/>
      <c r="Y500" s="6"/>
      <c r="Z500" s="6"/>
      <c r="AA500" s="6"/>
      <c r="AB500" s="6"/>
      <c r="AC500" s="6"/>
      <c r="AD500" s="6"/>
      <c r="AE500" s="6"/>
      <c r="AF500" s="6"/>
      <c r="AG500" s="6"/>
    </row>
    <row r="501" ht="14.25" customHeight="1">
      <c r="A501" s="6"/>
      <c r="B501" s="6"/>
      <c r="C501" s="6">
        <v>494.0</v>
      </c>
      <c r="D501" s="6"/>
      <c r="E501" s="6">
        <v>9582860.461374266</v>
      </c>
      <c r="F501" s="6">
        <v>520.5448651926567</v>
      </c>
      <c r="G501" s="6">
        <v>4.426809854745443</v>
      </c>
      <c r="H501" s="6">
        <v>9433290.423846247</v>
      </c>
      <c r="I501" s="6">
        <v>512.1446464084173</v>
      </c>
      <c r="J501" s="6">
        <v>3.4961428021991736</v>
      </c>
      <c r="K501" s="6"/>
      <c r="L501" s="6"/>
      <c r="M501" s="6"/>
      <c r="N501" s="6">
        <f t="shared" ref="N501:P501" si="504">IF(LEN($C501)&gt;0,H501-E501,"")</f>
        <v>-149570.0375</v>
      </c>
      <c r="O501" s="6">
        <f t="shared" si="504"/>
        <v>-8.400218784</v>
      </c>
      <c r="P501" s="6">
        <f t="shared" si="504"/>
        <v>-0.9306670525</v>
      </c>
      <c r="Q501" s="6"/>
      <c r="R501" s="6"/>
      <c r="S501" s="6"/>
      <c r="T501" s="6"/>
      <c r="U501" s="6"/>
      <c r="V501" s="6"/>
      <c r="W501" s="6"/>
      <c r="X501" s="6"/>
      <c r="Y501" s="6"/>
      <c r="Z501" s="6"/>
      <c r="AA501" s="6"/>
      <c r="AB501" s="6"/>
      <c r="AC501" s="6"/>
      <c r="AD501" s="6"/>
      <c r="AE501" s="6"/>
      <c r="AF501" s="6"/>
      <c r="AG501" s="6"/>
    </row>
    <row r="502" ht="14.25" customHeight="1">
      <c r="A502" s="6"/>
      <c r="B502" s="6"/>
      <c r="C502" s="6">
        <v>495.0</v>
      </c>
      <c r="D502" s="6"/>
      <c r="E502" s="6">
        <v>7702378.444924995</v>
      </c>
      <c r="F502" s="6">
        <v>455.4927253955614</v>
      </c>
      <c r="G502" s="6">
        <v>5.9482015109083095</v>
      </c>
      <c r="H502" s="6">
        <v>7394231.746201552</v>
      </c>
      <c r="I502" s="6">
        <v>443.35915467401884</v>
      </c>
      <c r="J502" s="6">
        <v>3.6668903088062064</v>
      </c>
      <c r="K502" s="6"/>
      <c r="L502" s="6"/>
      <c r="M502" s="6"/>
      <c r="N502" s="6">
        <f t="shared" ref="N502:P502" si="505">IF(LEN($C502)&gt;0,H502-E502,"")</f>
        <v>-308146.6987</v>
      </c>
      <c r="O502" s="6">
        <f t="shared" si="505"/>
        <v>-12.13357072</v>
      </c>
      <c r="P502" s="6">
        <f t="shared" si="505"/>
        <v>-2.281311202</v>
      </c>
      <c r="Q502" s="6"/>
      <c r="R502" s="6"/>
      <c r="S502" s="6"/>
      <c r="T502" s="6"/>
      <c r="U502" s="6"/>
      <c r="V502" s="6"/>
      <c r="W502" s="6"/>
      <c r="X502" s="6"/>
      <c r="Y502" s="6"/>
      <c r="Z502" s="6"/>
      <c r="AA502" s="6"/>
      <c r="AB502" s="6"/>
      <c r="AC502" s="6"/>
      <c r="AD502" s="6"/>
      <c r="AE502" s="6"/>
      <c r="AF502" s="6"/>
      <c r="AG502" s="6"/>
    </row>
    <row r="503" ht="14.25" customHeight="1">
      <c r="A503" s="6"/>
      <c r="B503" s="6"/>
      <c r="C503" s="6">
        <v>496.0</v>
      </c>
      <c r="D503" s="6"/>
      <c r="E503" s="6">
        <v>8469440.76648888</v>
      </c>
      <c r="F503" s="6">
        <v>472.104979851445</v>
      </c>
      <c r="G503" s="6">
        <v>4.100549219976965</v>
      </c>
      <c r="H503" s="6">
        <v>8398937.308557149</v>
      </c>
      <c r="I503" s="6">
        <v>469.8131487033275</v>
      </c>
      <c r="J503" s="6">
        <v>3.117161254261096</v>
      </c>
      <c r="K503" s="6"/>
      <c r="L503" s="6"/>
      <c r="M503" s="6"/>
      <c r="N503" s="6">
        <f t="shared" ref="N503:P503" si="506">IF(LEN($C503)&gt;0,H503-E503,"")</f>
        <v>-70503.45793</v>
      </c>
      <c r="O503" s="6">
        <f t="shared" si="506"/>
        <v>-2.291831148</v>
      </c>
      <c r="P503" s="6">
        <f t="shared" si="506"/>
        <v>-0.9833879657</v>
      </c>
      <c r="Q503" s="6"/>
      <c r="R503" s="6"/>
      <c r="S503" s="6"/>
      <c r="T503" s="6"/>
      <c r="U503" s="6"/>
      <c r="V503" s="6"/>
      <c r="W503" s="6"/>
      <c r="X503" s="6"/>
      <c r="Y503" s="6"/>
      <c r="Z503" s="6"/>
      <c r="AA503" s="6"/>
      <c r="AB503" s="6"/>
      <c r="AC503" s="6"/>
      <c r="AD503" s="6"/>
      <c r="AE503" s="6"/>
      <c r="AF503" s="6"/>
      <c r="AG503" s="6"/>
    </row>
    <row r="504" ht="14.25" customHeight="1">
      <c r="A504" s="6"/>
      <c r="B504" s="6"/>
      <c r="C504" s="6">
        <v>497.0</v>
      </c>
      <c r="D504" s="6"/>
      <c r="E504" s="6">
        <v>9007214.259646107</v>
      </c>
      <c r="F504" s="6">
        <v>481.5855879170897</v>
      </c>
      <c r="G504" s="6">
        <v>6.176091654876373</v>
      </c>
      <c r="H504" s="6">
        <v>8876380.706535473</v>
      </c>
      <c r="I504" s="6">
        <v>477.55081569387505</v>
      </c>
      <c r="J504" s="6">
        <v>4.683598206484326</v>
      </c>
      <c r="K504" s="6"/>
      <c r="L504" s="6"/>
      <c r="M504" s="6"/>
      <c r="N504" s="6">
        <f t="shared" ref="N504:P504" si="507">IF(LEN($C504)&gt;0,H504-E504,"")</f>
        <v>-130833.5531</v>
      </c>
      <c r="O504" s="6">
        <f t="shared" si="507"/>
        <v>-4.034772223</v>
      </c>
      <c r="P504" s="6">
        <f t="shared" si="507"/>
        <v>-1.492493448</v>
      </c>
      <c r="Q504" s="6"/>
      <c r="R504" s="6"/>
      <c r="S504" s="6"/>
      <c r="T504" s="6"/>
      <c r="U504" s="6"/>
      <c r="V504" s="6"/>
      <c r="W504" s="6"/>
      <c r="X504" s="6"/>
      <c r="Y504" s="6"/>
      <c r="Z504" s="6"/>
      <c r="AA504" s="6"/>
      <c r="AB504" s="6"/>
      <c r="AC504" s="6"/>
      <c r="AD504" s="6"/>
      <c r="AE504" s="6"/>
      <c r="AF504" s="6"/>
      <c r="AG504" s="6"/>
    </row>
    <row r="505" ht="14.25" customHeight="1">
      <c r="A505" s="6"/>
      <c r="B505" s="6"/>
      <c r="C505" s="6">
        <v>498.0</v>
      </c>
      <c r="D505" s="6"/>
      <c r="E505" s="6">
        <v>7639931.267255217</v>
      </c>
      <c r="F505" s="6">
        <v>443.950990653063</v>
      </c>
      <c r="G505" s="6">
        <v>4.189934816962372</v>
      </c>
      <c r="H505" s="6">
        <v>7496837.715322338</v>
      </c>
      <c r="I505" s="6">
        <v>437.92819815047073</v>
      </c>
      <c r="J505" s="6">
        <v>3.0277776536030707</v>
      </c>
      <c r="K505" s="6"/>
      <c r="L505" s="6"/>
      <c r="M505" s="6"/>
      <c r="N505" s="6">
        <f t="shared" ref="N505:P505" si="508">IF(LEN($C505)&gt;0,H505-E505,"")</f>
        <v>-143093.5519</v>
      </c>
      <c r="O505" s="6">
        <f t="shared" si="508"/>
        <v>-6.022792503</v>
      </c>
      <c r="P505" s="6">
        <f t="shared" si="508"/>
        <v>-1.162157163</v>
      </c>
      <c r="Q505" s="6"/>
      <c r="R505" s="6"/>
      <c r="S505" s="6"/>
      <c r="T505" s="6"/>
      <c r="U505" s="6"/>
      <c r="V505" s="6"/>
      <c r="W505" s="6"/>
      <c r="X505" s="6"/>
      <c r="Y505" s="6"/>
      <c r="Z505" s="6"/>
      <c r="AA505" s="6"/>
      <c r="AB505" s="6"/>
      <c r="AC505" s="6"/>
      <c r="AD505" s="6"/>
      <c r="AE505" s="6"/>
      <c r="AF505" s="6"/>
      <c r="AG505" s="6"/>
    </row>
    <row r="506" ht="14.25" customHeight="1">
      <c r="A506" s="6"/>
      <c r="B506" s="6"/>
      <c r="C506" s="6">
        <v>499.0</v>
      </c>
      <c r="D506" s="6"/>
      <c r="E506" s="6">
        <v>7156298.633197064</v>
      </c>
      <c r="F506" s="6">
        <v>433.1008701605125</v>
      </c>
      <c r="G506" s="6">
        <v>4.722130391054461</v>
      </c>
      <c r="H506" s="6">
        <v>7116458.114067281</v>
      </c>
      <c r="I506" s="6">
        <v>431.13198240821043</v>
      </c>
      <c r="J506" s="6">
        <v>4.0081939446185455</v>
      </c>
      <c r="K506" s="6"/>
      <c r="L506" s="6"/>
      <c r="M506" s="6"/>
      <c r="N506" s="6">
        <f t="shared" ref="N506:P506" si="509">IF(LEN($C506)&gt;0,H506-E506,"")</f>
        <v>-39840.51913</v>
      </c>
      <c r="O506" s="6">
        <f t="shared" si="509"/>
        <v>-1.968887752</v>
      </c>
      <c r="P506" s="6">
        <f t="shared" si="509"/>
        <v>-0.7139364464</v>
      </c>
      <c r="Q506" s="6"/>
      <c r="R506" s="6"/>
      <c r="S506" s="6"/>
      <c r="T506" s="6"/>
      <c r="U506" s="6"/>
      <c r="V506" s="6"/>
      <c r="W506" s="6"/>
      <c r="X506" s="6"/>
      <c r="Y506" s="6"/>
      <c r="Z506" s="6"/>
      <c r="AA506" s="6"/>
      <c r="AB506" s="6"/>
      <c r="AC506" s="6"/>
      <c r="AD506" s="6"/>
      <c r="AE506" s="6"/>
      <c r="AF506" s="6"/>
      <c r="AG506" s="6"/>
    </row>
    <row r="507" ht="14.25" customHeight="1">
      <c r="A507" s="6"/>
      <c r="B507" s="6"/>
      <c r="C507" s="6">
        <v>500.0</v>
      </c>
      <c r="D507" s="6"/>
      <c r="E507" s="6">
        <v>7403654.120241841</v>
      </c>
      <c r="F507" s="6">
        <v>444.0907897670753</v>
      </c>
      <c r="G507" s="6">
        <v>5.909675457578655</v>
      </c>
      <c r="H507" s="6">
        <v>7278198.873062772</v>
      </c>
      <c r="I507" s="6">
        <v>439.3997138253593</v>
      </c>
      <c r="J507" s="6">
        <v>4.329129784808963</v>
      </c>
      <c r="K507" s="6"/>
      <c r="L507" s="6"/>
      <c r="M507" s="6"/>
      <c r="N507" s="6">
        <f t="shared" ref="N507:P507" si="510">IF(LEN($C507)&gt;0,H507-E507,"")</f>
        <v>-125455.2472</v>
      </c>
      <c r="O507" s="6">
        <f t="shared" si="510"/>
        <v>-4.691075942</v>
      </c>
      <c r="P507" s="6">
        <f t="shared" si="510"/>
        <v>-1.580545673</v>
      </c>
      <c r="Q507" s="6"/>
      <c r="R507" s="6"/>
      <c r="S507" s="6"/>
      <c r="T507" s="6"/>
      <c r="U507" s="6"/>
      <c r="V507" s="6"/>
      <c r="W507" s="6"/>
      <c r="X507" s="6"/>
      <c r="Y507" s="6"/>
      <c r="Z507" s="6"/>
      <c r="AA507" s="6"/>
      <c r="AB507" s="6"/>
      <c r="AC507" s="6"/>
      <c r="AD507" s="6"/>
      <c r="AE507" s="6"/>
      <c r="AF507" s="6"/>
      <c r="AG507" s="6"/>
    </row>
    <row r="508" ht="14.25" customHeight="1">
      <c r="A508" s="6"/>
      <c r="B508" s="6"/>
      <c r="C508" s="6">
        <v>501.0</v>
      </c>
      <c r="D508" s="6"/>
      <c r="E508" s="6">
        <v>5808685.82855066</v>
      </c>
      <c r="F508" s="6">
        <v>470.84389709161894</v>
      </c>
      <c r="G508" s="6">
        <v>5.6259133680381375</v>
      </c>
      <c r="H508" s="6">
        <v>5716767.606906933</v>
      </c>
      <c r="I508" s="6">
        <v>467.5543352165536</v>
      </c>
      <c r="J508" s="6">
        <v>4.4645764865020725</v>
      </c>
      <c r="K508" s="6"/>
      <c r="L508" s="6"/>
      <c r="M508" s="6"/>
      <c r="N508" s="6">
        <f t="shared" ref="N508:P508" si="511">IF(LEN($C508)&gt;0,H508-E508,"")</f>
        <v>-91918.22164</v>
      </c>
      <c r="O508" s="6">
        <f t="shared" si="511"/>
        <v>-3.289561875</v>
      </c>
      <c r="P508" s="6">
        <f t="shared" si="511"/>
        <v>-1.161336882</v>
      </c>
      <c r="Q508" s="6"/>
      <c r="R508" s="6"/>
      <c r="S508" s="6"/>
      <c r="T508" s="6"/>
      <c r="U508" s="6"/>
      <c r="V508" s="6"/>
      <c r="W508" s="6"/>
      <c r="X508" s="6"/>
      <c r="Y508" s="6"/>
      <c r="Z508" s="6"/>
      <c r="AA508" s="6"/>
      <c r="AB508" s="6"/>
      <c r="AC508" s="6"/>
      <c r="AD508" s="6"/>
      <c r="AE508" s="6"/>
      <c r="AF508" s="6"/>
      <c r="AG508" s="6"/>
    </row>
    <row r="509" ht="14.25" customHeight="1">
      <c r="A509" s="6"/>
      <c r="B509" s="6"/>
      <c r="C509" s="6">
        <v>502.0</v>
      </c>
      <c r="D509" s="6"/>
      <c r="E509" s="6">
        <v>9036275.40558869</v>
      </c>
      <c r="F509" s="6">
        <v>472.9820673418157</v>
      </c>
      <c r="G509" s="6">
        <v>4.679282765387168</v>
      </c>
      <c r="H509" s="6">
        <v>8971396.307765068</v>
      </c>
      <c r="I509" s="6">
        <v>469.75730808506046</v>
      </c>
      <c r="J509" s="6">
        <v>3.667310003998602</v>
      </c>
      <c r="K509" s="6"/>
      <c r="L509" s="6"/>
      <c r="M509" s="6"/>
      <c r="N509" s="6">
        <f t="shared" ref="N509:P509" si="512">IF(LEN($C509)&gt;0,H509-E509,"")</f>
        <v>-64879.09782</v>
      </c>
      <c r="O509" s="6">
        <f t="shared" si="512"/>
        <v>-3.224759257</v>
      </c>
      <c r="P509" s="6">
        <f t="shared" si="512"/>
        <v>-1.011972761</v>
      </c>
      <c r="Q509" s="6"/>
      <c r="R509" s="6"/>
      <c r="S509" s="6"/>
      <c r="T509" s="6"/>
      <c r="U509" s="6"/>
      <c r="V509" s="6"/>
      <c r="W509" s="6"/>
      <c r="X509" s="6"/>
      <c r="Y509" s="6"/>
      <c r="Z509" s="6"/>
      <c r="AA509" s="6"/>
      <c r="AB509" s="6"/>
      <c r="AC509" s="6"/>
      <c r="AD509" s="6"/>
      <c r="AE509" s="6"/>
      <c r="AF509" s="6"/>
      <c r="AG509" s="6"/>
    </row>
    <row r="510" ht="14.25" customHeight="1">
      <c r="A510" s="6"/>
      <c r="B510" s="6"/>
      <c r="C510" s="6">
        <v>503.0</v>
      </c>
      <c r="D510" s="6"/>
      <c r="E510" s="6">
        <v>6989357.094066823</v>
      </c>
      <c r="F510" s="6">
        <v>474.5954273826257</v>
      </c>
      <c r="G510" s="6">
        <v>5.08036818295798</v>
      </c>
      <c r="H510" s="6">
        <v>6877812.405638804</v>
      </c>
      <c r="I510" s="6">
        <v>469.66125577017465</v>
      </c>
      <c r="J510" s="6">
        <v>3.395545217523561</v>
      </c>
      <c r="K510" s="6"/>
      <c r="L510" s="6"/>
      <c r="M510" s="6"/>
      <c r="N510" s="6">
        <f t="shared" ref="N510:P510" si="513">IF(LEN($C510)&gt;0,H510-E510,"")</f>
        <v>-111544.6884</v>
      </c>
      <c r="O510" s="6">
        <f t="shared" si="513"/>
        <v>-4.934171612</v>
      </c>
      <c r="P510" s="6">
        <f t="shared" si="513"/>
        <v>-1.684822965</v>
      </c>
      <c r="Q510" s="6"/>
      <c r="R510" s="6"/>
      <c r="S510" s="6"/>
      <c r="T510" s="6"/>
      <c r="U510" s="6"/>
      <c r="V510" s="6"/>
      <c r="W510" s="6"/>
      <c r="X510" s="6"/>
      <c r="Y510" s="6"/>
      <c r="Z510" s="6"/>
      <c r="AA510" s="6"/>
      <c r="AB510" s="6"/>
      <c r="AC510" s="6"/>
      <c r="AD510" s="6"/>
      <c r="AE510" s="6"/>
      <c r="AF510" s="6"/>
      <c r="AG510" s="6"/>
    </row>
    <row r="511" ht="14.25" customHeight="1">
      <c r="A511" s="6"/>
      <c r="B511" s="6"/>
      <c r="C511" s="6">
        <v>504.0</v>
      </c>
      <c r="D511" s="6"/>
      <c r="E511" s="6">
        <v>7310970.358098698</v>
      </c>
      <c r="F511" s="6">
        <v>465.65098397462174</v>
      </c>
      <c r="G511" s="6">
        <v>5.925711542391557</v>
      </c>
      <c r="H511" s="6">
        <v>7222814.343933712</v>
      </c>
      <c r="I511" s="6">
        <v>461.6226426525015</v>
      </c>
      <c r="J511" s="6">
        <v>4.120821531765317</v>
      </c>
      <c r="K511" s="6"/>
      <c r="L511" s="6"/>
      <c r="M511" s="6"/>
      <c r="N511" s="6">
        <f t="shared" ref="N511:P511" si="514">IF(LEN($C511)&gt;0,H511-E511,"")</f>
        <v>-88156.01416</v>
      </c>
      <c r="O511" s="6">
        <f t="shared" si="514"/>
        <v>-4.028341322</v>
      </c>
      <c r="P511" s="6">
        <f t="shared" si="514"/>
        <v>-1.804890011</v>
      </c>
      <c r="Q511" s="6"/>
      <c r="R511" s="6"/>
      <c r="S511" s="6"/>
      <c r="T511" s="6"/>
      <c r="U511" s="6"/>
      <c r="V511" s="6"/>
      <c r="W511" s="6"/>
      <c r="X511" s="6"/>
      <c r="Y511" s="6"/>
      <c r="Z511" s="6"/>
      <c r="AA511" s="6"/>
      <c r="AB511" s="6"/>
      <c r="AC511" s="6"/>
      <c r="AD511" s="6"/>
      <c r="AE511" s="6"/>
      <c r="AF511" s="6"/>
      <c r="AG511" s="6"/>
    </row>
    <row r="512" ht="14.25" customHeight="1">
      <c r="A512" s="6"/>
      <c r="B512" s="6"/>
      <c r="C512" s="6">
        <v>505.0</v>
      </c>
      <c r="D512" s="6"/>
      <c r="E512" s="6">
        <v>7883111.733530748</v>
      </c>
      <c r="F512" s="6">
        <v>479.8242448781024</v>
      </c>
      <c r="G512" s="6">
        <v>5.1841069137022275</v>
      </c>
      <c r="H512" s="6">
        <v>7790269.141065831</v>
      </c>
      <c r="I512" s="6">
        <v>477.3881370490162</v>
      </c>
      <c r="J512" s="6">
        <v>4.000345034784772</v>
      </c>
      <c r="K512" s="6"/>
      <c r="L512" s="6"/>
      <c r="M512" s="6"/>
      <c r="N512" s="6">
        <f t="shared" ref="N512:P512" si="515">IF(LEN($C512)&gt;0,H512-E512,"")</f>
        <v>-92842.59246</v>
      </c>
      <c r="O512" s="6">
        <f t="shared" si="515"/>
        <v>-2.436107829</v>
      </c>
      <c r="P512" s="6">
        <f t="shared" si="515"/>
        <v>-1.183761879</v>
      </c>
      <c r="Q512" s="6"/>
      <c r="R512" s="6"/>
      <c r="S512" s="6"/>
      <c r="T512" s="6"/>
      <c r="U512" s="6"/>
      <c r="V512" s="6"/>
      <c r="W512" s="6"/>
      <c r="X512" s="6"/>
      <c r="Y512" s="6"/>
      <c r="Z512" s="6"/>
      <c r="AA512" s="6"/>
      <c r="AB512" s="6"/>
      <c r="AC512" s="6"/>
      <c r="AD512" s="6"/>
      <c r="AE512" s="6"/>
      <c r="AF512" s="6"/>
      <c r="AG512" s="6"/>
    </row>
    <row r="513" ht="14.25" customHeight="1">
      <c r="A513" s="6"/>
      <c r="B513" s="6"/>
      <c r="C513" s="6">
        <v>506.0</v>
      </c>
      <c r="D513" s="6"/>
      <c r="E513" s="6">
        <v>8734415.940432567</v>
      </c>
      <c r="F513" s="6">
        <v>473.3289445802587</v>
      </c>
      <c r="G513" s="6">
        <v>5.229674280282804</v>
      </c>
      <c r="H513" s="6">
        <v>8590854.207745524</v>
      </c>
      <c r="I513" s="6">
        <v>467.90732555806153</v>
      </c>
      <c r="J513" s="6">
        <v>3.742903151497436</v>
      </c>
      <c r="K513" s="6"/>
      <c r="L513" s="6"/>
      <c r="M513" s="6"/>
      <c r="N513" s="6">
        <f t="shared" ref="N513:P513" si="516">IF(LEN($C513)&gt;0,H513-E513,"")</f>
        <v>-143561.7327</v>
      </c>
      <c r="O513" s="6">
        <f t="shared" si="516"/>
        <v>-5.421619022</v>
      </c>
      <c r="P513" s="6">
        <f t="shared" si="516"/>
        <v>-1.486771129</v>
      </c>
      <c r="Q513" s="6"/>
      <c r="R513" s="6"/>
      <c r="S513" s="6"/>
      <c r="T513" s="6"/>
      <c r="U513" s="6"/>
      <c r="V513" s="6"/>
      <c r="W513" s="6"/>
      <c r="X513" s="6"/>
      <c r="Y513" s="6"/>
      <c r="Z513" s="6"/>
      <c r="AA513" s="6"/>
      <c r="AB513" s="6"/>
      <c r="AC513" s="6"/>
      <c r="AD513" s="6"/>
      <c r="AE513" s="6"/>
      <c r="AF513" s="6"/>
      <c r="AG513" s="6"/>
    </row>
    <row r="514" ht="14.25" customHeight="1">
      <c r="A514" s="6"/>
      <c r="B514" s="6"/>
      <c r="C514" s="6">
        <v>507.0</v>
      </c>
      <c r="D514" s="6"/>
      <c r="E514" s="6">
        <v>8859863.685841704</v>
      </c>
      <c r="F514" s="6">
        <v>457.814205811781</v>
      </c>
      <c r="G514" s="6">
        <v>5.040252837880872</v>
      </c>
      <c r="H514" s="6">
        <v>8753293.890288373</v>
      </c>
      <c r="I514" s="6">
        <v>454.5528973314908</v>
      </c>
      <c r="J514" s="6">
        <v>3.757349109077079</v>
      </c>
      <c r="K514" s="6"/>
      <c r="L514" s="6"/>
      <c r="M514" s="6"/>
      <c r="N514" s="6">
        <f t="shared" ref="N514:P514" si="517">IF(LEN($C514)&gt;0,H514-E514,"")</f>
        <v>-106569.7956</v>
      </c>
      <c r="O514" s="6">
        <f t="shared" si="517"/>
        <v>-3.26130848</v>
      </c>
      <c r="P514" s="6">
        <f t="shared" si="517"/>
        <v>-1.282903729</v>
      </c>
      <c r="Q514" s="6"/>
      <c r="R514" s="6"/>
      <c r="S514" s="6"/>
      <c r="T514" s="6"/>
      <c r="U514" s="6"/>
      <c r="V514" s="6"/>
      <c r="W514" s="6"/>
      <c r="X514" s="6"/>
      <c r="Y514" s="6"/>
      <c r="Z514" s="6"/>
      <c r="AA514" s="6"/>
      <c r="AB514" s="6"/>
      <c r="AC514" s="6"/>
      <c r="AD514" s="6"/>
      <c r="AE514" s="6"/>
      <c r="AF514" s="6"/>
      <c r="AG514" s="6"/>
    </row>
    <row r="515" ht="14.25" customHeight="1">
      <c r="A515" s="6"/>
      <c r="B515" s="6"/>
      <c r="C515" s="6">
        <v>508.0</v>
      </c>
      <c r="D515" s="6"/>
      <c r="E515" s="6">
        <v>8459625.113068532</v>
      </c>
      <c r="F515" s="6">
        <v>459.38980826115517</v>
      </c>
      <c r="G515" s="6">
        <v>5.279003672171263</v>
      </c>
      <c r="H515" s="6">
        <v>8304903.306732906</v>
      </c>
      <c r="I515" s="6">
        <v>452.75162572731904</v>
      </c>
      <c r="J515" s="6">
        <v>3.9675719863057517</v>
      </c>
      <c r="K515" s="6"/>
      <c r="L515" s="6"/>
      <c r="M515" s="6"/>
      <c r="N515" s="6">
        <f t="shared" ref="N515:P515" si="518">IF(LEN($C515)&gt;0,H515-E515,"")</f>
        <v>-154721.8063</v>
      </c>
      <c r="O515" s="6">
        <f t="shared" si="518"/>
        <v>-6.638182534</v>
      </c>
      <c r="P515" s="6">
        <f t="shared" si="518"/>
        <v>-1.311431686</v>
      </c>
      <c r="Q515" s="6"/>
      <c r="R515" s="6"/>
      <c r="S515" s="6"/>
      <c r="T515" s="6"/>
      <c r="U515" s="6"/>
      <c r="V515" s="6"/>
      <c r="W515" s="6"/>
      <c r="X515" s="6"/>
      <c r="Y515" s="6"/>
      <c r="Z515" s="6"/>
      <c r="AA515" s="6"/>
      <c r="AB515" s="6"/>
      <c r="AC515" s="6"/>
      <c r="AD515" s="6"/>
      <c r="AE515" s="6"/>
      <c r="AF515" s="6"/>
      <c r="AG515" s="6"/>
    </row>
    <row r="516" ht="14.25" customHeight="1">
      <c r="A516" s="6"/>
      <c r="B516" s="6"/>
      <c r="C516" s="6">
        <v>509.0</v>
      </c>
      <c r="D516" s="6"/>
      <c r="E516" s="6">
        <v>5456033.789411425</v>
      </c>
      <c r="F516" s="6">
        <v>453.99851793740487</v>
      </c>
      <c r="G516" s="6">
        <v>5.208756000103577</v>
      </c>
      <c r="H516" s="6">
        <v>5375576.187726864</v>
      </c>
      <c r="I516" s="6">
        <v>450.9215044010167</v>
      </c>
      <c r="J516" s="6">
        <v>3.8121521543381123</v>
      </c>
      <c r="K516" s="6"/>
      <c r="L516" s="6"/>
      <c r="M516" s="6"/>
      <c r="N516" s="6">
        <f t="shared" ref="N516:P516" si="519">IF(LEN($C516)&gt;0,H516-E516,"")</f>
        <v>-80457.60168</v>
      </c>
      <c r="O516" s="6">
        <f t="shared" si="519"/>
        <v>-3.077013536</v>
      </c>
      <c r="P516" s="6">
        <f t="shared" si="519"/>
        <v>-1.396603846</v>
      </c>
      <c r="Q516" s="6"/>
      <c r="R516" s="6"/>
      <c r="S516" s="6"/>
      <c r="T516" s="6"/>
      <c r="U516" s="6"/>
      <c r="V516" s="6"/>
      <c r="W516" s="6"/>
      <c r="X516" s="6"/>
      <c r="Y516" s="6"/>
      <c r="Z516" s="6"/>
      <c r="AA516" s="6"/>
      <c r="AB516" s="6"/>
      <c r="AC516" s="6"/>
      <c r="AD516" s="6"/>
      <c r="AE516" s="6"/>
      <c r="AF516" s="6"/>
      <c r="AG516" s="6"/>
    </row>
    <row r="517" ht="14.25" customHeight="1">
      <c r="A517" s="6"/>
      <c r="B517" s="6"/>
      <c r="C517" s="6">
        <v>510.0</v>
      </c>
      <c r="D517" s="6"/>
      <c r="E517" s="6">
        <v>5832445.306646523</v>
      </c>
      <c r="F517" s="6">
        <v>480.9771087070377</v>
      </c>
      <c r="G517" s="6">
        <v>6.331381643817601</v>
      </c>
      <c r="H517" s="6">
        <v>5755401.456721452</v>
      </c>
      <c r="I517" s="6">
        <v>476.15170258407994</v>
      </c>
      <c r="J517" s="6">
        <v>5.167418288616151</v>
      </c>
      <c r="K517" s="6"/>
      <c r="L517" s="6"/>
      <c r="M517" s="6"/>
      <c r="N517" s="6">
        <f t="shared" ref="N517:P517" si="520">IF(LEN($C517)&gt;0,H517-E517,"")</f>
        <v>-77043.84993</v>
      </c>
      <c r="O517" s="6">
        <f t="shared" si="520"/>
        <v>-4.825406123</v>
      </c>
      <c r="P517" s="6">
        <f t="shared" si="520"/>
        <v>-1.163963355</v>
      </c>
      <c r="Q517" s="6"/>
      <c r="R517" s="6"/>
      <c r="S517" s="6"/>
      <c r="T517" s="6"/>
      <c r="U517" s="6"/>
      <c r="V517" s="6"/>
      <c r="W517" s="6"/>
      <c r="X517" s="6"/>
      <c r="Y517" s="6"/>
      <c r="Z517" s="6"/>
      <c r="AA517" s="6"/>
      <c r="AB517" s="6"/>
      <c r="AC517" s="6"/>
      <c r="AD517" s="6"/>
      <c r="AE517" s="6"/>
      <c r="AF517" s="6"/>
      <c r="AG517" s="6"/>
    </row>
    <row r="518" ht="14.25" customHeight="1">
      <c r="A518" s="6"/>
      <c r="B518" s="6"/>
      <c r="C518" s="6">
        <v>511.0</v>
      </c>
      <c r="D518" s="6"/>
      <c r="E518" s="6">
        <v>7273014.643064588</v>
      </c>
      <c r="F518" s="6">
        <v>447.25614861157464</v>
      </c>
      <c r="G518" s="6">
        <v>4.40576339380751</v>
      </c>
      <c r="H518" s="6">
        <v>7156470.025445156</v>
      </c>
      <c r="I518" s="6">
        <v>439.80093810693967</v>
      </c>
      <c r="J518" s="6">
        <v>3.254224203627472</v>
      </c>
      <c r="K518" s="6"/>
      <c r="L518" s="6"/>
      <c r="M518" s="6"/>
      <c r="N518" s="6">
        <f t="shared" ref="N518:P518" si="521">IF(LEN($C518)&gt;0,H518-E518,"")</f>
        <v>-116544.6176</v>
      </c>
      <c r="O518" s="6">
        <f t="shared" si="521"/>
        <v>-7.455210505</v>
      </c>
      <c r="P518" s="6">
        <f t="shared" si="521"/>
        <v>-1.15153919</v>
      </c>
      <c r="Q518" s="6"/>
      <c r="R518" s="6"/>
      <c r="S518" s="6"/>
      <c r="T518" s="6"/>
      <c r="U518" s="6"/>
      <c r="V518" s="6"/>
      <c r="W518" s="6"/>
      <c r="X518" s="6"/>
      <c r="Y518" s="6"/>
      <c r="Z518" s="6"/>
      <c r="AA518" s="6"/>
      <c r="AB518" s="6"/>
      <c r="AC518" s="6"/>
      <c r="AD518" s="6"/>
      <c r="AE518" s="6"/>
      <c r="AF518" s="6"/>
      <c r="AG518" s="6"/>
    </row>
    <row r="519" ht="14.25" customHeight="1">
      <c r="A519" s="6"/>
      <c r="B519" s="6"/>
      <c r="C519" s="6">
        <v>512.0</v>
      </c>
      <c r="D519" s="6"/>
      <c r="E519" s="6">
        <v>6470088.041917584</v>
      </c>
      <c r="F519" s="6">
        <v>436.1561051519765</v>
      </c>
      <c r="G519" s="6">
        <v>6.036623748378633</v>
      </c>
      <c r="H519" s="6">
        <v>6367124.288512556</v>
      </c>
      <c r="I519" s="6">
        <v>432.2948498443057</v>
      </c>
      <c r="J519" s="6">
        <v>4.264367639473161</v>
      </c>
      <c r="K519" s="6"/>
      <c r="L519" s="6"/>
      <c r="M519" s="6"/>
      <c r="N519" s="6">
        <f t="shared" ref="N519:P519" si="522">IF(LEN($C519)&gt;0,H519-E519,"")</f>
        <v>-102963.7534</v>
      </c>
      <c r="O519" s="6">
        <f t="shared" si="522"/>
        <v>-3.861255308</v>
      </c>
      <c r="P519" s="6">
        <f t="shared" si="522"/>
        <v>-1.772256109</v>
      </c>
      <c r="Q519" s="6"/>
      <c r="R519" s="6"/>
      <c r="S519" s="6"/>
      <c r="T519" s="6"/>
      <c r="U519" s="6"/>
      <c r="V519" s="6"/>
      <c r="W519" s="6"/>
      <c r="X519" s="6"/>
      <c r="Y519" s="6"/>
      <c r="Z519" s="6"/>
      <c r="AA519" s="6"/>
      <c r="AB519" s="6"/>
      <c r="AC519" s="6"/>
      <c r="AD519" s="6"/>
      <c r="AE519" s="6"/>
      <c r="AF519" s="6"/>
      <c r="AG519" s="6"/>
    </row>
    <row r="520" ht="14.25" customHeight="1">
      <c r="A520" s="6"/>
      <c r="B520" s="6"/>
      <c r="C520" s="6">
        <v>513.0</v>
      </c>
      <c r="D520" s="6"/>
      <c r="E520" s="6">
        <v>8351532.661474122</v>
      </c>
      <c r="F520" s="6">
        <v>497.87442006859874</v>
      </c>
      <c r="G520" s="6">
        <v>5.035736092337755</v>
      </c>
      <c r="H520" s="6">
        <v>8179942.279775356</v>
      </c>
      <c r="I520" s="6">
        <v>491.27530078765994</v>
      </c>
      <c r="J520" s="6">
        <v>3.709083366845137</v>
      </c>
      <c r="K520" s="6"/>
      <c r="L520" s="6"/>
      <c r="M520" s="6"/>
      <c r="N520" s="6">
        <f t="shared" ref="N520:P520" si="523">IF(LEN($C520)&gt;0,H520-E520,"")</f>
        <v>-171590.3817</v>
      </c>
      <c r="O520" s="6">
        <f t="shared" si="523"/>
        <v>-6.599119281</v>
      </c>
      <c r="P520" s="6">
        <f t="shared" si="523"/>
        <v>-1.326652725</v>
      </c>
      <c r="Q520" s="6"/>
      <c r="R520" s="6"/>
      <c r="S520" s="6"/>
      <c r="T520" s="6"/>
      <c r="U520" s="6"/>
      <c r="V520" s="6"/>
      <c r="W520" s="6"/>
      <c r="X520" s="6"/>
      <c r="Y520" s="6"/>
      <c r="Z520" s="6"/>
      <c r="AA520" s="6"/>
      <c r="AB520" s="6"/>
      <c r="AC520" s="6"/>
      <c r="AD520" s="6"/>
      <c r="AE520" s="6"/>
      <c r="AF520" s="6"/>
      <c r="AG520" s="6"/>
    </row>
    <row r="521" ht="14.25" customHeight="1">
      <c r="A521" s="6"/>
      <c r="B521" s="6"/>
      <c r="C521" s="6">
        <v>514.0</v>
      </c>
      <c r="D521" s="6"/>
      <c r="E521" s="6">
        <v>1.0765368379030038E7</v>
      </c>
      <c r="F521" s="6">
        <v>497.8909088280437</v>
      </c>
      <c r="G521" s="6">
        <v>4.8194237079418345</v>
      </c>
      <c r="H521" s="6">
        <v>1.0580558098245269E7</v>
      </c>
      <c r="I521" s="6">
        <v>491.33635120058506</v>
      </c>
      <c r="J521" s="6">
        <v>3.4310185094699306</v>
      </c>
      <c r="K521" s="6"/>
      <c r="L521" s="6"/>
      <c r="M521" s="6"/>
      <c r="N521" s="6">
        <f t="shared" ref="N521:P521" si="524">IF(LEN($C521)&gt;0,H521-E521,"")</f>
        <v>-184810.2808</v>
      </c>
      <c r="O521" s="6">
        <f t="shared" si="524"/>
        <v>-6.554557627</v>
      </c>
      <c r="P521" s="6">
        <f t="shared" si="524"/>
        <v>-1.388405198</v>
      </c>
      <c r="Q521" s="6"/>
      <c r="R521" s="6"/>
      <c r="S521" s="6"/>
      <c r="T521" s="6"/>
      <c r="U521" s="6"/>
      <c r="V521" s="6"/>
      <c r="W521" s="6"/>
      <c r="X521" s="6"/>
      <c r="Y521" s="6"/>
      <c r="Z521" s="6"/>
      <c r="AA521" s="6"/>
      <c r="AB521" s="6"/>
      <c r="AC521" s="6"/>
      <c r="AD521" s="6"/>
      <c r="AE521" s="6"/>
      <c r="AF521" s="6"/>
      <c r="AG521" s="6"/>
    </row>
    <row r="522" ht="14.25" customHeight="1">
      <c r="A522" s="6"/>
      <c r="B522" s="6"/>
      <c r="C522" s="6">
        <v>515.0</v>
      </c>
      <c r="D522" s="6"/>
      <c r="E522" s="6">
        <v>9288621.079965577</v>
      </c>
      <c r="F522" s="6">
        <v>495.4879881044735</v>
      </c>
      <c r="G522" s="6">
        <v>4.318534828602519</v>
      </c>
      <c r="H522" s="6">
        <v>9187872.81274546</v>
      </c>
      <c r="I522" s="6">
        <v>490.9762390626713</v>
      </c>
      <c r="J522" s="6">
        <v>3.197890534434366</v>
      </c>
      <c r="K522" s="6"/>
      <c r="L522" s="6"/>
      <c r="M522" s="6"/>
      <c r="N522" s="6">
        <f t="shared" ref="N522:P522" si="525">IF(LEN($C522)&gt;0,H522-E522,"")</f>
        <v>-100748.2672</v>
      </c>
      <c r="O522" s="6">
        <f t="shared" si="525"/>
        <v>-4.511749042</v>
      </c>
      <c r="P522" s="6">
        <f t="shared" si="525"/>
        <v>-1.120644294</v>
      </c>
      <c r="Q522" s="6"/>
      <c r="R522" s="6"/>
      <c r="S522" s="6"/>
      <c r="T522" s="6"/>
      <c r="U522" s="6"/>
      <c r="V522" s="6"/>
      <c r="W522" s="6"/>
      <c r="X522" s="6"/>
      <c r="Y522" s="6"/>
      <c r="Z522" s="6"/>
      <c r="AA522" s="6"/>
      <c r="AB522" s="6"/>
      <c r="AC522" s="6"/>
      <c r="AD522" s="6"/>
      <c r="AE522" s="6"/>
      <c r="AF522" s="6"/>
      <c r="AG522" s="6"/>
    </row>
    <row r="523" ht="14.25" customHeight="1">
      <c r="A523" s="6"/>
      <c r="B523" s="6"/>
      <c r="C523" s="6">
        <v>516.0</v>
      </c>
      <c r="D523" s="6"/>
      <c r="E523" s="6">
        <v>1.041453018361448E7</v>
      </c>
      <c r="F523" s="6">
        <v>487.63440195392354</v>
      </c>
      <c r="G523" s="6">
        <v>5.151825974263191</v>
      </c>
      <c r="H523" s="6">
        <v>1.0233101945273865E7</v>
      </c>
      <c r="I523" s="6">
        <v>480.1934556164565</v>
      </c>
      <c r="J523" s="6">
        <v>3.822578631676567</v>
      </c>
      <c r="K523" s="6"/>
      <c r="L523" s="6"/>
      <c r="M523" s="6"/>
      <c r="N523" s="6">
        <f t="shared" ref="N523:P523" si="526">IF(LEN($C523)&gt;0,H523-E523,"")</f>
        <v>-181428.2383</v>
      </c>
      <c r="O523" s="6">
        <f t="shared" si="526"/>
        <v>-7.440946337</v>
      </c>
      <c r="P523" s="6">
        <f t="shared" si="526"/>
        <v>-1.329247343</v>
      </c>
      <c r="Q523" s="6"/>
      <c r="R523" s="6"/>
      <c r="S523" s="6"/>
      <c r="T523" s="6"/>
      <c r="U523" s="6"/>
      <c r="V523" s="6"/>
      <c r="W523" s="6"/>
      <c r="X523" s="6"/>
      <c r="Y523" s="6"/>
      <c r="Z523" s="6"/>
      <c r="AA523" s="6"/>
      <c r="AB523" s="6"/>
      <c r="AC523" s="6"/>
      <c r="AD523" s="6"/>
      <c r="AE523" s="6"/>
      <c r="AF523" s="6"/>
      <c r="AG523" s="6"/>
    </row>
    <row r="524" ht="14.25" customHeight="1">
      <c r="A524" s="6"/>
      <c r="B524" s="6"/>
      <c r="C524" s="6">
        <v>517.0</v>
      </c>
      <c r="D524" s="6"/>
      <c r="E524" s="6">
        <v>6778021.640871493</v>
      </c>
      <c r="F524" s="6">
        <v>472.67593333848197</v>
      </c>
      <c r="G524" s="6">
        <v>5.194722083817796</v>
      </c>
      <c r="H524" s="6">
        <v>6692847.209287934</v>
      </c>
      <c r="I524" s="6">
        <v>469.9799813718127</v>
      </c>
      <c r="J524" s="6">
        <v>3.7741038009596948</v>
      </c>
      <c r="K524" s="6"/>
      <c r="L524" s="6"/>
      <c r="M524" s="6"/>
      <c r="N524" s="6">
        <f t="shared" ref="N524:P524" si="527">IF(LEN($C524)&gt;0,H524-E524,"")</f>
        <v>-85174.43158</v>
      </c>
      <c r="O524" s="6">
        <f t="shared" si="527"/>
        <v>-2.695951967</v>
      </c>
      <c r="P524" s="6">
        <f t="shared" si="527"/>
        <v>-1.420618283</v>
      </c>
      <c r="Q524" s="6"/>
      <c r="R524" s="6"/>
      <c r="S524" s="6"/>
      <c r="T524" s="6"/>
      <c r="U524" s="6"/>
      <c r="V524" s="6"/>
      <c r="W524" s="6"/>
      <c r="X524" s="6"/>
      <c r="Y524" s="6"/>
      <c r="Z524" s="6"/>
      <c r="AA524" s="6"/>
      <c r="AB524" s="6"/>
      <c r="AC524" s="6"/>
      <c r="AD524" s="6"/>
      <c r="AE524" s="6"/>
      <c r="AF524" s="6"/>
      <c r="AG524" s="6"/>
    </row>
    <row r="525" ht="14.25" customHeight="1">
      <c r="A525" s="6"/>
      <c r="B525" s="6"/>
      <c r="C525" s="6">
        <v>518.0</v>
      </c>
      <c r="D525" s="6"/>
      <c r="E525" s="6">
        <v>9007830.345866365</v>
      </c>
      <c r="F525" s="6">
        <v>434.1747712733324</v>
      </c>
      <c r="G525" s="6">
        <v>5.452355733020718</v>
      </c>
      <c r="H525" s="6">
        <v>8931845.935154928</v>
      </c>
      <c r="I525" s="6">
        <v>431.7281143437036</v>
      </c>
      <c r="J525" s="6">
        <v>4.44197037536801</v>
      </c>
      <c r="K525" s="6"/>
      <c r="L525" s="6"/>
      <c r="M525" s="6"/>
      <c r="N525" s="6">
        <f t="shared" ref="N525:P525" si="528">IF(LEN($C525)&gt;0,H525-E525,"")</f>
        <v>-75984.41071</v>
      </c>
      <c r="O525" s="6">
        <f t="shared" si="528"/>
        <v>-2.44665693</v>
      </c>
      <c r="P525" s="6">
        <f t="shared" si="528"/>
        <v>-1.010385358</v>
      </c>
      <c r="Q525" s="6"/>
      <c r="R525" s="6"/>
      <c r="S525" s="6"/>
      <c r="T525" s="6"/>
      <c r="U525" s="6"/>
      <c r="V525" s="6"/>
      <c r="W525" s="6"/>
      <c r="X525" s="6"/>
      <c r="Y525" s="6"/>
      <c r="Z525" s="6"/>
      <c r="AA525" s="6"/>
      <c r="AB525" s="6"/>
      <c r="AC525" s="6"/>
      <c r="AD525" s="6"/>
      <c r="AE525" s="6"/>
      <c r="AF525" s="6"/>
      <c r="AG525" s="6"/>
    </row>
    <row r="526" ht="14.25" customHeight="1">
      <c r="A526" s="6"/>
      <c r="B526" s="6"/>
      <c r="C526" s="6">
        <v>519.0</v>
      </c>
      <c r="D526" s="6"/>
      <c r="E526" s="6">
        <v>7332323.414728831</v>
      </c>
      <c r="F526" s="6">
        <v>502.1030774701384</v>
      </c>
      <c r="G526" s="6">
        <v>3.9810147239388947</v>
      </c>
      <c r="H526" s="6">
        <v>7194575.646069937</v>
      </c>
      <c r="I526" s="6">
        <v>493.7821989694347</v>
      </c>
      <c r="J526" s="6">
        <v>2.8509481972460073</v>
      </c>
      <c r="K526" s="6"/>
      <c r="L526" s="6"/>
      <c r="M526" s="6"/>
      <c r="N526" s="6">
        <f t="shared" ref="N526:P526" si="529">IF(LEN($C526)&gt;0,H526-E526,"")</f>
        <v>-137747.7687</v>
      </c>
      <c r="O526" s="6">
        <f t="shared" si="529"/>
        <v>-8.320878501</v>
      </c>
      <c r="P526" s="6">
        <f t="shared" si="529"/>
        <v>-1.130066527</v>
      </c>
      <c r="Q526" s="6"/>
      <c r="R526" s="6"/>
      <c r="S526" s="6"/>
      <c r="T526" s="6"/>
      <c r="U526" s="6"/>
      <c r="V526" s="6"/>
      <c r="W526" s="6"/>
      <c r="X526" s="6"/>
      <c r="Y526" s="6"/>
      <c r="Z526" s="6"/>
      <c r="AA526" s="6"/>
      <c r="AB526" s="6"/>
      <c r="AC526" s="6"/>
      <c r="AD526" s="6"/>
      <c r="AE526" s="6"/>
      <c r="AF526" s="6"/>
      <c r="AG526" s="6"/>
    </row>
    <row r="527" ht="14.25" customHeight="1">
      <c r="A527" s="6"/>
      <c r="B527" s="6"/>
      <c r="C527" s="6">
        <v>520.0</v>
      </c>
      <c r="D527" s="6"/>
      <c r="E527" s="6">
        <v>7354154.095770907</v>
      </c>
      <c r="F527" s="6">
        <v>506.85803650753576</v>
      </c>
      <c r="G527" s="6">
        <v>4.426641052246418</v>
      </c>
      <c r="H527" s="6">
        <v>7215639.688038569</v>
      </c>
      <c r="I527" s="6">
        <v>497.98688929400964</v>
      </c>
      <c r="J527" s="6">
        <v>3.298984397930504</v>
      </c>
      <c r="K527" s="6"/>
      <c r="L527" s="6"/>
      <c r="M527" s="6"/>
      <c r="N527" s="6">
        <f t="shared" ref="N527:P527" si="530">IF(LEN($C527)&gt;0,H527-E527,"")</f>
        <v>-138514.4077</v>
      </c>
      <c r="O527" s="6">
        <f t="shared" si="530"/>
        <v>-8.871147214</v>
      </c>
      <c r="P527" s="6">
        <f t="shared" si="530"/>
        <v>-1.127656654</v>
      </c>
      <c r="Q527" s="6"/>
      <c r="R527" s="6"/>
      <c r="S527" s="6"/>
      <c r="T527" s="6"/>
      <c r="U527" s="6"/>
      <c r="V527" s="6"/>
      <c r="W527" s="6"/>
      <c r="X527" s="6"/>
      <c r="Y527" s="6"/>
      <c r="Z527" s="6"/>
      <c r="AA527" s="6"/>
      <c r="AB527" s="6"/>
      <c r="AC527" s="6"/>
      <c r="AD527" s="6"/>
      <c r="AE527" s="6"/>
      <c r="AF527" s="6"/>
      <c r="AG527" s="6"/>
    </row>
    <row r="528" ht="14.25" customHeight="1">
      <c r="A528" s="6"/>
      <c r="B528" s="6"/>
      <c r="C528" s="6">
        <v>521.0</v>
      </c>
      <c r="D528" s="6"/>
      <c r="E528" s="6">
        <v>7627542.7354719965</v>
      </c>
      <c r="F528" s="6">
        <v>495.2725546361405</v>
      </c>
      <c r="G528" s="6">
        <v>4.98925031737299</v>
      </c>
      <c r="H528" s="6">
        <v>7502011.409998462</v>
      </c>
      <c r="I528" s="6">
        <v>492.00017994250754</v>
      </c>
      <c r="J528" s="6">
        <v>3.402452705305832</v>
      </c>
      <c r="K528" s="6"/>
      <c r="L528" s="6"/>
      <c r="M528" s="6"/>
      <c r="N528" s="6">
        <f t="shared" ref="N528:P528" si="531">IF(LEN($C528)&gt;0,H528-E528,"")</f>
        <v>-125531.3255</v>
      </c>
      <c r="O528" s="6">
        <f t="shared" si="531"/>
        <v>-3.272374694</v>
      </c>
      <c r="P528" s="6">
        <f t="shared" si="531"/>
        <v>-1.586797612</v>
      </c>
      <c r="Q528" s="6"/>
      <c r="R528" s="6"/>
      <c r="S528" s="6"/>
      <c r="T528" s="6"/>
      <c r="U528" s="6"/>
      <c r="V528" s="6"/>
      <c r="W528" s="6"/>
      <c r="X528" s="6"/>
      <c r="Y528" s="6"/>
      <c r="Z528" s="6"/>
      <c r="AA528" s="6"/>
      <c r="AB528" s="6"/>
      <c r="AC528" s="6"/>
      <c r="AD528" s="6"/>
      <c r="AE528" s="6"/>
      <c r="AF528" s="6"/>
      <c r="AG528" s="6"/>
    </row>
    <row r="529" ht="14.25" customHeight="1">
      <c r="A529" s="6"/>
      <c r="B529" s="6"/>
      <c r="C529" s="6">
        <v>522.0</v>
      </c>
      <c r="D529" s="6"/>
      <c r="E529" s="6">
        <v>7115757.961577119</v>
      </c>
      <c r="F529" s="6">
        <v>486.81591097515627</v>
      </c>
      <c r="G529" s="6">
        <v>4.981469771294068</v>
      </c>
      <c r="H529" s="6">
        <v>6993840.737374344</v>
      </c>
      <c r="I529" s="6">
        <v>481.5066326782215</v>
      </c>
      <c r="J529" s="6">
        <v>3.037980727165826</v>
      </c>
      <c r="K529" s="6"/>
      <c r="L529" s="6"/>
      <c r="M529" s="6"/>
      <c r="N529" s="6">
        <f t="shared" ref="N529:P529" si="532">IF(LEN($C529)&gt;0,H529-E529,"")</f>
        <v>-121917.2242</v>
      </c>
      <c r="O529" s="6">
        <f t="shared" si="532"/>
        <v>-5.309278297</v>
      </c>
      <c r="P529" s="6">
        <f t="shared" si="532"/>
        <v>-1.943489044</v>
      </c>
      <c r="Q529" s="6"/>
      <c r="R529" s="6"/>
      <c r="S529" s="6"/>
      <c r="T529" s="6"/>
      <c r="U529" s="6"/>
      <c r="V529" s="6"/>
      <c r="W529" s="6"/>
      <c r="X529" s="6"/>
      <c r="Y529" s="6"/>
      <c r="Z529" s="6"/>
      <c r="AA529" s="6"/>
      <c r="AB529" s="6"/>
      <c r="AC529" s="6"/>
      <c r="AD529" s="6"/>
      <c r="AE529" s="6"/>
      <c r="AF529" s="6"/>
      <c r="AG529" s="6"/>
    </row>
    <row r="530" ht="14.25" customHeight="1">
      <c r="A530" s="6"/>
      <c r="B530" s="6"/>
      <c r="C530" s="6">
        <v>523.0</v>
      </c>
      <c r="D530" s="6"/>
      <c r="E530" s="6">
        <v>7557818.374000942</v>
      </c>
      <c r="F530" s="6">
        <v>487.82891146856986</v>
      </c>
      <c r="G530" s="6">
        <v>4.928708106532564</v>
      </c>
      <c r="H530" s="6">
        <v>7391415.89588804</v>
      </c>
      <c r="I530" s="6">
        <v>483.03259347876855</v>
      </c>
      <c r="J530" s="6">
        <v>3.162901931451481</v>
      </c>
      <c r="K530" s="6"/>
      <c r="L530" s="6"/>
      <c r="M530" s="6"/>
      <c r="N530" s="6">
        <f t="shared" ref="N530:P530" si="533">IF(LEN($C530)&gt;0,H530-E530,"")</f>
        <v>-166402.4781</v>
      </c>
      <c r="O530" s="6">
        <f t="shared" si="533"/>
        <v>-4.79631799</v>
      </c>
      <c r="P530" s="6">
        <f t="shared" si="533"/>
        <v>-1.765806175</v>
      </c>
      <c r="Q530" s="6"/>
      <c r="R530" s="6"/>
      <c r="S530" s="6"/>
      <c r="T530" s="6"/>
      <c r="U530" s="6"/>
      <c r="V530" s="6"/>
      <c r="W530" s="6"/>
      <c r="X530" s="6"/>
      <c r="Y530" s="6"/>
      <c r="Z530" s="6"/>
      <c r="AA530" s="6"/>
      <c r="AB530" s="6"/>
      <c r="AC530" s="6"/>
      <c r="AD530" s="6"/>
      <c r="AE530" s="6"/>
      <c r="AF530" s="6"/>
      <c r="AG530" s="6"/>
    </row>
    <row r="531" ht="14.25" customHeight="1">
      <c r="A531" s="6"/>
      <c r="B531" s="6"/>
      <c r="C531" s="6">
        <v>524.0</v>
      </c>
      <c r="D531" s="6"/>
      <c r="E531" s="6">
        <v>6818139.226974064</v>
      </c>
      <c r="F531" s="6">
        <v>484.4350151851869</v>
      </c>
      <c r="G531" s="6">
        <v>4.59384884548591</v>
      </c>
      <c r="H531" s="6">
        <v>6743806.724770267</v>
      </c>
      <c r="I531" s="6">
        <v>481.37013313924786</v>
      </c>
      <c r="J531" s="6">
        <v>3.9306542113157272</v>
      </c>
      <c r="K531" s="6"/>
      <c r="L531" s="6"/>
      <c r="M531" s="6"/>
      <c r="N531" s="6">
        <f t="shared" ref="N531:P531" si="534">IF(LEN($C531)&gt;0,H531-E531,"")</f>
        <v>-74332.5022</v>
      </c>
      <c r="O531" s="6">
        <f t="shared" si="534"/>
        <v>-3.064882046</v>
      </c>
      <c r="P531" s="6">
        <f t="shared" si="534"/>
        <v>-0.6631946342</v>
      </c>
      <c r="Q531" s="6"/>
      <c r="R531" s="6"/>
      <c r="S531" s="6"/>
      <c r="T531" s="6"/>
      <c r="U531" s="6"/>
      <c r="V531" s="6"/>
      <c r="W531" s="6"/>
      <c r="X531" s="6"/>
      <c r="Y531" s="6"/>
      <c r="Z531" s="6"/>
      <c r="AA531" s="6"/>
      <c r="AB531" s="6"/>
      <c r="AC531" s="6"/>
      <c r="AD531" s="6"/>
      <c r="AE531" s="6"/>
      <c r="AF531" s="6"/>
      <c r="AG531" s="6"/>
    </row>
    <row r="532" ht="14.25" customHeight="1">
      <c r="A532" s="6"/>
      <c r="B532" s="6"/>
      <c r="C532" s="6">
        <v>525.0</v>
      </c>
      <c r="D532" s="6"/>
      <c r="E532" s="6">
        <v>9924570.169075169</v>
      </c>
      <c r="F532" s="6">
        <v>487.94850155116336</v>
      </c>
      <c r="G532" s="6">
        <v>4.351169887015564</v>
      </c>
      <c r="H532" s="6">
        <v>9798985.785348216</v>
      </c>
      <c r="I532" s="6">
        <v>483.9037846321177</v>
      </c>
      <c r="J532" s="6">
        <v>3.5934587009677292</v>
      </c>
      <c r="K532" s="6"/>
      <c r="L532" s="6"/>
      <c r="M532" s="6"/>
      <c r="N532" s="6">
        <f t="shared" ref="N532:P532" si="535">IF(LEN($C532)&gt;0,H532-E532,"")</f>
        <v>-125584.3837</v>
      </c>
      <c r="O532" s="6">
        <f t="shared" si="535"/>
        <v>-4.044716919</v>
      </c>
      <c r="P532" s="6">
        <f t="shared" si="535"/>
        <v>-0.757711186</v>
      </c>
      <c r="Q532" s="6"/>
      <c r="R532" s="6"/>
      <c r="S532" s="6"/>
      <c r="T532" s="6"/>
      <c r="U532" s="6"/>
      <c r="V532" s="6"/>
      <c r="W532" s="6"/>
      <c r="X532" s="6"/>
      <c r="Y532" s="6"/>
      <c r="Z532" s="6"/>
      <c r="AA532" s="6"/>
      <c r="AB532" s="6"/>
      <c r="AC532" s="6"/>
      <c r="AD532" s="6"/>
      <c r="AE532" s="6"/>
      <c r="AF532" s="6"/>
      <c r="AG532" s="6"/>
    </row>
    <row r="533" ht="14.25" customHeight="1">
      <c r="A533" s="6"/>
      <c r="B533" s="6"/>
      <c r="C533" s="6">
        <v>526.0</v>
      </c>
      <c r="D533" s="6"/>
      <c r="E533" s="6">
        <v>5247985.9681666605</v>
      </c>
      <c r="F533" s="6">
        <v>433.6286298259906</v>
      </c>
      <c r="G533" s="6">
        <v>5.232158763954975</v>
      </c>
      <c r="H533" s="6">
        <v>5173018.747557375</v>
      </c>
      <c r="I533" s="6">
        <v>431.323991897101</v>
      </c>
      <c r="J533" s="6">
        <v>3.844462446036024</v>
      </c>
      <c r="K533" s="6"/>
      <c r="L533" s="6"/>
      <c r="M533" s="6"/>
      <c r="N533" s="6">
        <f t="shared" ref="N533:P533" si="536">IF(LEN($C533)&gt;0,H533-E533,"")</f>
        <v>-74967.22061</v>
      </c>
      <c r="O533" s="6">
        <f t="shared" si="536"/>
        <v>-2.304637929</v>
      </c>
      <c r="P533" s="6">
        <f t="shared" si="536"/>
        <v>-1.387696318</v>
      </c>
      <c r="Q533" s="6"/>
      <c r="R533" s="6"/>
      <c r="S533" s="6"/>
      <c r="T533" s="6"/>
      <c r="U533" s="6"/>
      <c r="V533" s="6"/>
      <c r="W533" s="6"/>
      <c r="X533" s="6"/>
      <c r="Y533" s="6"/>
      <c r="Z533" s="6"/>
      <c r="AA533" s="6"/>
      <c r="AB533" s="6"/>
      <c r="AC533" s="6"/>
      <c r="AD533" s="6"/>
      <c r="AE533" s="6"/>
      <c r="AF533" s="6"/>
      <c r="AG533" s="6"/>
    </row>
    <row r="534" ht="14.25" customHeight="1">
      <c r="A534" s="6"/>
      <c r="B534" s="6"/>
      <c r="C534" s="6">
        <v>527.0</v>
      </c>
      <c r="D534" s="6"/>
      <c r="E534" s="6">
        <v>7937209.702334214</v>
      </c>
      <c r="F534" s="6">
        <v>462.6164817173175</v>
      </c>
      <c r="G534" s="6">
        <v>4.844371991956362</v>
      </c>
      <c r="H534" s="6">
        <v>7814240.1688004555</v>
      </c>
      <c r="I534" s="6">
        <v>457.06695590230674</v>
      </c>
      <c r="J534" s="6">
        <v>4.007429004301929</v>
      </c>
      <c r="K534" s="6"/>
      <c r="L534" s="6"/>
      <c r="M534" s="6"/>
      <c r="N534" s="6">
        <f t="shared" ref="N534:P534" si="537">IF(LEN($C534)&gt;0,H534-E534,"")</f>
        <v>-122969.5335</v>
      </c>
      <c r="O534" s="6">
        <f t="shared" si="537"/>
        <v>-5.549525815</v>
      </c>
      <c r="P534" s="6">
        <f t="shared" si="537"/>
        <v>-0.8369429877</v>
      </c>
      <c r="Q534" s="6"/>
      <c r="R534" s="6"/>
      <c r="S534" s="6"/>
      <c r="T534" s="6"/>
      <c r="U534" s="6"/>
      <c r="V534" s="6"/>
      <c r="W534" s="6"/>
      <c r="X534" s="6"/>
      <c r="Y534" s="6"/>
      <c r="Z534" s="6"/>
      <c r="AA534" s="6"/>
      <c r="AB534" s="6"/>
      <c r="AC534" s="6"/>
      <c r="AD534" s="6"/>
      <c r="AE534" s="6"/>
      <c r="AF534" s="6"/>
      <c r="AG534" s="6"/>
    </row>
    <row r="535" ht="14.25" customHeight="1">
      <c r="A535" s="6"/>
      <c r="B535" s="6"/>
      <c r="C535" s="6">
        <v>528.0</v>
      </c>
      <c r="D535" s="6"/>
      <c r="E535" s="6">
        <v>6326285.1982260905</v>
      </c>
      <c r="F535" s="6">
        <v>445.9767350670938</v>
      </c>
      <c r="G535" s="6">
        <v>5.032017442135519</v>
      </c>
      <c r="H535" s="6">
        <v>6252062.490755761</v>
      </c>
      <c r="I535" s="6">
        <v>443.34153016457714</v>
      </c>
      <c r="J535" s="6">
        <v>3.8517356722687577</v>
      </c>
      <c r="K535" s="6"/>
      <c r="L535" s="6"/>
      <c r="M535" s="6"/>
      <c r="N535" s="6">
        <f t="shared" ref="N535:P535" si="538">IF(LEN($C535)&gt;0,H535-E535,"")</f>
        <v>-74222.70747</v>
      </c>
      <c r="O535" s="6">
        <f t="shared" si="538"/>
        <v>-2.635204903</v>
      </c>
      <c r="P535" s="6">
        <f t="shared" si="538"/>
        <v>-1.18028177</v>
      </c>
      <c r="Q535" s="6"/>
      <c r="R535" s="6"/>
      <c r="S535" s="6"/>
      <c r="T535" s="6"/>
      <c r="U535" s="6"/>
      <c r="V535" s="6"/>
      <c r="W535" s="6"/>
      <c r="X535" s="6"/>
      <c r="Y535" s="6"/>
      <c r="Z535" s="6"/>
      <c r="AA535" s="6"/>
      <c r="AB535" s="6"/>
      <c r="AC535" s="6"/>
      <c r="AD535" s="6"/>
      <c r="AE535" s="6"/>
      <c r="AF535" s="6"/>
      <c r="AG535" s="6"/>
    </row>
    <row r="536" ht="14.25" customHeight="1">
      <c r="A536" s="6"/>
      <c r="B536" s="6"/>
      <c r="C536" s="6">
        <v>529.0</v>
      </c>
      <c r="D536" s="6"/>
      <c r="E536" s="6">
        <v>1.0617054540232792E7</v>
      </c>
      <c r="F536" s="6">
        <v>477.1342272960881</v>
      </c>
      <c r="G536" s="6">
        <v>4.886294539622536</v>
      </c>
      <c r="H536" s="6">
        <v>1.041308043976996E7</v>
      </c>
      <c r="I536" s="6">
        <v>469.80322124609455</v>
      </c>
      <c r="J536" s="6">
        <v>2.8791770898260913</v>
      </c>
      <c r="K536" s="6"/>
      <c r="L536" s="6"/>
      <c r="M536" s="6"/>
      <c r="N536" s="6">
        <f t="shared" ref="N536:P536" si="539">IF(LEN($C536)&gt;0,H536-E536,"")</f>
        <v>-203974.1005</v>
      </c>
      <c r="O536" s="6">
        <f t="shared" si="539"/>
        <v>-7.33100605</v>
      </c>
      <c r="P536" s="6">
        <f t="shared" si="539"/>
        <v>-2.00711745</v>
      </c>
      <c r="Q536" s="6"/>
      <c r="R536" s="6"/>
      <c r="S536" s="6"/>
      <c r="T536" s="6"/>
      <c r="U536" s="6"/>
      <c r="V536" s="6"/>
      <c r="W536" s="6"/>
      <c r="X536" s="6"/>
      <c r="Y536" s="6"/>
      <c r="Z536" s="6"/>
      <c r="AA536" s="6"/>
      <c r="AB536" s="6"/>
      <c r="AC536" s="6"/>
      <c r="AD536" s="6"/>
      <c r="AE536" s="6"/>
      <c r="AF536" s="6"/>
      <c r="AG536" s="6"/>
    </row>
    <row r="537" ht="14.25" customHeight="1">
      <c r="A537" s="6"/>
      <c r="B537" s="6"/>
      <c r="C537" s="6">
        <v>530.0</v>
      </c>
      <c r="D537" s="6"/>
      <c r="E537" s="6">
        <v>8055406.054713948</v>
      </c>
      <c r="F537" s="6">
        <v>438.1697124181362</v>
      </c>
      <c r="G537" s="6">
        <v>4.935965293636682</v>
      </c>
      <c r="H537" s="6">
        <v>7929919.11247285</v>
      </c>
      <c r="I537" s="6">
        <v>433.1238774669244</v>
      </c>
      <c r="J537" s="6">
        <v>3.373911264126472</v>
      </c>
      <c r="K537" s="6"/>
      <c r="L537" s="6"/>
      <c r="M537" s="6"/>
      <c r="N537" s="6">
        <f t="shared" ref="N537:P537" si="540">IF(LEN($C537)&gt;0,H537-E537,"")</f>
        <v>-125486.9422</v>
      </c>
      <c r="O537" s="6">
        <f t="shared" si="540"/>
        <v>-5.045834951</v>
      </c>
      <c r="P537" s="6">
        <f t="shared" si="540"/>
        <v>-1.56205403</v>
      </c>
      <c r="Q537" s="6"/>
      <c r="R537" s="6"/>
      <c r="S537" s="6"/>
      <c r="T537" s="6"/>
      <c r="U537" s="6"/>
      <c r="V537" s="6"/>
      <c r="W537" s="6"/>
      <c r="X537" s="6"/>
      <c r="Y537" s="6"/>
      <c r="Z537" s="6"/>
      <c r="AA537" s="6"/>
      <c r="AB537" s="6"/>
      <c r="AC537" s="6"/>
      <c r="AD537" s="6"/>
      <c r="AE537" s="6"/>
      <c r="AF537" s="6"/>
      <c r="AG537" s="6"/>
    </row>
    <row r="538" ht="14.25" customHeight="1">
      <c r="A538" s="6"/>
      <c r="B538" s="6"/>
      <c r="C538" s="6">
        <v>531.0</v>
      </c>
      <c r="D538" s="6"/>
      <c r="E538" s="6">
        <v>1.0066715662288077E7</v>
      </c>
      <c r="F538" s="6">
        <v>452.7399318616978</v>
      </c>
      <c r="G538" s="6">
        <v>3.780110953336861</v>
      </c>
      <c r="H538" s="6">
        <v>9915816.851277899</v>
      </c>
      <c r="I538" s="6">
        <v>445.0931240086926</v>
      </c>
      <c r="J538" s="6">
        <v>2.763678356357315</v>
      </c>
      <c r="K538" s="6"/>
      <c r="L538" s="6"/>
      <c r="M538" s="6"/>
      <c r="N538" s="6">
        <f t="shared" ref="N538:P538" si="541">IF(LEN($C538)&gt;0,H538-E538,"")</f>
        <v>-150898.811</v>
      </c>
      <c r="O538" s="6">
        <f t="shared" si="541"/>
        <v>-7.646807853</v>
      </c>
      <c r="P538" s="6">
        <f t="shared" si="541"/>
        <v>-1.016432597</v>
      </c>
      <c r="Q538" s="6"/>
      <c r="R538" s="6"/>
      <c r="S538" s="6"/>
      <c r="T538" s="6"/>
      <c r="U538" s="6"/>
      <c r="V538" s="6"/>
      <c r="W538" s="6"/>
      <c r="X538" s="6"/>
      <c r="Y538" s="6"/>
      <c r="Z538" s="6"/>
      <c r="AA538" s="6"/>
      <c r="AB538" s="6"/>
      <c r="AC538" s="6"/>
      <c r="AD538" s="6"/>
      <c r="AE538" s="6"/>
      <c r="AF538" s="6"/>
      <c r="AG538" s="6"/>
    </row>
    <row r="539" ht="14.25" customHeight="1">
      <c r="A539" s="6"/>
      <c r="B539" s="6"/>
      <c r="C539" s="6">
        <v>532.0</v>
      </c>
      <c r="D539" s="6"/>
      <c r="E539" s="6">
        <v>8132147.9092362225</v>
      </c>
      <c r="F539" s="6">
        <v>475.99420222736813</v>
      </c>
      <c r="G539" s="6">
        <v>5.822087604490976</v>
      </c>
      <c r="H539" s="6">
        <v>8049923.229232571</v>
      </c>
      <c r="I539" s="6">
        <v>474.1807377894086</v>
      </c>
      <c r="J539" s="6">
        <v>4.48734041529217</v>
      </c>
      <c r="K539" s="6"/>
      <c r="L539" s="6"/>
      <c r="M539" s="6"/>
      <c r="N539" s="6">
        <f t="shared" ref="N539:P539" si="542">IF(LEN($C539)&gt;0,H539-E539,"")</f>
        <v>-82224.68</v>
      </c>
      <c r="O539" s="6">
        <f t="shared" si="542"/>
        <v>-1.813464438</v>
      </c>
      <c r="P539" s="6">
        <f t="shared" si="542"/>
        <v>-1.334747189</v>
      </c>
      <c r="Q539" s="6"/>
      <c r="R539" s="6"/>
      <c r="S539" s="6"/>
      <c r="T539" s="6"/>
      <c r="U539" s="6"/>
      <c r="V539" s="6"/>
      <c r="W539" s="6"/>
      <c r="X539" s="6"/>
      <c r="Y539" s="6"/>
      <c r="Z539" s="6"/>
      <c r="AA539" s="6"/>
      <c r="AB539" s="6"/>
      <c r="AC539" s="6"/>
      <c r="AD539" s="6"/>
      <c r="AE539" s="6"/>
      <c r="AF539" s="6"/>
      <c r="AG539" s="6"/>
    </row>
    <row r="540" ht="14.25" customHeight="1">
      <c r="A540" s="6"/>
      <c r="B540" s="6"/>
      <c r="C540" s="6">
        <v>533.0</v>
      </c>
      <c r="D540" s="6"/>
      <c r="E540" s="6">
        <v>7945996.16509959</v>
      </c>
      <c r="F540" s="6">
        <v>481.0163314245664</v>
      </c>
      <c r="G540" s="6">
        <v>4.3065665619097215</v>
      </c>
      <c r="H540" s="6">
        <v>7853350.3373805545</v>
      </c>
      <c r="I540" s="6">
        <v>477.23439764596367</v>
      </c>
      <c r="J540" s="6">
        <v>2.9159008526003825</v>
      </c>
      <c r="K540" s="6"/>
      <c r="L540" s="6"/>
      <c r="M540" s="6"/>
      <c r="N540" s="6">
        <f t="shared" ref="N540:P540" si="543">IF(LEN($C540)&gt;0,H540-E540,"")</f>
        <v>-92645.82772</v>
      </c>
      <c r="O540" s="6">
        <f t="shared" si="543"/>
        <v>-3.781933779</v>
      </c>
      <c r="P540" s="6">
        <f t="shared" si="543"/>
        <v>-1.390665709</v>
      </c>
      <c r="Q540" s="6"/>
      <c r="R540" s="6"/>
      <c r="S540" s="6"/>
      <c r="T540" s="6"/>
      <c r="U540" s="6"/>
      <c r="V540" s="6"/>
      <c r="W540" s="6"/>
      <c r="X540" s="6"/>
      <c r="Y540" s="6"/>
      <c r="Z540" s="6"/>
      <c r="AA540" s="6"/>
      <c r="AB540" s="6"/>
      <c r="AC540" s="6"/>
      <c r="AD540" s="6"/>
      <c r="AE540" s="6"/>
      <c r="AF540" s="6"/>
      <c r="AG540" s="6"/>
    </row>
    <row r="541" ht="14.25" customHeight="1">
      <c r="A541" s="6"/>
      <c r="B541" s="6"/>
      <c r="C541" s="6">
        <v>534.0</v>
      </c>
      <c r="D541" s="6"/>
      <c r="E541" s="6">
        <v>8646773.358461857</v>
      </c>
      <c r="F541" s="6">
        <v>459.90693010633106</v>
      </c>
      <c r="G541" s="6">
        <v>6.436706741733627</v>
      </c>
      <c r="H541" s="6">
        <v>8477731.278547011</v>
      </c>
      <c r="I541" s="6">
        <v>453.33519503049075</v>
      </c>
      <c r="J541" s="6">
        <v>4.638746852782299</v>
      </c>
      <c r="K541" s="6"/>
      <c r="L541" s="6"/>
      <c r="M541" s="6"/>
      <c r="N541" s="6">
        <f t="shared" ref="N541:P541" si="544">IF(LEN($C541)&gt;0,H541-E541,"")</f>
        <v>-169042.0799</v>
      </c>
      <c r="O541" s="6">
        <f t="shared" si="544"/>
        <v>-6.571735076</v>
      </c>
      <c r="P541" s="6">
        <f t="shared" si="544"/>
        <v>-1.797959889</v>
      </c>
      <c r="Q541" s="6"/>
      <c r="R541" s="6"/>
      <c r="S541" s="6"/>
      <c r="T541" s="6"/>
      <c r="U541" s="6"/>
      <c r="V541" s="6"/>
      <c r="W541" s="6"/>
      <c r="X541" s="6"/>
      <c r="Y541" s="6"/>
      <c r="Z541" s="6"/>
      <c r="AA541" s="6"/>
      <c r="AB541" s="6"/>
      <c r="AC541" s="6"/>
      <c r="AD541" s="6"/>
      <c r="AE541" s="6"/>
      <c r="AF541" s="6"/>
      <c r="AG541" s="6"/>
    </row>
    <row r="542" ht="14.25" customHeight="1">
      <c r="A542" s="6"/>
      <c r="B542" s="6"/>
      <c r="C542" s="6">
        <v>535.0</v>
      </c>
      <c r="D542" s="6"/>
      <c r="E542" s="6">
        <v>7835753.2936862055</v>
      </c>
      <c r="F542" s="6">
        <v>485.9584148373841</v>
      </c>
      <c r="G542" s="6">
        <v>5.084699686308451</v>
      </c>
      <c r="H542" s="6">
        <v>7729837.945323845</v>
      </c>
      <c r="I542" s="6">
        <v>481.91827748293167</v>
      </c>
      <c r="J542" s="6">
        <v>3.6915622238844463</v>
      </c>
      <c r="K542" s="6"/>
      <c r="L542" s="6"/>
      <c r="M542" s="6"/>
      <c r="N542" s="6">
        <f t="shared" ref="N542:P542" si="545">IF(LEN($C542)&gt;0,H542-E542,"")</f>
        <v>-105915.3484</v>
      </c>
      <c r="O542" s="6">
        <f t="shared" si="545"/>
        <v>-4.040137354</v>
      </c>
      <c r="P542" s="6">
        <f t="shared" si="545"/>
        <v>-1.393137462</v>
      </c>
      <c r="Q542" s="6"/>
      <c r="R542" s="6"/>
      <c r="S542" s="6"/>
      <c r="T542" s="6"/>
      <c r="U542" s="6"/>
      <c r="V542" s="6"/>
      <c r="W542" s="6"/>
      <c r="X542" s="6"/>
      <c r="Y542" s="6"/>
      <c r="Z542" s="6"/>
      <c r="AA542" s="6"/>
      <c r="AB542" s="6"/>
      <c r="AC542" s="6"/>
      <c r="AD542" s="6"/>
      <c r="AE542" s="6"/>
      <c r="AF542" s="6"/>
      <c r="AG542" s="6"/>
    </row>
    <row r="543" ht="14.25" customHeight="1">
      <c r="A543" s="6"/>
      <c r="B543" s="6"/>
      <c r="C543" s="6">
        <v>536.0</v>
      </c>
      <c r="D543" s="6"/>
      <c r="E543" s="6">
        <v>6467038.938552838</v>
      </c>
      <c r="F543" s="6">
        <v>482.4388095218545</v>
      </c>
      <c r="G543" s="6">
        <v>5.336565150039772</v>
      </c>
      <c r="H543" s="6">
        <v>6372764.522361355</v>
      </c>
      <c r="I543" s="6">
        <v>478.5896696758032</v>
      </c>
      <c r="J543" s="6">
        <v>3.867794943322476</v>
      </c>
      <c r="K543" s="6"/>
      <c r="L543" s="6"/>
      <c r="M543" s="6"/>
      <c r="N543" s="6">
        <f t="shared" ref="N543:P543" si="546">IF(LEN($C543)&gt;0,H543-E543,"")</f>
        <v>-94274.41619</v>
      </c>
      <c r="O543" s="6">
        <f t="shared" si="546"/>
        <v>-3.849139846</v>
      </c>
      <c r="P543" s="6">
        <f t="shared" si="546"/>
        <v>-1.468770207</v>
      </c>
      <c r="Q543" s="6"/>
      <c r="R543" s="6"/>
      <c r="S543" s="6"/>
      <c r="T543" s="6"/>
      <c r="U543" s="6"/>
      <c r="V543" s="6"/>
      <c r="W543" s="6"/>
      <c r="X543" s="6"/>
      <c r="Y543" s="6"/>
      <c r="Z543" s="6"/>
      <c r="AA543" s="6"/>
      <c r="AB543" s="6"/>
      <c r="AC543" s="6"/>
      <c r="AD543" s="6"/>
      <c r="AE543" s="6"/>
      <c r="AF543" s="6"/>
      <c r="AG543" s="6"/>
    </row>
    <row r="544" ht="14.25" customHeight="1">
      <c r="A544" s="6"/>
      <c r="B544" s="6"/>
      <c r="C544" s="6">
        <v>537.0</v>
      </c>
      <c r="D544" s="6"/>
      <c r="E544" s="6">
        <v>7356078.796155864</v>
      </c>
      <c r="F544" s="6">
        <v>459.49912740912964</v>
      </c>
      <c r="G544" s="6">
        <v>5.29019450853394</v>
      </c>
      <c r="H544" s="6">
        <v>7161060.84153266</v>
      </c>
      <c r="I544" s="6">
        <v>451.2390365198734</v>
      </c>
      <c r="J544" s="6">
        <v>3.674550738474299</v>
      </c>
      <c r="K544" s="6"/>
      <c r="L544" s="6"/>
      <c r="M544" s="6"/>
      <c r="N544" s="6">
        <f t="shared" ref="N544:P544" si="547">IF(LEN($C544)&gt;0,H544-E544,"")</f>
        <v>-195017.9546</v>
      </c>
      <c r="O544" s="6">
        <f t="shared" si="547"/>
        <v>-8.260090889</v>
      </c>
      <c r="P544" s="6">
        <f t="shared" si="547"/>
        <v>-1.61564377</v>
      </c>
      <c r="Q544" s="6"/>
      <c r="R544" s="6"/>
      <c r="S544" s="6"/>
      <c r="T544" s="6"/>
      <c r="U544" s="6"/>
      <c r="V544" s="6"/>
      <c r="W544" s="6"/>
      <c r="X544" s="6"/>
      <c r="Y544" s="6"/>
      <c r="Z544" s="6"/>
      <c r="AA544" s="6"/>
      <c r="AB544" s="6"/>
      <c r="AC544" s="6"/>
      <c r="AD544" s="6"/>
      <c r="AE544" s="6"/>
      <c r="AF544" s="6"/>
      <c r="AG544" s="6"/>
    </row>
    <row r="545" ht="14.25" customHeight="1">
      <c r="A545" s="6"/>
      <c r="B545" s="6"/>
      <c r="C545" s="6">
        <v>538.0</v>
      </c>
      <c r="D545" s="6"/>
      <c r="E545" s="6">
        <v>8150513.479229668</v>
      </c>
      <c r="F545" s="6">
        <v>492.54432004455316</v>
      </c>
      <c r="G545" s="6">
        <v>4.025128959219175</v>
      </c>
      <c r="H545" s="6">
        <v>8056983.662546773</v>
      </c>
      <c r="I545" s="6">
        <v>489.7680777629604</v>
      </c>
      <c r="J545" s="6">
        <v>2.9775422100279547</v>
      </c>
      <c r="K545" s="6"/>
      <c r="L545" s="6"/>
      <c r="M545" s="6"/>
      <c r="N545" s="6">
        <f t="shared" ref="N545:P545" si="548">IF(LEN($C545)&gt;0,H545-E545,"")</f>
        <v>-93529.81668</v>
      </c>
      <c r="O545" s="6">
        <f t="shared" si="548"/>
        <v>-2.776242282</v>
      </c>
      <c r="P545" s="6">
        <f t="shared" si="548"/>
        <v>-1.047586749</v>
      </c>
      <c r="Q545" s="6"/>
      <c r="R545" s="6"/>
      <c r="S545" s="6"/>
      <c r="T545" s="6"/>
      <c r="U545" s="6"/>
      <c r="V545" s="6"/>
      <c r="W545" s="6"/>
      <c r="X545" s="6"/>
      <c r="Y545" s="6"/>
      <c r="Z545" s="6"/>
      <c r="AA545" s="6"/>
      <c r="AB545" s="6"/>
      <c r="AC545" s="6"/>
      <c r="AD545" s="6"/>
      <c r="AE545" s="6"/>
      <c r="AF545" s="6"/>
      <c r="AG545" s="6"/>
    </row>
    <row r="546" ht="14.25" customHeight="1">
      <c r="A546" s="6"/>
      <c r="B546" s="6"/>
      <c r="C546" s="6">
        <v>539.0</v>
      </c>
      <c r="D546" s="6"/>
      <c r="E546" s="6">
        <v>7598128.802096345</v>
      </c>
      <c r="F546" s="6">
        <v>490.7072418273966</v>
      </c>
      <c r="G546" s="6">
        <v>4.232918204072137</v>
      </c>
      <c r="H546" s="6">
        <v>7542094.219588803</v>
      </c>
      <c r="I546" s="6">
        <v>488.3163492359188</v>
      </c>
      <c r="J546" s="6">
        <v>3.424107412499337</v>
      </c>
      <c r="K546" s="6"/>
      <c r="L546" s="6"/>
      <c r="M546" s="6"/>
      <c r="N546" s="6">
        <f t="shared" ref="N546:P546" si="549">IF(LEN($C546)&gt;0,H546-E546,"")</f>
        <v>-56034.58251</v>
      </c>
      <c r="O546" s="6">
        <f t="shared" si="549"/>
        <v>-2.390892591</v>
      </c>
      <c r="P546" s="6">
        <f t="shared" si="549"/>
        <v>-0.8088107916</v>
      </c>
      <c r="Q546" s="6"/>
      <c r="R546" s="6"/>
      <c r="S546" s="6"/>
      <c r="T546" s="6"/>
      <c r="U546" s="6"/>
      <c r="V546" s="6"/>
      <c r="W546" s="6"/>
      <c r="X546" s="6"/>
      <c r="Y546" s="6"/>
      <c r="Z546" s="6"/>
      <c r="AA546" s="6"/>
      <c r="AB546" s="6"/>
      <c r="AC546" s="6"/>
      <c r="AD546" s="6"/>
      <c r="AE546" s="6"/>
      <c r="AF546" s="6"/>
      <c r="AG546" s="6"/>
    </row>
    <row r="547" ht="14.25" customHeight="1">
      <c r="A547" s="6"/>
      <c r="B547" s="6"/>
      <c r="C547" s="6">
        <v>540.0</v>
      </c>
      <c r="D547" s="6"/>
      <c r="E547" s="6">
        <v>7489867.079840858</v>
      </c>
      <c r="F547" s="6">
        <v>458.23483081196355</v>
      </c>
      <c r="G547" s="6">
        <v>5.503222396578075</v>
      </c>
      <c r="H547" s="6">
        <v>7357842.727910267</v>
      </c>
      <c r="I547" s="6">
        <v>451.7431487628475</v>
      </c>
      <c r="J547" s="6">
        <v>3.9796549167187902</v>
      </c>
      <c r="K547" s="6"/>
      <c r="L547" s="6"/>
      <c r="M547" s="6"/>
      <c r="N547" s="6">
        <f t="shared" ref="N547:P547" si="550">IF(LEN($C547)&gt;0,H547-E547,"")</f>
        <v>-132024.3519</v>
      </c>
      <c r="O547" s="6">
        <f t="shared" si="550"/>
        <v>-6.491682049</v>
      </c>
      <c r="P547" s="6">
        <f t="shared" si="550"/>
        <v>-1.52356748</v>
      </c>
      <c r="Q547" s="6"/>
      <c r="R547" s="6"/>
      <c r="S547" s="6"/>
      <c r="T547" s="6"/>
      <c r="U547" s="6"/>
      <c r="V547" s="6"/>
      <c r="W547" s="6"/>
      <c r="X547" s="6"/>
      <c r="Y547" s="6"/>
      <c r="Z547" s="6"/>
      <c r="AA547" s="6"/>
      <c r="AB547" s="6"/>
      <c r="AC547" s="6"/>
      <c r="AD547" s="6"/>
      <c r="AE547" s="6"/>
      <c r="AF547" s="6"/>
      <c r="AG547" s="6"/>
    </row>
    <row r="548" ht="14.25" customHeight="1">
      <c r="A548" s="6"/>
      <c r="B548" s="6"/>
      <c r="C548" s="6">
        <v>541.0</v>
      </c>
      <c r="D548" s="6"/>
      <c r="E548" s="6">
        <v>9369050.492227638</v>
      </c>
      <c r="F548" s="6">
        <v>466.78564676135113</v>
      </c>
      <c r="G548" s="6">
        <v>4.797414042117052</v>
      </c>
      <c r="H548" s="6">
        <v>9254061.086068932</v>
      </c>
      <c r="I548" s="6">
        <v>461.6970311835795</v>
      </c>
      <c r="J548" s="6">
        <v>3.4519023862800124</v>
      </c>
      <c r="K548" s="6"/>
      <c r="L548" s="6"/>
      <c r="M548" s="6"/>
      <c r="N548" s="6">
        <f t="shared" ref="N548:P548" si="551">IF(LEN($C548)&gt;0,H548-E548,"")</f>
        <v>-114989.4062</v>
      </c>
      <c r="O548" s="6">
        <f t="shared" si="551"/>
        <v>-5.088615578</v>
      </c>
      <c r="P548" s="6">
        <f t="shared" si="551"/>
        <v>-1.345511656</v>
      </c>
      <c r="Q548" s="6"/>
      <c r="R548" s="6"/>
      <c r="S548" s="6"/>
      <c r="T548" s="6"/>
      <c r="U548" s="6"/>
      <c r="V548" s="6"/>
      <c r="W548" s="6"/>
      <c r="X548" s="6"/>
      <c r="Y548" s="6"/>
      <c r="Z548" s="6"/>
      <c r="AA548" s="6"/>
      <c r="AB548" s="6"/>
      <c r="AC548" s="6"/>
      <c r="AD548" s="6"/>
      <c r="AE548" s="6"/>
      <c r="AF548" s="6"/>
      <c r="AG548" s="6"/>
    </row>
    <row r="549" ht="14.25" customHeight="1">
      <c r="A549" s="6"/>
      <c r="B549" s="6"/>
      <c r="C549" s="6">
        <v>542.0</v>
      </c>
      <c r="D549" s="6"/>
      <c r="E549" s="6">
        <v>6823435.523727937</v>
      </c>
      <c r="F549" s="6">
        <v>473.4305329342904</v>
      </c>
      <c r="G549" s="6">
        <v>4.470494541248814</v>
      </c>
      <c r="H549" s="6">
        <v>6746364.141201096</v>
      </c>
      <c r="I549" s="6">
        <v>471.199696141021</v>
      </c>
      <c r="J549" s="6">
        <v>3.161793098177376</v>
      </c>
      <c r="K549" s="6"/>
      <c r="L549" s="6"/>
      <c r="M549" s="6"/>
      <c r="N549" s="6">
        <f t="shared" ref="N549:P549" si="552">IF(LEN($C549)&gt;0,H549-E549,"")</f>
        <v>-77071.38253</v>
      </c>
      <c r="O549" s="6">
        <f t="shared" si="552"/>
        <v>-2.230836793</v>
      </c>
      <c r="P549" s="6">
        <f t="shared" si="552"/>
        <v>-1.308701443</v>
      </c>
      <c r="Q549" s="6"/>
      <c r="R549" s="6"/>
      <c r="S549" s="6"/>
      <c r="T549" s="6"/>
      <c r="U549" s="6"/>
      <c r="V549" s="6"/>
      <c r="W549" s="6"/>
      <c r="X549" s="6"/>
      <c r="Y549" s="6"/>
      <c r="Z549" s="6"/>
      <c r="AA549" s="6"/>
      <c r="AB549" s="6"/>
      <c r="AC549" s="6"/>
      <c r="AD549" s="6"/>
      <c r="AE549" s="6"/>
      <c r="AF549" s="6"/>
      <c r="AG549" s="6"/>
    </row>
    <row r="550" ht="14.25" customHeight="1">
      <c r="A550" s="6"/>
      <c r="B550" s="6"/>
      <c r="C550" s="6">
        <v>543.0</v>
      </c>
      <c r="D550" s="6"/>
      <c r="E550" s="6">
        <v>7719161.736312603</v>
      </c>
      <c r="F550" s="6">
        <v>480.8956251528639</v>
      </c>
      <c r="G550" s="6">
        <v>4.747465953591065</v>
      </c>
      <c r="H550" s="6">
        <v>7530778.798944919</v>
      </c>
      <c r="I550" s="6">
        <v>476.13853854985683</v>
      </c>
      <c r="J550" s="6">
        <v>3.067072968861612</v>
      </c>
      <c r="K550" s="6"/>
      <c r="L550" s="6"/>
      <c r="M550" s="6"/>
      <c r="N550" s="6">
        <f t="shared" ref="N550:P550" si="553">IF(LEN($C550)&gt;0,H550-E550,"")</f>
        <v>-188382.9374</v>
      </c>
      <c r="O550" s="6">
        <f t="shared" si="553"/>
        <v>-4.757086603</v>
      </c>
      <c r="P550" s="6">
        <f t="shared" si="553"/>
        <v>-1.680392985</v>
      </c>
      <c r="Q550" s="6"/>
      <c r="R550" s="6"/>
      <c r="S550" s="6"/>
      <c r="T550" s="6"/>
      <c r="U550" s="6"/>
      <c r="V550" s="6"/>
      <c r="W550" s="6"/>
      <c r="X550" s="6"/>
      <c r="Y550" s="6"/>
      <c r="Z550" s="6"/>
      <c r="AA550" s="6"/>
      <c r="AB550" s="6"/>
      <c r="AC550" s="6"/>
      <c r="AD550" s="6"/>
      <c r="AE550" s="6"/>
      <c r="AF550" s="6"/>
      <c r="AG550" s="6"/>
    </row>
    <row r="551" ht="14.25" customHeight="1">
      <c r="A551" s="6"/>
      <c r="B551" s="6"/>
      <c r="C551" s="6">
        <v>544.0</v>
      </c>
      <c r="D551" s="6"/>
      <c r="E551" s="6">
        <v>7411815.881633601</v>
      </c>
      <c r="F551" s="6">
        <v>507.0384504145786</v>
      </c>
      <c r="G551" s="6">
        <v>4.960832527078073</v>
      </c>
      <c r="H551" s="6">
        <v>7301605.633682714</v>
      </c>
      <c r="I551" s="6">
        <v>502.827341123433</v>
      </c>
      <c r="J551" s="6">
        <v>3.656129732088372</v>
      </c>
      <c r="K551" s="6"/>
      <c r="L551" s="6"/>
      <c r="M551" s="6"/>
      <c r="N551" s="6">
        <f t="shared" ref="N551:P551" si="554">IF(LEN($C551)&gt;0,H551-E551,"")</f>
        <v>-110210.248</v>
      </c>
      <c r="O551" s="6">
        <f t="shared" si="554"/>
        <v>-4.211109291</v>
      </c>
      <c r="P551" s="6">
        <f t="shared" si="554"/>
        <v>-1.304702795</v>
      </c>
      <c r="Q551" s="6"/>
      <c r="R551" s="6"/>
      <c r="S551" s="6"/>
      <c r="T551" s="6"/>
      <c r="U551" s="6"/>
      <c r="V551" s="6"/>
      <c r="W551" s="6"/>
      <c r="X551" s="6"/>
      <c r="Y551" s="6"/>
      <c r="Z551" s="6"/>
      <c r="AA551" s="6"/>
      <c r="AB551" s="6"/>
      <c r="AC551" s="6"/>
      <c r="AD551" s="6"/>
      <c r="AE551" s="6"/>
      <c r="AF551" s="6"/>
      <c r="AG551" s="6"/>
    </row>
    <row r="552" ht="14.25" customHeight="1">
      <c r="A552" s="6"/>
      <c r="B552" s="6"/>
      <c r="C552" s="6">
        <v>545.0</v>
      </c>
      <c r="D552" s="6"/>
      <c r="E552" s="6">
        <v>8529059.647238007</v>
      </c>
      <c r="F552" s="6">
        <v>463.32546468862176</v>
      </c>
      <c r="G552" s="6">
        <v>5.541589893541318</v>
      </c>
      <c r="H552" s="6">
        <v>8471795.439577412</v>
      </c>
      <c r="I552" s="6">
        <v>461.49059404158095</v>
      </c>
      <c r="J552" s="6">
        <v>4.984023982171211</v>
      </c>
      <c r="K552" s="6"/>
      <c r="L552" s="6"/>
      <c r="M552" s="6"/>
      <c r="N552" s="6">
        <f t="shared" ref="N552:P552" si="555">IF(LEN($C552)&gt;0,H552-E552,"")</f>
        <v>-57264.20766</v>
      </c>
      <c r="O552" s="6">
        <f t="shared" si="555"/>
        <v>-1.834870647</v>
      </c>
      <c r="P552" s="6">
        <f t="shared" si="555"/>
        <v>-0.5575659114</v>
      </c>
      <c r="Q552" s="6"/>
      <c r="R552" s="6"/>
      <c r="S552" s="6"/>
      <c r="T552" s="6"/>
      <c r="U552" s="6"/>
      <c r="V552" s="6"/>
      <c r="W552" s="6"/>
      <c r="X552" s="6"/>
      <c r="Y552" s="6"/>
      <c r="Z552" s="6"/>
      <c r="AA552" s="6"/>
      <c r="AB552" s="6"/>
      <c r="AC552" s="6"/>
      <c r="AD552" s="6"/>
      <c r="AE552" s="6"/>
      <c r="AF552" s="6"/>
      <c r="AG552" s="6"/>
    </row>
    <row r="553" ht="14.25" customHeight="1">
      <c r="A553" s="6"/>
      <c r="B553" s="6"/>
      <c r="C553" s="6">
        <v>546.0</v>
      </c>
      <c r="D553" s="6"/>
      <c r="E553" s="6">
        <v>8009592.779818039</v>
      </c>
      <c r="F553" s="6">
        <v>442.3439425470044</v>
      </c>
      <c r="G553" s="6">
        <v>4.434422251471424</v>
      </c>
      <c r="H553" s="6">
        <v>7934823.563287881</v>
      </c>
      <c r="I553" s="6">
        <v>438.713330146886</v>
      </c>
      <c r="J553" s="6">
        <v>3.436186234689897</v>
      </c>
      <c r="K553" s="6"/>
      <c r="L553" s="6"/>
      <c r="M553" s="6"/>
      <c r="N553" s="6">
        <f t="shared" ref="N553:P553" si="556">IF(LEN($C553)&gt;0,H553-E553,"")</f>
        <v>-74769.21653</v>
      </c>
      <c r="O553" s="6">
        <f t="shared" si="556"/>
        <v>-3.6306124</v>
      </c>
      <c r="P553" s="6">
        <f t="shared" si="556"/>
        <v>-0.9982360168</v>
      </c>
      <c r="Q553" s="6"/>
      <c r="R553" s="6"/>
      <c r="S553" s="6"/>
      <c r="T553" s="6"/>
      <c r="U553" s="6"/>
      <c r="V553" s="6"/>
      <c r="W553" s="6"/>
      <c r="X553" s="6"/>
      <c r="Y553" s="6"/>
      <c r="Z553" s="6"/>
      <c r="AA553" s="6"/>
      <c r="AB553" s="6"/>
      <c r="AC553" s="6"/>
      <c r="AD553" s="6"/>
      <c r="AE553" s="6"/>
      <c r="AF553" s="6"/>
      <c r="AG553" s="6"/>
    </row>
    <row r="554" ht="14.25" customHeight="1">
      <c r="A554" s="6"/>
      <c r="B554" s="6"/>
      <c r="C554" s="6">
        <v>547.0</v>
      </c>
      <c r="D554" s="6"/>
      <c r="E554" s="6">
        <v>9325822.130927876</v>
      </c>
      <c r="F554" s="6">
        <v>433.4168636639744</v>
      </c>
      <c r="G554" s="6">
        <v>3.8639527310431703</v>
      </c>
      <c r="H554" s="6">
        <v>9227996.322938139</v>
      </c>
      <c r="I554" s="6">
        <v>429.3951126549617</v>
      </c>
      <c r="J554" s="6">
        <v>2.8832969389042327</v>
      </c>
      <c r="K554" s="6"/>
      <c r="L554" s="6"/>
      <c r="M554" s="6"/>
      <c r="N554" s="6">
        <f t="shared" ref="N554:P554" si="557">IF(LEN($C554)&gt;0,H554-E554,"")</f>
        <v>-97825.80799</v>
      </c>
      <c r="O554" s="6">
        <f t="shared" si="557"/>
        <v>-4.021751009</v>
      </c>
      <c r="P554" s="6">
        <f t="shared" si="557"/>
        <v>-0.9806557921</v>
      </c>
      <c r="Q554" s="6"/>
      <c r="R554" s="6"/>
      <c r="S554" s="6"/>
      <c r="T554" s="6"/>
      <c r="U554" s="6"/>
      <c r="V554" s="6"/>
      <c r="W554" s="6"/>
      <c r="X554" s="6"/>
      <c r="Y554" s="6"/>
      <c r="Z554" s="6"/>
      <c r="AA554" s="6"/>
      <c r="AB554" s="6"/>
      <c r="AC554" s="6"/>
      <c r="AD554" s="6"/>
      <c r="AE554" s="6"/>
      <c r="AF554" s="6"/>
      <c r="AG554" s="6"/>
    </row>
    <row r="555" ht="14.25" customHeight="1">
      <c r="A555" s="6"/>
      <c r="B555" s="6"/>
      <c r="C555" s="6">
        <v>548.0</v>
      </c>
      <c r="D555" s="6"/>
      <c r="E555" s="6">
        <v>6162411.690400319</v>
      </c>
      <c r="F555" s="6">
        <v>485.4801779066905</v>
      </c>
      <c r="G555" s="6">
        <v>5.577070552881043</v>
      </c>
      <c r="H555" s="6">
        <v>6075815.942867222</v>
      </c>
      <c r="I555" s="6">
        <v>480.6725952822087</v>
      </c>
      <c r="J555" s="6">
        <v>4.396112602263407</v>
      </c>
      <c r="K555" s="6"/>
      <c r="L555" s="6"/>
      <c r="M555" s="6"/>
      <c r="N555" s="6">
        <f t="shared" ref="N555:P555" si="558">IF(LEN($C555)&gt;0,H555-E555,"")</f>
        <v>-86595.74753</v>
      </c>
      <c r="O555" s="6">
        <f t="shared" si="558"/>
        <v>-4.807582624</v>
      </c>
      <c r="P555" s="6">
        <f t="shared" si="558"/>
        <v>-1.180957951</v>
      </c>
      <c r="Q555" s="6"/>
      <c r="R555" s="6"/>
      <c r="S555" s="6"/>
      <c r="T555" s="6"/>
      <c r="U555" s="6"/>
      <c r="V555" s="6"/>
      <c r="W555" s="6"/>
      <c r="X555" s="6"/>
      <c r="Y555" s="6"/>
      <c r="Z555" s="6"/>
      <c r="AA555" s="6"/>
      <c r="AB555" s="6"/>
      <c r="AC555" s="6"/>
      <c r="AD555" s="6"/>
      <c r="AE555" s="6"/>
      <c r="AF555" s="6"/>
      <c r="AG555" s="6"/>
    </row>
    <row r="556" ht="14.25" customHeight="1">
      <c r="A556" s="6"/>
      <c r="B556" s="6"/>
      <c r="C556" s="6">
        <v>549.0</v>
      </c>
      <c r="D556" s="6"/>
      <c r="E556" s="6">
        <v>5127306.54948711</v>
      </c>
      <c r="F556" s="6">
        <v>444.8177276980009</v>
      </c>
      <c r="G556" s="6">
        <v>5.928498670932137</v>
      </c>
      <c r="H556" s="6">
        <v>5067126.957362914</v>
      </c>
      <c r="I556" s="6">
        <v>440.83167691990377</v>
      </c>
      <c r="J556" s="6">
        <v>4.66978444856436</v>
      </c>
      <c r="K556" s="6"/>
      <c r="L556" s="6"/>
      <c r="M556" s="6"/>
      <c r="N556" s="6">
        <f t="shared" ref="N556:P556" si="559">IF(LEN($C556)&gt;0,H556-E556,"")</f>
        <v>-60179.59212</v>
      </c>
      <c r="O556" s="6">
        <f t="shared" si="559"/>
        <v>-3.986050778</v>
      </c>
      <c r="P556" s="6">
        <f t="shared" si="559"/>
        <v>-1.258714222</v>
      </c>
      <c r="Q556" s="6"/>
      <c r="R556" s="6"/>
      <c r="S556" s="6"/>
      <c r="T556" s="6"/>
      <c r="U556" s="6"/>
      <c r="V556" s="6"/>
      <c r="W556" s="6"/>
      <c r="X556" s="6"/>
      <c r="Y556" s="6"/>
      <c r="Z556" s="6"/>
      <c r="AA556" s="6"/>
      <c r="AB556" s="6"/>
      <c r="AC556" s="6"/>
      <c r="AD556" s="6"/>
      <c r="AE556" s="6"/>
      <c r="AF556" s="6"/>
      <c r="AG556" s="6"/>
    </row>
    <row r="557" ht="14.25" customHeight="1">
      <c r="A557" s="6"/>
      <c r="B557" s="6"/>
      <c r="C557" s="6">
        <v>550.0</v>
      </c>
      <c r="D557" s="6"/>
      <c r="E557" s="6">
        <v>9123696.59206471</v>
      </c>
      <c r="F557" s="6">
        <v>436.3762164120661</v>
      </c>
      <c r="G557" s="6">
        <v>5.931348747054307</v>
      </c>
      <c r="H557" s="6">
        <v>9062192.505080571</v>
      </c>
      <c r="I557" s="6">
        <v>434.78728595505646</v>
      </c>
      <c r="J557" s="6">
        <v>5.065312715349314</v>
      </c>
      <c r="K557" s="6"/>
      <c r="L557" s="6"/>
      <c r="M557" s="6"/>
      <c r="N557" s="6">
        <f t="shared" ref="N557:P557" si="560">IF(LEN($C557)&gt;0,H557-E557,"")</f>
        <v>-61504.08698</v>
      </c>
      <c r="O557" s="6">
        <f t="shared" si="560"/>
        <v>-1.588930457</v>
      </c>
      <c r="P557" s="6">
        <f t="shared" si="560"/>
        <v>-0.8660360317</v>
      </c>
      <c r="Q557" s="6"/>
      <c r="R557" s="6"/>
      <c r="S557" s="6"/>
      <c r="T557" s="6"/>
      <c r="U557" s="6"/>
      <c r="V557" s="6"/>
      <c r="W557" s="6"/>
      <c r="X557" s="6"/>
      <c r="Y557" s="6"/>
      <c r="Z557" s="6"/>
      <c r="AA557" s="6"/>
      <c r="AB557" s="6"/>
      <c r="AC557" s="6"/>
      <c r="AD557" s="6"/>
      <c r="AE557" s="6"/>
      <c r="AF557" s="6"/>
      <c r="AG557" s="6"/>
    </row>
    <row r="558" ht="14.25" customHeight="1">
      <c r="A558" s="6"/>
      <c r="B558" s="6"/>
      <c r="C558" s="6">
        <v>551.0</v>
      </c>
      <c r="D558" s="6"/>
      <c r="E558" s="6">
        <v>7009882.236959944</v>
      </c>
      <c r="F558" s="6">
        <v>473.79640363996947</v>
      </c>
      <c r="G558" s="6">
        <v>5.909869960922409</v>
      </c>
      <c r="H558" s="6">
        <v>6887948.008843189</v>
      </c>
      <c r="I558" s="6">
        <v>470.3906482593939</v>
      </c>
      <c r="J558" s="6">
        <v>3.845802194749743</v>
      </c>
      <c r="K558" s="6"/>
      <c r="L558" s="6"/>
      <c r="M558" s="6"/>
      <c r="N558" s="6">
        <f t="shared" ref="N558:P558" si="561">IF(LEN($C558)&gt;0,H558-E558,"")</f>
        <v>-121934.2281</v>
      </c>
      <c r="O558" s="6">
        <f t="shared" si="561"/>
        <v>-3.405755381</v>
      </c>
      <c r="P558" s="6">
        <f t="shared" si="561"/>
        <v>-2.064067766</v>
      </c>
      <c r="Q558" s="6"/>
      <c r="R558" s="6"/>
      <c r="S558" s="6"/>
      <c r="T558" s="6"/>
      <c r="U558" s="6"/>
      <c r="V558" s="6"/>
      <c r="W558" s="6"/>
      <c r="X558" s="6"/>
      <c r="Y558" s="6"/>
      <c r="Z558" s="6"/>
      <c r="AA558" s="6"/>
      <c r="AB558" s="6"/>
      <c r="AC558" s="6"/>
      <c r="AD558" s="6"/>
      <c r="AE558" s="6"/>
      <c r="AF558" s="6"/>
      <c r="AG558" s="6"/>
    </row>
    <row r="559" ht="14.25" customHeight="1">
      <c r="A559" s="6"/>
      <c r="B559" s="6"/>
      <c r="C559" s="6">
        <v>552.0</v>
      </c>
      <c r="D559" s="6"/>
      <c r="E559" s="6">
        <v>7749110.838991254</v>
      </c>
      <c r="F559" s="6">
        <v>490.7969165371517</v>
      </c>
      <c r="G559" s="6">
        <v>5.614964793536292</v>
      </c>
      <c r="H559" s="6">
        <v>7630364.733739297</v>
      </c>
      <c r="I559" s="6">
        <v>486.57286100695904</v>
      </c>
      <c r="J559" s="6">
        <v>4.254649582362011</v>
      </c>
      <c r="K559" s="6"/>
      <c r="L559" s="6"/>
      <c r="M559" s="6"/>
      <c r="N559" s="6">
        <f t="shared" ref="N559:P559" si="562">IF(LEN($C559)&gt;0,H559-E559,"")</f>
        <v>-118746.1053</v>
      </c>
      <c r="O559" s="6">
        <f t="shared" si="562"/>
        <v>-4.22405553</v>
      </c>
      <c r="P559" s="6">
        <f t="shared" si="562"/>
        <v>-1.360315211</v>
      </c>
      <c r="Q559" s="6"/>
      <c r="R559" s="6"/>
      <c r="S559" s="6"/>
      <c r="T559" s="6"/>
      <c r="U559" s="6"/>
      <c r="V559" s="6"/>
      <c r="W559" s="6"/>
      <c r="X559" s="6"/>
      <c r="Y559" s="6"/>
      <c r="Z559" s="6"/>
      <c r="AA559" s="6"/>
      <c r="AB559" s="6"/>
      <c r="AC559" s="6"/>
      <c r="AD559" s="6"/>
      <c r="AE559" s="6"/>
      <c r="AF559" s="6"/>
      <c r="AG559" s="6"/>
    </row>
    <row r="560" ht="14.25" customHeight="1">
      <c r="A560" s="6"/>
      <c r="B560" s="6"/>
      <c r="C560" s="6">
        <v>553.0</v>
      </c>
      <c r="D560" s="6"/>
      <c r="E560" s="6">
        <v>5494762.616876884</v>
      </c>
      <c r="F560" s="6">
        <v>446.0980178116949</v>
      </c>
      <c r="G560" s="6">
        <v>5.30019764468161</v>
      </c>
      <c r="H560" s="6">
        <v>5403770.537571953</v>
      </c>
      <c r="I560" s="6">
        <v>443.2561860482749</v>
      </c>
      <c r="J560" s="6">
        <v>3.9926011532724184</v>
      </c>
      <c r="K560" s="6"/>
      <c r="L560" s="6"/>
      <c r="M560" s="6"/>
      <c r="N560" s="6">
        <f t="shared" ref="N560:P560" si="563">IF(LEN($C560)&gt;0,H560-E560,"")</f>
        <v>-90992.0793</v>
      </c>
      <c r="O560" s="6">
        <f t="shared" si="563"/>
        <v>-2.841831763</v>
      </c>
      <c r="P560" s="6">
        <f t="shared" si="563"/>
        <v>-1.307596491</v>
      </c>
      <c r="Q560" s="6"/>
      <c r="R560" s="6"/>
      <c r="S560" s="6"/>
      <c r="T560" s="6"/>
      <c r="U560" s="6"/>
      <c r="V560" s="6"/>
      <c r="W560" s="6"/>
      <c r="X560" s="6"/>
      <c r="Y560" s="6"/>
      <c r="Z560" s="6"/>
      <c r="AA560" s="6"/>
      <c r="AB560" s="6"/>
      <c r="AC560" s="6"/>
      <c r="AD560" s="6"/>
      <c r="AE560" s="6"/>
      <c r="AF560" s="6"/>
      <c r="AG560" s="6"/>
    </row>
    <row r="561" ht="14.25" customHeight="1">
      <c r="A561" s="6"/>
      <c r="B561" s="6"/>
      <c r="C561" s="6">
        <v>554.0</v>
      </c>
      <c r="D561" s="6"/>
      <c r="E561" s="6">
        <v>9251358.223800628</v>
      </c>
      <c r="F561" s="6">
        <v>466.31467354200896</v>
      </c>
      <c r="G561" s="6">
        <v>4.08306040056348</v>
      </c>
      <c r="H561" s="6">
        <v>9149456.449899282</v>
      </c>
      <c r="I561" s="6">
        <v>461.0934988389293</v>
      </c>
      <c r="J561" s="6">
        <v>3.040826686893103</v>
      </c>
      <c r="K561" s="6"/>
      <c r="L561" s="6"/>
      <c r="M561" s="6"/>
      <c r="N561" s="6">
        <f t="shared" ref="N561:P561" si="564">IF(LEN($C561)&gt;0,H561-E561,"")</f>
        <v>-101901.7739</v>
      </c>
      <c r="O561" s="6">
        <f t="shared" si="564"/>
        <v>-5.221174703</v>
      </c>
      <c r="P561" s="6">
        <f t="shared" si="564"/>
        <v>-1.042233714</v>
      </c>
      <c r="Q561" s="6"/>
      <c r="R561" s="6"/>
      <c r="S561" s="6"/>
      <c r="T561" s="6"/>
      <c r="U561" s="6"/>
      <c r="V561" s="6"/>
      <c r="W561" s="6"/>
      <c r="X561" s="6"/>
      <c r="Y561" s="6"/>
      <c r="Z561" s="6"/>
      <c r="AA561" s="6"/>
      <c r="AB561" s="6"/>
      <c r="AC561" s="6"/>
      <c r="AD561" s="6"/>
      <c r="AE561" s="6"/>
      <c r="AF561" s="6"/>
      <c r="AG561" s="6"/>
    </row>
    <row r="562" ht="14.25" customHeight="1">
      <c r="A562" s="6"/>
      <c r="B562" s="6"/>
      <c r="C562" s="6">
        <v>555.0</v>
      </c>
      <c r="D562" s="6"/>
      <c r="E562" s="6">
        <v>8452291.923776368</v>
      </c>
      <c r="F562" s="6">
        <v>435.21878182535215</v>
      </c>
      <c r="G562" s="6">
        <v>6.069607798486494</v>
      </c>
      <c r="H562" s="6">
        <v>8375297.426436671</v>
      </c>
      <c r="I562" s="6">
        <v>432.5465391050054</v>
      </c>
      <c r="J562" s="6">
        <v>4.686863786599319</v>
      </c>
      <c r="K562" s="6"/>
      <c r="L562" s="6"/>
      <c r="M562" s="6"/>
      <c r="N562" s="6">
        <f t="shared" ref="N562:P562" si="565">IF(LEN($C562)&gt;0,H562-E562,"")</f>
        <v>-76994.49734</v>
      </c>
      <c r="O562" s="6">
        <f t="shared" si="565"/>
        <v>-2.67224272</v>
      </c>
      <c r="P562" s="6">
        <f t="shared" si="565"/>
        <v>-1.382744012</v>
      </c>
      <c r="Q562" s="6"/>
      <c r="R562" s="6"/>
      <c r="S562" s="6"/>
      <c r="T562" s="6"/>
      <c r="U562" s="6"/>
      <c r="V562" s="6"/>
      <c r="W562" s="6"/>
      <c r="X562" s="6"/>
      <c r="Y562" s="6"/>
      <c r="Z562" s="6"/>
      <c r="AA562" s="6"/>
      <c r="AB562" s="6"/>
      <c r="AC562" s="6"/>
      <c r="AD562" s="6"/>
      <c r="AE562" s="6"/>
      <c r="AF562" s="6"/>
      <c r="AG562" s="6"/>
    </row>
    <row r="563" ht="14.25" customHeight="1">
      <c r="A563" s="6"/>
      <c r="B563" s="6"/>
      <c r="C563" s="6">
        <v>556.0</v>
      </c>
      <c r="D563" s="6"/>
      <c r="E563" s="6">
        <v>6411260.029883608</v>
      </c>
      <c r="F563" s="6">
        <v>431.8047739235574</v>
      </c>
      <c r="G563" s="6">
        <v>4.621384382696861</v>
      </c>
      <c r="H563" s="6">
        <v>6360944.971947102</v>
      </c>
      <c r="I563" s="6">
        <v>429.82261724501944</v>
      </c>
      <c r="J563" s="6">
        <v>3.467937267992589</v>
      </c>
      <c r="K563" s="6"/>
      <c r="L563" s="6"/>
      <c r="M563" s="6"/>
      <c r="N563" s="6">
        <f t="shared" ref="N563:P563" si="566">IF(LEN($C563)&gt;0,H563-E563,"")</f>
        <v>-50315.05794</v>
      </c>
      <c r="O563" s="6">
        <f t="shared" si="566"/>
        <v>-1.982156679</v>
      </c>
      <c r="P563" s="6">
        <f t="shared" si="566"/>
        <v>-1.153447115</v>
      </c>
      <c r="Q563" s="6"/>
      <c r="R563" s="6"/>
      <c r="S563" s="6"/>
      <c r="T563" s="6"/>
      <c r="U563" s="6"/>
      <c r="V563" s="6"/>
      <c r="W563" s="6"/>
      <c r="X563" s="6"/>
      <c r="Y563" s="6"/>
      <c r="Z563" s="6"/>
      <c r="AA563" s="6"/>
      <c r="AB563" s="6"/>
      <c r="AC563" s="6"/>
      <c r="AD563" s="6"/>
      <c r="AE563" s="6"/>
      <c r="AF563" s="6"/>
      <c r="AG563" s="6"/>
    </row>
    <row r="564" ht="14.25" customHeight="1">
      <c r="A564" s="6"/>
      <c r="B564" s="6"/>
      <c r="C564" s="6">
        <v>557.0</v>
      </c>
      <c r="D564" s="6"/>
      <c r="E564" s="6">
        <v>8569918.499915224</v>
      </c>
      <c r="F564" s="6">
        <v>503.27910876391917</v>
      </c>
      <c r="G564" s="6">
        <v>5.083678211821735</v>
      </c>
      <c r="H564" s="6">
        <v>8409500.048994115</v>
      </c>
      <c r="I564" s="6">
        <v>496.15414272797534</v>
      </c>
      <c r="J564" s="6">
        <v>3.832976435249309</v>
      </c>
      <c r="K564" s="6"/>
      <c r="L564" s="6"/>
      <c r="M564" s="6"/>
      <c r="N564" s="6">
        <f t="shared" ref="N564:P564" si="567">IF(LEN($C564)&gt;0,H564-E564,"")</f>
        <v>-160418.4509</v>
      </c>
      <c r="O564" s="6">
        <f t="shared" si="567"/>
        <v>-7.124966036</v>
      </c>
      <c r="P564" s="6">
        <f t="shared" si="567"/>
        <v>-1.250701777</v>
      </c>
      <c r="Q564" s="6"/>
      <c r="R564" s="6"/>
      <c r="S564" s="6"/>
      <c r="T564" s="6"/>
      <c r="U564" s="6"/>
      <c r="V564" s="6"/>
      <c r="W564" s="6"/>
      <c r="X564" s="6"/>
      <c r="Y564" s="6"/>
      <c r="Z564" s="6"/>
      <c r="AA564" s="6"/>
      <c r="AB564" s="6"/>
      <c r="AC564" s="6"/>
      <c r="AD564" s="6"/>
      <c r="AE564" s="6"/>
      <c r="AF564" s="6"/>
      <c r="AG564" s="6"/>
    </row>
    <row r="565" ht="14.25" customHeight="1">
      <c r="A565" s="6"/>
      <c r="B565" s="6"/>
      <c r="C565" s="6">
        <v>558.0</v>
      </c>
      <c r="D565" s="6"/>
      <c r="E565" s="6">
        <v>9358276.803333882</v>
      </c>
      <c r="F565" s="6">
        <v>484.25387810123414</v>
      </c>
      <c r="G565" s="6">
        <v>6.130803849098866</v>
      </c>
      <c r="H565" s="6">
        <v>9119352.885432128</v>
      </c>
      <c r="I565" s="6">
        <v>474.30897932363894</v>
      </c>
      <c r="J565" s="6">
        <v>4.0735028870986225</v>
      </c>
      <c r="K565" s="6"/>
      <c r="L565" s="6"/>
      <c r="M565" s="6"/>
      <c r="N565" s="6">
        <f t="shared" ref="N565:P565" si="568">IF(LEN($C565)&gt;0,H565-E565,"")</f>
        <v>-238923.9179</v>
      </c>
      <c r="O565" s="6">
        <f t="shared" si="568"/>
        <v>-9.944898778</v>
      </c>
      <c r="P565" s="6">
        <f t="shared" si="568"/>
        <v>-2.057300962</v>
      </c>
      <c r="Q565" s="6"/>
      <c r="R565" s="6"/>
      <c r="S565" s="6"/>
      <c r="T565" s="6"/>
      <c r="U565" s="6"/>
      <c r="V565" s="6"/>
      <c r="W565" s="6"/>
      <c r="X565" s="6"/>
      <c r="Y565" s="6"/>
      <c r="Z565" s="6"/>
      <c r="AA565" s="6"/>
      <c r="AB565" s="6"/>
      <c r="AC565" s="6"/>
      <c r="AD565" s="6"/>
      <c r="AE565" s="6"/>
      <c r="AF565" s="6"/>
      <c r="AG565" s="6"/>
    </row>
    <row r="566" ht="14.25" customHeight="1">
      <c r="A566" s="6"/>
      <c r="B566" s="6"/>
      <c r="C566" s="6">
        <v>559.0</v>
      </c>
      <c r="D566" s="6"/>
      <c r="E566" s="6">
        <v>6958795.194451078</v>
      </c>
      <c r="F566" s="6">
        <v>445.48139070786306</v>
      </c>
      <c r="G566" s="6">
        <v>5.566954459072503</v>
      </c>
      <c r="H566" s="6">
        <v>6847360.554779127</v>
      </c>
      <c r="I566" s="6">
        <v>441.14149639471384</v>
      </c>
      <c r="J566" s="6">
        <v>4.286871520156215</v>
      </c>
      <c r="K566" s="6"/>
      <c r="L566" s="6"/>
      <c r="M566" s="6"/>
      <c r="N566" s="6">
        <f t="shared" ref="N566:P566" si="569">IF(LEN($C566)&gt;0,H566-E566,"")</f>
        <v>-111434.6397</v>
      </c>
      <c r="O566" s="6">
        <f t="shared" si="569"/>
        <v>-4.339894313</v>
      </c>
      <c r="P566" s="6">
        <f t="shared" si="569"/>
        <v>-1.280082939</v>
      </c>
      <c r="Q566" s="6"/>
      <c r="R566" s="6"/>
      <c r="S566" s="6"/>
      <c r="T566" s="6"/>
      <c r="U566" s="6"/>
      <c r="V566" s="6"/>
      <c r="W566" s="6"/>
      <c r="X566" s="6"/>
      <c r="Y566" s="6"/>
      <c r="Z566" s="6"/>
      <c r="AA566" s="6"/>
      <c r="AB566" s="6"/>
      <c r="AC566" s="6"/>
      <c r="AD566" s="6"/>
      <c r="AE566" s="6"/>
      <c r="AF566" s="6"/>
      <c r="AG566" s="6"/>
    </row>
    <row r="567" ht="14.25" customHeight="1">
      <c r="A567" s="6"/>
      <c r="B567" s="6"/>
      <c r="C567" s="6">
        <v>560.0</v>
      </c>
      <c r="D567" s="6"/>
      <c r="E567" s="6">
        <v>6326355.819331415</v>
      </c>
      <c r="F567" s="6">
        <v>480.03869645893633</v>
      </c>
      <c r="G567" s="6">
        <v>5.004234585002786</v>
      </c>
      <c r="H567" s="6">
        <v>6229827.984158674</v>
      </c>
      <c r="I567" s="6">
        <v>475.9164539306554</v>
      </c>
      <c r="J567" s="6">
        <v>3.707434378317524</v>
      </c>
      <c r="K567" s="6"/>
      <c r="L567" s="6"/>
      <c r="M567" s="6"/>
      <c r="N567" s="6">
        <f t="shared" ref="N567:P567" si="570">IF(LEN($C567)&gt;0,H567-E567,"")</f>
        <v>-96527.83517</v>
      </c>
      <c r="O567" s="6">
        <f t="shared" si="570"/>
        <v>-4.122242528</v>
      </c>
      <c r="P567" s="6">
        <f t="shared" si="570"/>
        <v>-1.296800207</v>
      </c>
      <c r="Q567" s="6"/>
      <c r="R567" s="6"/>
      <c r="S567" s="6"/>
      <c r="T567" s="6"/>
      <c r="U567" s="6"/>
      <c r="V567" s="6"/>
      <c r="W567" s="6"/>
      <c r="X567" s="6"/>
      <c r="Y567" s="6"/>
      <c r="Z567" s="6"/>
      <c r="AA567" s="6"/>
      <c r="AB567" s="6"/>
      <c r="AC567" s="6"/>
      <c r="AD567" s="6"/>
      <c r="AE567" s="6"/>
      <c r="AF567" s="6"/>
      <c r="AG567" s="6"/>
    </row>
    <row r="568" ht="14.25" customHeight="1">
      <c r="A568" s="6"/>
      <c r="B568" s="6"/>
      <c r="C568" s="6">
        <v>561.0</v>
      </c>
      <c r="D568" s="6"/>
      <c r="E568" s="6">
        <v>6340649.5863248175</v>
      </c>
      <c r="F568" s="6">
        <v>474.6431557345484</v>
      </c>
      <c r="G568" s="6">
        <v>4.775885200615883</v>
      </c>
      <c r="H568" s="6">
        <v>6213593.787919273</v>
      </c>
      <c r="I568" s="6">
        <v>469.17907607431056</v>
      </c>
      <c r="J568" s="6">
        <v>3.2669136303737787</v>
      </c>
      <c r="K568" s="6"/>
      <c r="L568" s="6"/>
      <c r="M568" s="6"/>
      <c r="N568" s="6">
        <f t="shared" ref="N568:P568" si="571">IF(LEN($C568)&gt;0,H568-E568,"")</f>
        <v>-127055.7984</v>
      </c>
      <c r="O568" s="6">
        <f t="shared" si="571"/>
        <v>-5.46407966</v>
      </c>
      <c r="P568" s="6">
        <f t="shared" si="571"/>
        <v>-1.50897157</v>
      </c>
      <c r="Q568" s="6"/>
      <c r="R568" s="6"/>
      <c r="S568" s="6"/>
      <c r="T568" s="6"/>
      <c r="U568" s="6"/>
      <c r="V568" s="6"/>
      <c r="W568" s="6"/>
      <c r="X568" s="6"/>
      <c r="Y568" s="6"/>
      <c r="Z568" s="6"/>
      <c r="AA568" s="6"/>
      <c r="AB568" s="6"/>
      <c r="AC568" s="6"/>
      <c r="AD568" s="6"/>
      <c r="AE568" s="6"/>
      <c r="AF568" s="6"/>
      <c r="AG568" s="6"/>
    </row>
    <row r="569" ht="14.25" customHeight="1">
      <c r="A569" s="6"/>
      <c r="B569" s="6"/>
      <c r="C569" s="6">
        <v>562.0</v>
      </c>
      <c r="D569" s="6"/>
      <c r="E569" s="6">
        <v>6676184.9770461535</v>
      </c>
      <c r="F569" s="6">
        <v>435.47445785603884</v>
      </c>
      <c r="G569" s="6">
        <v>5.188481566947795</v>
      </c>
      <c r="H569" s="6">
        <v>6604536.680924257</v>
      </c>
      <c r="I569" s="6">
        <v>432.4841352026343</v>
      </c>
      <c r="J569" s="6">
        <v>3.979348385213</v>
      </c>
      <c r="K569" s="6"/>
      <c r="L569" s="6"/>
      <c r="M569" s="6"/>
      <c r="N569" s="6">
        <f t="shared" ref="N569:P569" si="572">IF(LEN($C569)&gt;0,H569-E569,"")</f>
        <v>-71648.29612</v>
      </c>
      <c r="O569" s="6">
        <f t="shared" si="572"/>
        <v>-2.990322653</v>
      </c>
      <c r="P569" s="6">
        <f t="shared" si="572"/>
        <v>-1.209133182</v>
      </c>
      <c r="Q569" s="6"/>
      <c r="R569" s="6"/>
      <c r="S569" s="6"/>
      <c r="T569" s="6"/>
      <c r="U569" s="6"/>
      <c r="V569" s="6"/>
      <c r="W569" s="6"/>
      <c r="X569" s="6"/>
      <c r="Y569" s="6"/>
      <c r="Z569" s="6"/>
      <c r="AA569" s="6"/>
      <c r="AB569" s="6"/>
      <c r="AC569" s="6"/>
      <c r="AD569" s="6"/>
      <c r="AE569" s="6"/>
      <c r="AF569" s="6"/>
      <c r="AG569" s="6"/>
    </row>
    <row r="570" ht="14.25" customHeight="1">
      <c r="A570" s="6"/>
      <c r="B570" s="6"/>
      <c r="C570" s="6">
        <v>563.0</v>
      </c>
      <c r="D570" s="6"/>
      <c r="E570" s="6">
        <v>8411877.0333325</v>
      </c>
      <c r="F570" s="6">
        <v>487.29999756481976</v>
      </c>
      <c r="G570" s="6">
        <v>5.4256696246003795</v>
      </c>
      <c r="H570" s="6">
        <v>8289967.501838466</v>
      </c>
      <c r="I570" s="6">
        <v>482.7510019246466</v>
      </c>
      <c r="J570" s="6">
        <v>4.060141518404443</v>
      </c>
      <c r="K570" s="6"/>
      <c r="L570" s="6"/>
      <c r="M570" s="6"/>
      <c r="N570" s="6">
        <f t="shared" ref="N570:P570" si="573">IF(LEN($C570)&gt;0,H570-E570,"")</f>
        <v>-121909.5315</v>
      </c>
      <c r="O570" s="6">
        <f t="shared" si="573"/>
        <v>-4.54899564</v>
      </c>
      <c r="P570" s="6">
        <f t="shared" si="573"/>
        <v>-1.365528106</v>
      </c>
      <c r="Q570" s="6"/>
      <c r="R570" s="6"/>
      <c r="S570" s="6"/>
      <c r="T570" s="6"/>
      <c r="U570" s="6"/>
      <c r="V570" s="6"/>
      <c r="W570" s="6"/>
      <c r="X570" s="6"/>
      <c r="Y570" s="6"/>
      <c r="Z570" s="6"/>
      <c r="AA570" s="6"/>
      <c r="AB570" s="6"/>
      <c r="AC570" s="6"/>
      <c r="AD570" s="6"/>
      <c r="AE570" s="6"/>
      <c r="AF570" s="6"/>
      <c r="AG570" s="6"/>
    </row>
    <row r="571" ht="14.25" customHeight="1">
      <c r="A571" s="6"/>
      <c r="B571" s="6"/>
      <c r="C571" s="6">
        <v>564.0</v>
      </c>
      <c r="D571" s="6"/>
      <c r="E571" s="6">
        <v>7916195.971987133</v>
      </c>
      <c r="F571" s="6">
        <v>477.39120114239347</v>
      </c>
      <c r="G571" s="6">
        <v>4.443145872351384</v>
      </c>
      <c r="H571" s="6">
        <v>7820588.615816381</v>
      </c>
      <c r="I571" s="6">
        <v>473.7946267578723</v>
      </c>
      <c r="J571" s="6">
        <v>3.2871682107246847</v>
      </c>
      <c r="K571" s="6"/>
      <c r="L571" s="6"/>
      <c r="M571" s="6"/>
      <c r="N571" s="6">
        <f t="shared" ref="N571:P571" si="574">IF(LEN($C571)&gt;0,H571-E571,"")</f>
        <v>-95607.35617</v>
      </c>
      <c r="O571" s="6">
        <f t="shared" si="574"/>
        <v>-3.596574385</v>
      </c>
      <c r="P571" s="6">
        <f t="shared" si="574"/>
        <v>-1.155977662</v>
      </c>
      <c r="Q571" s="6"/>
      <c r="R571" s="6"/>
      <c r="S571" s="6"/>
      <c r="T571" s="6"/>
      <c r="U571" s="6"/>
      <c r="V571" s="6"/>
      <c r="W571" s="6"/>
      <c r="X571" s="6"/>
      <c r="Y571" s="6"/>
      <c r="Z571" s="6"/>
      <c r="AA571" s="6"/>
      <c r="AB571" s="6"/>
      <c r="AC571" s="6"/>
      <c r="AD571" s="6"/>
      <c r="AE571" s="6"/>
      <c r="AF571" s="6"/>
      <c r="AG571" s="6"/>
    </row>
    <row r="572" ht="14.25" customHeight="1">
      <c r="A572" s="6"/>
      <c r="B572" s="6"/>
      <c r="C572" s="6">
        <v>565.0</v>
      </c>
      <c r="D572" s="6"/>
      <c r="E572" s="6">
        <v>6465353.381323442</v>
      </c>
      <c r="F572" s="6">
        <v>486.19288376150627</v>
      </c>
      <c r="G572" s="6">
        <v>6.956562671779238</v>
      </c>
      <c r="H572" s="6">
        <v>6289358.980378766</v>
      </c>
      <c r="I572" s="6">
        <v>480.75716566444396</v>
      </c>
      <c r="J572" s="6">
        <v>4.08096869329563</v>
      </c>
      <c r="K572" s="6"/>
      <c r="L572" s="6"/>
      <c r="M572" s="6"/>
      <c r="N572" s="6">
        <f t="shared" ref="N572:P572" si="575">IF(LEN($C572)&gt;0,H572-E572,"")</f>
        <v>-175994.4009</v>
      </c>
      <c r="O572" s="6">
        <f t="shared" si="575"/>
        <v>-5.435718097</v>
      </c>
      <c r="P572" s="6">
        <f t="shared" si="575"/>
        <v>-2.875593978</v>
      </c>
      <c r="Q572" s="6"/>
      <c r="R572" s="6"/>
      <c r="S572" s="6"/>
      <c r="T572" s="6"/>
      <c r="U572" s="6"/>
      <c r="V572" s="6"/>
      <c r="W572" s="6"/>
      <c r="X572" s="6"/>
      <c r="Y572" s="6"/>
      <c r="Z572" s="6"/>
      <c r="AA572" s="6"/>
      <c r="AB572" s="6"/>
      <c r="AC572" s="6"/>
      <c r="AD572" s="6"/>
      <c r="AE572" s="6"/>
      <c r="AF572" s="6"/>
      <c r="AG572" s="6"/>
    </row>
    <row r="573" ht="14.25" customHeight="1">
      <c r="A573" s="6"/>
      <c r="B573" s="6"/>
      <c r="C573" s="6">
        <v>566.0</v>
      </c>
      <c r="D573" s="6"/>
      <c r="E573" s="6">
        <v>6790941.017202858</v>
      </c>
      <c r="F573" s="6">
        <v>472.10473094962015</v>
      </c>
      <c r="G573" s="6">
        <v>5.524858450479899</v>
      </c>
      <c r="H573" s="6">
        <v>6654403.7054378865</v>
      </c>
      <c r="I573" s="6">
        <v>466.09067355048256</v>
      </c>
      <c r="J573" s="6">
        <v>4.029501863180941</v>
      </c>
      <c r="K573" s="6"/>
      <c r="L573" s="6"/>
      <c r="M573" s="6"/>
      <c r="N573" s="6">
        <f t="shared" ref="N573:P573" si="576">IF(LEN($C573)&gt;0,H573-E573,"")</f>
        <v>-136537.3118</v>
      </c>
      <c r="O573" s="6">
        <f t="shared" si="576"/>
        <v>-6.014057399</v>
      </c>
      <c r="P573" s="6">
        <f t="shared" si="576"/>
        <v>-1.495356587</v>
      </c>
      <c r="Q573" s="6"/>
      <c r="R573" s="6"/>
      <c r="S573" s="6"/>
      <c r="T573" s="6"/>
      <c r="U573" s="6"/>
      <c r="V573" s="6"/>
      <c r="W573" s="6"/>
      <c r="X573" s="6"/>
      <c r="Y573" s="6"/>
      <c r="Z573" s="6"/>
      <c r="AA573" s="6"/>
      <c r="AB573" s="6"/>
      <c r="AC573" s="6"/>
      <c r="AD573" s="6"/>
      <c r="AE573" s="6"/>
      <c r="AF573" s="6"/>
      <c r="AG573" s="6"/>
    </row>
    <row r="574" ht="14.25" customHeight="1">
      <c r="A574" s="6"/>
      <c r="B574" s="6"/>
      <c r="C574" s="6">
        <v>567.0</v>
      </c>
      <c r="D574" s="6"/>
      <c r="E574" s="6">
        <v>8641811.488435408</v>
      </c>
      <c r="F574" s="6">
        <v>467.83156259181925</v>
      </c>
      <c r="G574" s="6">
        <v>5.0561045716880795</v>
      </c>
      <c r="H574" s="6">
        <v>8497272.86624721</v>
      </c>
      <c r="I574" s="6">
        <v>461.77989914123464</v>
      </c>
      <c r="J574" s="6">
        <v>3.3143532630904358</v>
      </c>
      <c r="K574" s="6"/>
      <c r="L574" s="6"/>
      <c r="M574" s="6"/>
      <c r="N574" s="6">
        <f t="shared" ref="N574:P574" si="577">IF(LEN($C574)&gt;0,H574-E574,"")</f>
        <v>-144538.6222</v>
      </c>
      <c r="O574" s="6">
        <f t="shared" si="577"/>
        <v>-6.051663451</v>
      </c>
      <c r="P574" s="6">
        <f t="shared" si="577"/>
        <v>-1.741751309</v>
      </c>
      <c r="Q574" s="6"/>
      <c r="R574" s="6"/>
      <c r="S574" s="6"/>
      <c r="T574" s="6"/>
      <c r="U574" s="6"/>
      <c r="V574" s="6"/>
      <c r="W574" s="6"/>
      <c r="X574" s="6"/>
      <c r="Y574" s="6"/>
      <c r="Z574" s="6"/>
      <c r="AA574" s="6"/>
      <c r="AB574" s="6"/>
      <c r="AC574" s="6"/>
      <c r="AD574" s="6"/>
      <c r="AE574" s="6"/>
      <c r="AF574" s="6"/>
      <c r="AG574" s="6"/>
    </row>
    <row r="575" ht="14.25" customHeight="1">
      <c r="A575" s="6"/>
      <c r="B575" s="6"/>
      <c r="C575" s="6">
        <v>568.0</v>
      </c>
      <c r="D575" s="6"/>
      <c r="E575" s="6">
        <v>5066161.714221829</v>
      </c>
      <c r="F575" s="6">
        <v>477.5150965229596</v>
      </c>
      <c r="G575" s="6">
        <v>5.873019381424133</v>
      </c>
      <c r="H575" s="6">
        <v>5009667.571067901</v>
      </c>
      <c r="I575" s="6">
        <v>475.058429081891</v>
      </c>
      <c r="J575" s="6">
        <v>4.8060228791095785</v>
      </c>
      <c r="K575" s="6"/>
      <c r="L575" s="6"/>
      <c r="M575" s="6"/>
      <c r="N575" s="6">
        <f t="shared" ref="N575:P575" si="578">IF(LEN($C575)&gt;0,H575-E575,"")</f>
        <v>-56494.14315</v>
      </c>
      <c r="O575" s="6">
        <f t="shared" si="578"/>
        <v>-2.456667441</v>
      </c>
      <c r="P575" s="6">
        <f t="shared" si="578"/>
        <v>-1.066996502</v>
      </c>
      <c r="Q575" s="6"/>
      <c r="R575" s="6"/>
      <c r="S575" s="6"/>
      <c r="T575" s="6"/>
      <c r="U575" s="6"/>
      <c r="V575" s="6"/>
      <c r="W575" s="6"/>
      <c r="X575" s="6"/>
      <c r="Y575" s="6"/>
      <c r="Z575" s="6"/>
      <c r="AA575" s="6"/>
      <c r="AB575" s="6"/>
      <c r="AC575" s="6"/>
      <c r="AD575" s="6"/>
      <c r="AE575" s="6"/>
      <c r="AF575" s="6"/>
      <c r="AG575" s="6"/>
    </row>
    <row r="576" ht="14.25" customHeight="1">
      <c r="A576" s="6"/>
      <c r="B576" s="6"/>
      <c r="C576" s="6">
        <v>569.0</v>
      </c>
      <c r="D576" s="6"/>
      <c r="E576" s="6">
        <v>4878580.270603986</v>
      </c>
      <c r="F576" s="6">
        <v>478.915267993856</v>
      </c>
      <c r="G576" s="6">
        <v>5.214502078893225</v>
      </c>
      <c r="H576" s="6">
        <v>4843986.885137071</v>
      </c>
      <c r="I576" s="6">
        <v>477.09780958290366</v>
      </c>
      <c r="J576" s="6">
        <v>4.73826501632608</v>
      </c>
      <c r="K576" s="6"/>
      <c r="L576" s="6"/>
      <c r="M576" s="6"/>
      <c r="N576" s="6">
        <f t="shared" ref="N576:P576" si="579">IF(LEN($C576)&gt;0,H576-E576,"")</f>
        <v>-34593.38547</v>
      </c>
      <c r="O576" s="6">
        <f t="shared" si="579"/>
        <v>-1.817458411</v>
      </c>
      <c r="P576" s="6">
        <f t="shared" si="579"/>
        <v>-0.4762370626</v>
      </c>
      <c r="Q576" s="6"/>
      <c r="R576" s="6"/>
      <c r="S576" s="6"/>
      <c r="T576" s="6"/>
      <c r="U576" s="6"/>
      <c r="V576" s="6"/>
      <c r="W576" s="6"/>
      <c r="X576" s="6"/>
      <c r="Y576" s="6"/>
      <c r="Z576" s="6"/>
      <c r="AA576" s="6"/>
      <c r="AB576" s="6"/>
      <c r="AC576" s="6"/>
      <c r="AD576" s="6"/>
      <c r="AE576" s="6"/>
      <c r="AF576" s="6"/>
      <c r="AG576" s="6"/>
    </row>
    <row r="577" ht="14.25" customHeight="1">
      <c r="A577" s="6"/>
      <c r="B577" s="6"/>
      <c r="C577" s="6">
        <v>570.0</v>
      </c>
      <c r="D577" s="6"/>
      <c r="E577" s="6">
        <v>9360732.35833673</v>
      </c>
      <c r="F577" s="6">
        <v>449.99682853575854</v>
      </c>
      <c r="G577" s="6">
        <v>5.847426312019833</v>
      </c>
      <c r="H577" s="6">
        <v>9266021.556833606</v>
      </c>
      <c r="I577" s="6">
        <v>446.1735896008459</v>
      </c>
      <c r="J577" s="6">
        <v>4.715752706659038</v>
      </c>
      <c r="K577" s="6"/>
      <c r="L577" s="6"/>
      <c r="M577" s="6"/>
      <c r="N577" s="6">
        <f t="shared" ref="N577:P577" si="580">IF(LEN($C577)&gt;0,H577-E577,"")</f>
        <v>-94710.8015</v>
      </c>
      <c r="O577" s="6">
        <f t="shared" si="580"/>
        <v>-3.823238935</v>
      </c>
      <c r="P577" s="6">
        <f t="shared" si="580"/>
        <v>-1.131673605</v>
      </c>
      <c r="Q577" s="6"/>
      <c r="R577" s="6"/>
      <c r="S577" s="6"/>
      <c r="T577" s="6"/>
      <c r="U577" s="6"/>
      <c r="V577" s="6"/>
      <c r="W577" s="6"/>
      <c r="X577" s="6"/>
      <c r="Y577" s="6"/>
      <c r="Z577" s="6"/>
      <c r="AA577" s="6"/>
      <c r="AB577" s="6"/>
      <c r="AC577" s="6"/>
      <c r="AD577" s="6"/>
      <c r="AE577" s="6"/>
      <c r="AF577" s="6"/>
      <c r="AG577" s="6"/>
    </row>
    <row r="578" ht="14.25" customHeight="1">
      <c r="A578" s="6"/>
      <c r="B578" s="6"/>
      <c r="C578" s="6">
        <v>571.0</v>
      </c>
      <c r="D578" s="6"/>
      <c r="E578" s="6">
        <v>6543809.218726209</v>
      </c>
      <c r="F578" s="6">
        <v>469.44706694048665</v>
      </c>
      <c r="G578" s="6">
        <v>5.2417583806320005</v>
      </c>
      <c r="H578" s="6">
        <v>6401386.205474575</v>
      </c>
      <c r="I578" s="6">
        <v>463.5899536002516</v>
      </c>
      <c r="J578" s="6">
        <v>3.726430460246209</v>
      </c>
      <c r="K578" s="6"/>
      <c r="L578" s="6"/>
      <c r="M578" s="6"/>
      <c r="N578" s="6">
        <f t="shared" ref="N578:P578" si="581">IF(LEN($C578)&gt;0,H578-E578,"")</f>
        <v>-142423.0133</v>
      </c>
      <c r="O578" s="6">
        <f t="shared" si="581"/>
        <v>-5.85711334</v>
      </c>
      <c r="P578" s="6">
        <f t="shared" si="581"/>
        <v>-1.51532792</v>
      </c>
      <c r="Q578" s="6"/>
      <c r="R578" s="6"/>
      <c r="S578" s="6"/>
      <c r="T578" s="6"/>
      <c r="U578" s="6"/>
      <c r="V578" s="6"/>
      <c r="W578" s="6"/>
      <c r="X578" s="6"/>
      <c r="Y578" s="6"/>
      <c r="Z578" s="6"/>
      <c r="AA578" s="6"/>
      <c r="AB578" s="6"/>
      <c r="AC578" s="6"/>
      <c r="AD578" s="6"/>
      <c r="AE578" s="6"/>
      <c r="AF578" s="6"/>
      <c r="AG578" s="6"/>
    </row>
    <row r="579" ht="14.25" customHeight="1">
      <c r="A579" s="6"/>
      <c r="B579" s="6"/>
      <c r="C579" s="6">
        <v>572.0</v>
      </c>
      <c r="D579" s="6"/>
      <c r="E579" s="6">
        <v>5767022.273340991</v>
      </c>
      <c r="F579" s="6">
        <v>433.45991526892834</v>
      </c>
      <c r="G579" s="6">
        <v>4.193079819204432</v>
      </c>
      <c r="H579" s="6">
        <v>5709226.021776442</v>
      </c>
      <c r="I579" s="6">
        <v>431.2314884976096</v>
      </c>
      <c r="J579" s="6">
        <v>2.941112028714771</v>
      </c>
      <c r="K579" s="6"/>
      <c r="L579" s="6"/>
      <c r="M579" s="6"/>
      <c r="N579" s="6">
        <f t="shared" ref="N579:P579" si="582">IF(LEN($C579)&gt;0,H579-E579,"")</f>
        <v>-57796.25156</v>
      </c>
      <c r="O579" s="6">
        <f t="shared" si="582"/>
        <v>-2.228426771</v>
      </c>
      <c r="P579" s="6">
        <f t="shared" si="582"/>
        <v>-1.25196779</v>
      </c>
      <c r="Q579" s="6"/>
      <c r="R579" s="6"/>
      <c r="S579" s="6"/>
      <c r="T579" s="6"/>
      <c r="U579" s="6"/>
      <c r="V579" s="6"/>
      <c r="W579" s="6"/>
      <c r="X579" s="6"/>
      <c r="Y579" s="6"/>
      <c r="Z579" s="6"/>
      <c r="AA579" s="6"/>
      <c r="AB579" s="6"/>
      <c r="AC579" s="6"/>
      <c r="AD579" s="6"/>
      <c r="AE579" s="6"/>
      <c r="AF579" s="6"/>
      <c r="AG579" s="6"/>
    </row>
    <row r="580" ht="14.25" customHeight="1">
      <c r="A580" s="6"/>
      <c r="B580" s="6"/>
      <c r="C580" s="6">
        <v>573.0</v>
      </c>
      <c r="D580" s="6"/>
      <c r="E580" s="6">
        <v>8612258.456337716</v>
      </c>
      <c r="F580" s="6">
        <v>446.0553063476111</v>
      </c>
      <c r="G580" s="6">
        <v>4.960463112765979</v>
      </c>
      <c r="H580" s="6">
        <v>8445828.661566572</v>
      </c>
      <c r="I580" s="6">
        <v>441.7613166452685</v>
      </c>
      <c r="J580" s="6">
        <v>3.508848818688724</v>
      </c>
      <c r="K580" s="6"/>
      <c r="L580" s="6"/>
      <c r="M580" s="6"/>
      <c r="N580" s="6">
        <f t="shared" ref="N580:P580" si="583">IF(LEN($C580)&gt;0,H580-E580,"")</f>
        <v>-166429.7948</v>
      </c>
      <c r="O580" s="6">
        <f t="shared" si="583"/>
        <v>-4.293989702</v>
      </c>
      <c r="P580" s="6">
        <f t="shared" si="583"/>
        <v>-1.451614294</v>
      </c>
      <c r="Q580" s="6"/>
      <c r="R580" s="6"/>
      <c r="S580" s="6"/>
      <c r="T580" s="6"/>
      <c r="U580" s="6"/>
      <c r="V580" s="6"/>
      <c r="W580" s="6"/>
      <c r="X580" s="6"/>
      <c r="Y580" s="6"/>
      <c r="Z580" s="6"/>
      <c r="AA580" s="6"/>
      <c r="AB580" s="6"/>
      <c r="AC580" s="6"/>
      <c r="AD580" s="6"/>
      <c r="AE580" s="6"/>
      <c r="AF580" s="6"/>
      <c r="AG580" s="6"/>
    </row>
    <row r="581" ht="14.25" customHeight="1">
      <c r="A581" s="6"/>
      <c r="B581" s="6"/>
      <c r="C581" s="6">
        <v>574.0</v>
      </c>
      <c r="D581" s="6"/>
      <c r="E581" s="6">
        <v>6335702.631997983</v>
      </c>
      <c r="F581" s="6">
        <v>444.54071981992087</v>
      </c>
      <c r="G581" s="6">
        <v>5.232339539411824</v>
      </c>
      <c r="H581" s="6">
        <v>6180506.648525628</v>
      </c>
      <c r="I581" s="6">
        <v>438.0548393359827</v>
      </c>
      <c r="J581" s="6">
        <v>4.0077093460400395</v>
      </c>
      <c r="K581" s="6"/>
      <c r="L581" s="6"/>
      <c r="M581" s="6"/>
      <c r="N581" s="6">
        <f t="shared" ref="N581:P581" si="584">IF(LEN($C581)&gt;0,H581-E581,"")</f>
        <v>-155195.9835</v>
      </c>
      <c r="O581" s="6">
        <f t="shared" si="584"/>
        <v>-6.485880484</v>
      </c>
      <c r="P581" s="6">
        <f t="shared" si="584"/>
        <v>-1.224630193</v>
      </c>
      <c r="Q581" s="6"/>
      <c r="R581" s="6"/>
      <c r="S581" s="6"/>
      <c r="T581" s="6"/>
      <c r="U581" s="6"/>
      <c r="V581" s="6"/>
      <c r="W581" s="6"/>
      <c r="X581" s="6"/>
      <c r="Y581" s="6"/>
      <c r="Z581" s="6"/>
      <c r="AA581" s="6"/>
      <c r="AB581" s="6"/>
      <c r="AC581" s="6"/>
      <c r="AD581" s="6"/>
      <c r="AE581" s="6"/>
      <c r="AF581" s="6"/>
      <c r="AG581" s="6"/>
    </row>
    <row r="582" ht="14.25" customHeight="1">
      <c r="A582" s="6"/>
      <c r="B582" s="6"/>
      <c r="C582" s="6">
        <v>575.0</v>
      </c>
      <c r="D582" s="6"/>
      <c r="E582" s="6">
        <v>8282728.6846059635</v>
      </c>
      <c r="F582" s="6">
        <v>473.559474669698</v>
      </c>
      <c r="G582" s="6">
        <v>4.487904711231268</v>
      </c>
      <c r="H582" s="6">
        <v>8211459.410409922</v>
      </c>
      <c r="I582" s="6">
        <v>471.04067380935334</v>
      </c>
      <c r="J582" s="6">
        <v>3.329119899399464</v>
      </c>
      <c r="K582" s="6"/>
      <c r="L582" s="6"/>
      <c r="M582" s="6"/>
      <c r="N582" s="6">
        <f t="shared" ref="N582:P582" si="585">IF(LEN($C582)&gt;0,H582-E582,"")</f>
        <v>-71269.2742</v>
      </c>
      <c r="O582" s="6">
        <f t="shared" si="585"/>
        <v>-2.51880086</v>
      </c>
      <c r="P582" s="6">
        <f t="shared" si="585"/>
        <v>-1.158784812</v>
      </c>
      <c r="Q582" s="6"/>
      <c r="R582" s="6"/>
      <c r="S582" s="6"/>
      <c r="T582" s="6"/>
      <c r="U582" s="6"/>
      <c r="V582" s="6"/>
      <c r="W582" s="6"/>
      <c r="X582" s="6"/>
      <c r="Y582" s="6"/>
      <c r="Z582" s="6"/>
      <c r="AA582" s="6"/>
      <c r="AB582" s="6"/>
      <c r="AC582" s="6"/>
      <c r="AD582" s="6"/>
      <c r="AE582" s="6"/>
      <c r="AF582" s="6"/>
      <c r="AG582" s="6"/>
    </row>
    <row r="583" ht="14.25" customHeight="1">
      <c r="A583" s="6"/>
      <c r="B583" s="6"/>
      <c r="C583" s="6">
        <v>576.0</v>
      </c>
      <c r="D583" s="6"/>
      <c r="E583" s="6">
        <v>6346775.734974019</v>
      </c>
      <c r="F583" s="6">
        <v>465.1420937756599</v>
      </c>
      <c r="G583" s="6">
        <v>6.160058229816691</v>
      </c>
      <c r="H583" s="6">
        <v>6271732.101685132</v>
      </c>
      <c r="I583" s="6">
        <v>462.3092511592658</v>
      </c>
      <c r="J583" s="6">
        <v>4.54164421261653</v>
      </c>
      <c r="K583" s="6"/>
      <c r="L583" s="6"/>
      <c r="M583" s="6"/>
      <c r="N583" s="6">
        <f t="shared" ref="N583:P583" si="586">IF(LEN($C583)&gt;0,H583-E583,"")</f>
        <v>-75043.63329</v>
      </c>
      <c r="O583" s="6">
        <f t="shared" si="586"/>
        <v>-2.832842616</v>
      </c>
      <c r="P583" s="6">
        <f t="shared" si="586"/>
        <v>-1.618414017</v>
      </c>
      <c r="Q583" s="6"/>
      <c r="R583" s="6"/>
      <c r="S583" s="6"/>
      <c r="T583" s="6"/>
      <c r="U583" s="6"/>
      <c r="V583" s="6"/>
      <c r="W583" s="6"/>
      <c r="X583" s="6"/>
      <c r="Y583" s="6"/>
      <c r="Z583" s="6"/>
      <c r="AA583" s="6"/>
      <c r="AB583" s="6"/>
      <c r="AC583" s="6"/>
      <c r="AD583" s="6"/>
      <c r="AE583" s="6"/>
      <c r="AF583" s="6"/>
      <c r="AG583" s="6"/>
    </row>
    <row r="584" ht="14.25" customHeight="1">
      <c r="A584" s="6"/>
      <c r="B584" s="6"/>
      <c r="C584" s="6">
        <v>577.0</v>
      </c>
      <c r="D584" s="6"/>
      <c r="E584" s="6">
        <v>8718769.41744699</v>
      </c>
      <c r="F584" s="6">
        <v>462.70027322079875</v>
      </c>
      <c r="G584" s="6">
        <v>4.382927103649207</v>
      </c>
      <c r="H584" s="6">
        <v>8586345.682607016</v>
      </c>
      <c r="I584" s="6">
        <v>458.82862742887613</v>
      </c>
      <c r="J584" s="6">
        <v>3.0930628094830563</v>
      </c>
      <c r="K584" s="6"/>
      <c r="L584" s="6"/>
      <c r="M584" s="6"/>
      <c r="N584" s="6">
        <f t="shared" ref="N584:P584" si="587">IF(LEN($C584)&gt;0,H584-E584,"")</f>
        <v>-132423.7348</v>
      </c>
      <c r="O584" s="6">
        <f t="shared" si="587"/>
        <v>-3.871645792</v>
      </c>
      <c r="P584" s="6">
        <f t="shared" si="587"/>
        <v>-1.289864294</v>
      </c>
      <c r="Q584" s="6"/>
      <c r="R584" s="6"/>
      <c r="S584" s="6"/>
      <c r="T584" s="6"/>
      <c r="U584" s="6"/>
      <c r="V584" s="6"/>
      <c r="W584" s="6"/>
      <c r="X584" s="6"/>
      <c r="Y584" s="6"/>
      <c r="Z584" s="6"/>
      <c r="AA584" s="6"/>
      <c r="AB584" s="6"/>
      <c r="AC584" s="6"/>
      <c r="AD584" s="6"/>
      <c r="AE584" s="6"/>
      <c r="AF584" s="6"/>
      <c r="AG584" s="6"/>
    </row>
    <row r="585" ht="14.25" customHeight="1">
      <c r="A585" s="6"/>
      <c r="B585" s="6"/>
      <c r="C585" s="6">
        <v>578.0</v>
      </c>
      <c r="D585" s="6"/>
      <c r="E585" s="6">
        <v>7958622.951745752</v>
      </c>
      <c r="F585" s="6">
        <v>476.9560312719338</v>
      </c>
      <c r="G585" s="6">
        <v>5.2351889562166996</v>
      </c>
      <c r="H585" s="6">
        <v>7881870.07560881</v>
      </c>
      <c r="I585" s="6">
        <v>473.53100866905163</v>
      </c>
      <c r="J585" s="6">
        <v>4.145839506828913</v>
      </c>
      <c r="K585" s="6"/>
      <c r="L585" s="6"/>
      <c r="M585" s="6"/>
      <c r="N585" s="6">
        <f t="shared" ref="N585:P585" si="588">IF(LEN($C585)&gt;0,H585-E585,"")</f>
        <v>-76752.87614</v>
      </c>
      <c r="O585" s="6">
        <f t="shared" si="588"/>
        <v>-3.425022603</v>
      </c>
      <c r="P585" s="6">
        <f t="shared" si="588"/>
        <v>-1.089349449</v>
      </c>
      <c r="Q585" s="6"/>
      <c r="R585" s="6"/>
      <c r="S585" s="6"/>
      <c r="T585" s="6"/>
      <c r="U585" s="6"/>
      <c r="V585" s="6"/>
      <c r="W585" s="6"/>
      <c r="X585" s="6"/>
      <c r="Y585" s="6"/>
      <c r="Z585" s="6"/>
      <c r="AA585" s="6"/>
      <c r="AB585" s="6"/>
      <c r="AC585" s="6"/>
      <c r="AD585" s="6"/>
      <c r="AE585" s="6"/>
      <c r="AF585" s="6"/>
      <c r="AG585" s="6"/>
    </row>
    <row r="586" ht="14.25" customHeight="1">
      <c r="A586" s="6"/>
      <c r="B586" s="6"/>
      <c r="C586" s="6">
        <v>579.0</v>
      </c>
      <c r="D586" s="6"/>
      <c r="E586" s="6">
        <v>8534554.797236644</v>
      </c>
      <c r="F586" s="6">
        <v>448.89928681438613</v>
      </c>
      <c r="G586" s="6">
        <v>4.30680659838323</v>
      </c>
      <c r="H586" s="6">
        <v>8393950.12474106</v>
      </c>
      <c r="I586" s="6">
        <v>442.7191148953973</v>
      </c>
      <c r="J586" s="6">
        <v>2.975518716532793</v>
      </c>
      <c r="K586" s="6"/>
      <c r="L586" s="6"/>
      <c r="M586" s="6"/>
      <c r="N586" s="6">
        <f t="shared" ref="N586:P586" si="589">IF(LEN($C586)&gt;0,H586-E586,"")</f>
        <v>-140604.6725</v>
      </c>
      <c r="O586" s="6">
        <f t="shared" si="589"/>
        <v>-6.180171919</v>
      </c>
      <c r="P586" s="6">
        <f t="shared" si="589"/>
        <v>-1.331287882</v>
      </c>
      <c r="Q586" s="6"/>
      <c r="R586" s="6"/>
      <c r="S586" s="6"/>
      <c r="T586" s="6"/>
      <c r="U586" s="6"/>
      <c r="V586" s="6"/>
      <c r="W586" s="6"/>
      <c r="X586" s="6"/>
      <c r="Y586" s="6"/>
      <c r="Z586" s="6"/>
      <c r="AA586" s="6"/>
      <c r="AB586" s="6"/>
      <c r="AC586" s="6"/>
      <c r="AD586" s="6"/>
      <c r="AE586" s="6"/>
      <c r="AF586" s="6"/>
      <c r="AG586" s="6"/>
    </row>
    <row r="587" ht="14.25" customHeight="1">
      <c r="A587" s="6"/>
      <c r="B587" s="6"/>
      <c r="C587" s="6">
        <v>580.0</v>
      </c>
      <c r="D587" s="6"/>
      <c r="E587" s="6">
        <v>6615526.686910511</v>
      </c>
      <c r="F587" s="6">
        <v>453.78202930480234</v>
      </c>
      <c r="G587" s="6">
        <v>6.027161418974463</v>
      </c>
      <c r="H587" s="6">
        <v>6489187.671102362</v>
      </c>
      <c r="I587" s="6">
        <v>449.09481902349467</v>
      </c>
      <c r="J587" s="6">
        <v>4.576116103043086</v>
      </c>
      <c r="K587" s="6"/>
      <c r="L587" s="6"/>
      <c r="M587" s="6"/>
      <c r="N587" s="6">
        <f t="shared" ref="N587:P587" si="590">IF(LEN($C587)&gt;0,H587-E587,"")</f>
        <v>-126339.0158</v>
      </c>
      <c r="O587" s="6">
        <f t="shared" si="590"/>
        <v>-4.687210281</v>
      </c>
      <c r="P587" s="6">
        <f t="shared" si="590"/>
        <v>-1.451045316</v>
      </c>
      <c r="Q587" s="6"/>
      <c r="R587" s="6"/>
      <c r="S587" s="6"/>
      <c r="T587" s="6"/>
      <c r="U587" s="6"/>
      <c r="V587" s="6"/>
      <c r="W587" s="6"/>
      <c r="X587" s="6"/>
      <c r="Y587" s="6"/>
      <c r="Z587" s="6"/>
      <c r="AA587" s="6"/>
      <c r="AB587" s="6"/>
      <c r="AC587" s="6"/>
      <c r="AD587" s="6"/>
      <c r="AE587" s="6"/>
      <c r="AF587" s="6"/>
      <c r="AG587" s="6"/>
    </row>
    <row r="588" ht="14.25" customHeight="1">
      <c r="A588" s="6"/>
      <c r="B588" s="6"/>
      <c r="C588" s="6">
        <v>581.0</v>
      </c>
      <c r="D588" s="6"/>
      <c r="E588" s="6">
        <v>6588730.675560392</v>
      </c>
      <c r="F588" s="6">
        <v>474.9342634329092</v>
      </c>
      <c r="G588" s="6">
        <v>4.322699021770736</v>
      </c>
      <c r="H588" s="6">
        <v>6521813.381214098</v>
      </c>
      <c r="I588" s="6">
        <v>472.7765941349228</v>
      </c>
      <c r="J588" s="6">
        <v>3.2925612287187835</v>
      </c>
      <c r="K588" s="6"/>
      <c r="L588" s="6"/>
      <c r="M588" s="6"/>
      <c r="N588" s="6">
        <f t="shared" ref="N588:P588" si="591">IF(LEN($C588)&gt;0,H588-E588,"")</f>
        <v>-66917.29435</v>
      </c>
      <c r="O588" s="6">
        <f t="shared" si="591"/>
        <v>-2.157669298</v>
      </c>
      <c r="P588" s="6">
        <f t="shared" si="591"/>
        <v>-1.030137793</v>
      </c>
      <c r="Q588" s="6"/>
      <c r="R588" s="6"/>
      <c r="S588" s="6"/>
      <c r="T588" s="6"/>
      <c r="U588" s="6"/>
      <c r="V588" s="6"/>
      <c r="W588" s="6"/>
      <c r="X588" s="6"/>
      <c r="Y588" s="6"/>
      <c r="Z588" s="6"/>
      <c r="AA588" s="6"/>
      <c r="AB588" s="6"/>
      <c r="AC588" s="6"/>
      <c r="AD588" s="6"/>
      <c r="AE588" s="6"/>
      <c r="AF588" s="6"/>
      <c r="AG588" s="6"/>
    </row>
    <row r="589" ht="14.25" customHeight="1">
      <c r="A589" s="6"/>
      <c r="B589" s="6"/>
      <c r="C589" s="6">
        <v>582.0</v>
      </c>
      <c r="D589" s="6"/>
      <c r="E589" s="6">
        <v>7326969.441676961</v>
      </c>
      <c r="F589" s="6">
        <v>439.8652073443676</v>
      </c>
      <c r="G589" s="6">
        <v>5.020273420293535</v>
      </c>
      <c r="H589" s="6">
        <v>7204640.909570392</v>
      </c>
      <c r="I589" s="6">
        <v>435.1024812518686</v>
      </c>
      <c r="J589" s="6">
        <v>3.712397557207832</v>
      </c>
      <c r="K589" s="6"/>
      <c r="L589" s="6"/>
      <c r="M589" s="6"/>
      <c r="N589" s="6">
        <f t="shared" ref="N589:P589" si="592">IF(LEN($C589)&gt;0,H589-E589,"")</f>
        <v>-122328.5321</v>
      </c>
      <c r="O589" s="6">
        <f t="shared" si="592"/>
        <v>-4.762726092</v>
      </c>
      <c r="P589" s="6">
        <f t="shared" si="592"/>
        <v>-1.307875863</v>
      </c>
      <c r="Q589" s="6"/>
      <c r="R589" s="6"/>
      <c r="S589" s="6"/>
      <c r="T589" s="6"/>
      <c r="U589" s="6"/>
      <c r="V589" s="6"/>
      <c r="W589" s="6"/>
      <c r="X589" s="6"/>
      <c r="Y589" s="6"/>
      <c r="Z589" s="6"/>
      <c r="AA589" s="6"/>
      <c r="AB589" s="6"/>
      <c r="AC589" s="6"/>
      <c r="AD589" s="6"/>
      <c r="AE589" s="6"/>
      <c r="AF589" s="6"/>
      <c r="AG589" s="6"/>
    </row>
    <row r="590" ht="14.25" customHeight="1">
      <c r="A590" s="6"/>
      <c r="B590" s="6"/>
      <c r="C590" s="6">
        <v>583.0</v>
      </c>
      <c r="D590" s="6"/>
      <c r="E590" s="6">
        <v>7404138.646672676</v>
      </c>
      <c r="F590" s="6">
        <v>499.84755681944284</v>
      </c>
      <c r="G590" s="6">
        <v>5.362566403349012</v>
      </c>
      <c r="H590" s="6">
        <v>7215270.6436897</v>
      </c>
      <c r="I590" s="6">
        <v>490.9003440546943</v>
      </c>
      <c r="J590" s="6">
        <v>3.6890604585718387</v>
      </c>
      <c r="K590" s="6"/>
      <c r="L590" s="6"/>
      <c r="M590" s="6"/>
      <c r="N590" s="6">
        <f t="shared" ref="N590:P590" si="593">IF(LEN($C590)&gt;0,H590-E590,"")</f>
        <v>-188868.003</v>
      </c>
      <c r="O590" s="6">
        <f t="shared" si="593"/>
        <v>-8.947212765</v>
      </c>
      <c r="P590" s="6">
        <f t="shared" si="593"/>
        <v>-1.673505945</v>
      </c>
      <c r="Q590" s="6"/>
      <c r="R590" s="6"/>
      <c r="S590" s="6"/>
      <c r="T590" s="6"/>
      <c r="U590" s="6"/>
      <c r="V590" s="6"/>
      <c r="W590" s="6"/>
      <c r="X590" s="6"/>
      <c r="Y590" s="6"/>
      <c r="Z590" s="6"/>
      <c r="AA590" s="6"/>
      <c r="AB590" s="6"/>
      <c r="AC590" s="6"/>
      <c r="AD590" s="6"/>
      <c r="AE590" s="6"/>
      <c r="AF590" s="6"/>
      <c r="AG590" s="6"/>
    </row>
    <row r="591" ht="14.25" customHeight="1">
      <c r="A591" s="6"/>
      <c r="B591" s="6"/>
      <c r="C591" s="6">
        <v>584.0</v>
      </c>
      <c r="D591" s="6"/>
      <c r="E591" s="6">
        <v>5994698.528830856</v>
      </c>
      <c r="F591" s="6">
        <v>480.18390330964615</v>
      </c>
      <c r="G591" s="6">
        <v>5.652931855845696</v>
      </c>
      <c r="H591" s="6">
        <v>5954001.568686286</v>
      </c>
      <c r="I591" s="6">
        <v>479.1583686688414</v>
      </c>
      <c r="J591" s="6">
        <v>5.063624063985813</v>
      </c>
      <c r="K591" s="6"/>
      <c r="L591" s="6"/>
      <c r="M591" s="6"/>
      <c r="N591" s="6">
        <f t="shared" ref="N591:P591" si="594">IF(LEN($C591)&gt;0,H591-E591,"")</f>
        <v>-40696.96014</v>
      </c>
      <c r="O591" s="6">
        <f t="shared" si="594"/>
        <v>-1.025534641</v>
      </c>
      <c r="P591" s="6">
        <f t="shared" si="594"/>
        <v>-0.5893077919</v>
      </c>
      <c r="Q591" s="6"/>
      <c r="R591" s="6"/>
      <c r="S591" s="6"/>
      <c r="T591" s="6"/>
      <c r="U591" s="6"/>
      <c r="V591" s="6"/>
      <c r="W591" s="6"/>
      <c r="X591" s="6"/>
      <c r="Y591" s="6"/>
      <c r="Z591" s="6"/>
      <c r="AA591" s="6"/>
      <c r="AB591" s="6"/>
      <c r="AC591" s="6"/>
      <c r="AD591" s="6"/>
      <c r="AE591" s="6"/>
      <c r="AF591" s="6"/>
      <c r="AG591" s="6"/>
    </row>
    <row r="592" ht="14.25" customHeight="1">
      <c r="A592" s="6"/>
      <c r="B592" s="6"/>
      <c r="C592" s="6">
        <v>585.0</v>
      </c>
      <c r="D592" s="6"/>
      <c r="E592" s="6">
        <v>7710431.63333433</v>
      </c>
      <c r="F592" s="6">
        <v>472.44044282312217</v>
      </c>
      <c r="G592" s="6">
        <v>4.882080801491225</v>
      </c>
      <c r="H592" s="6">
        <v>7512711.37365994</v>
      </c>
      <c r="I592" s="6">
        <v>463.0784179285726</v>
      </c>
      <c r="J592" s="6">
        <v>3.411276640860561</v>
      </c>
      <c r="K592" s="6"/>
      <c r="L592" s="6"/>
      <c r="M592" s="6"/>
      <c r="N592" s="6">
        <f t="shared" ref="N592:P592" si="595">IF(LEN($C592)&gt;0,H592-E592,"")</f>
        <v>-197720.2597</v>
      </c>
      <c r="O592" s="6">
        <f t="shared" si="595"/>
        <v>-9.362024895</v>
      </c>
      <c r="P592" s="6">
        <f t="shared" si="595"/>
        <v>-1.470804161</v>
      </c>
      <c r="Q592" s="6"/>
      <c r="R592" s="6"/>
      <c r="S592" s="6"/>
      <c r="T592" s="6"/>
      <c r="U592" s="6"/>
      <c r="V592" s="6"/>
      <c r="W592" s="6"/>
      <c r="X592" s="6"/>
      <c r="Y592" s="6"/>
      <c r="Z592" s="6"/>
      <c r="AA592" s="6"/>
      <c r="AB592" s="6"/>
      <c r="AC592" s="6"/>
      <c r="AD592" s="6"/>
      <c r="AE592" s="6"/>
      <c r="AF592" s="6"/>
      <c r="AG592" s="6"/>
    </row>
    <row r="593" ht="14.25" customHeight="1">
      <c r="A593" s="6"/>
      <c r="B593" s="6"/>
      <c r="C593" s="6">
        <v>586.0</v>
      </c>
      <c r="D593" s="6"/>
      <c r="E593" s="6">
        <v>8847144.354173133</v>
      </c>
      <c r="F593" s="6">
        <v>474.35433996498074</v>
      </c>
      <c r="G593" s="6">
        <v>5.474892199177236</v>
      </c>
      <c r="H593" s="6">
        <v>8702314.591442538</v>
      </c>
      <c r="I593" s="6">
        <v>468.4857042656078</v>
      </c>
      <c r="J593" s="6">
        <v>3.792987708411338</v>
      </c>
      <c r="K593" s="6"/>
      <c r="L593" s="6"/>
      <c r="M593" s="6"/>
      <c r="N593" s="6">
        <f t="shared" ref="N593:P593" si="596">IF(LEN($C593)&gt;0,H593-E593,"")</f>
        <v>-144829.7627</v>
      </c>
      <c r="O593" s="6">
        <f t="shared" si="596"/>
        <v>-5.868635699</v>
      </c>
      <c r="P593" s="6">
        <f t="shared" si="596"/>
        <v>-1.681904491</v>
      </c>
      <c r="Q593" s="6"/>
      <c r="R593" s="6"/>
      <c r="S593" s="6"/>
      <c r="T593" s="6"/>
      <c r="U593" s="6"/>
      <c r="V593" s="6"/>
      <c r="W593" s="6"/>
      <c r="X593" s="6"/>
      <c r="Y593" s="6"/>
      <c r="Z593" s="6"/>
      <c r="AA593" s="6"/>
      <c r="AB593" s="6"/>
      <c r="AC593" s="6"/>
      <c r="AD593" s="6"/>
      <c r="AE593" s="6"/>
      <c r="AF593" s="6"/>
      <c r="AG593" s="6"/>
    </row>
    <row r="594" ht="14.25" customHeight="1">
      <c r="A594" s="6"/>
      <c r="B594" s="6"/>
      <c r="C594" s="6">
        <v>587.0</v>
      </c>
      <c r="D594" s="6"/>
      <c r="E594" s="6">
        <v>6983588.906662685</v>
      </c>
      <c r="F594" s="6">
        <v>468.8111410390317</v>
      </c>
      <c r="G594" s="6">
        <v>6.355463369976155</v>
      </c>
      <c r="H594" s="6">
        <v>6892395.642690663</v>
      </c>
      <c r="I594" s="6">
        <v>465.5831496231316</v>
      </c>
      <c r="J594" s="6">
        <v>4.6662423791225764</v>
      </c>
      <c r="K594" s="6"/>
      <c r="L594" s="6"/>
      <c r="M594" s="6"/>
      <c r="N594" s="6">
        <f t="shared" ref="N594:P594" si="597">IF(LEN($C594)&gt;0,H594-E594,"")</f>
        <v>-91193.26397</v>
      </c>
      <c r="O594" s="6">
        <f t="shared" si="597"/>
        <v>-3.227991416</v>
      </c>
      <c r="P594" s="6">
        <f t="shared" si="597"/>
        <v>-1.689220991</v>
      </c>
      <c r="Q594" s="6"/>
      <c r="R594" s="6"/>
      <c r="S594" s="6"/>
      <c r="T594" s="6"/>
      <c r="U594" s="6"/>
      <c r="V594" s="6"/>
      <c r="W594" s="6"/>
      <c r="X594" s="6"/>
      <c r="Y594" s="6"/>
      <c r="Z594" s="6"/>
      <c r="AA594" s="6"/>
      <c r="AB594" s="6"/>
      <c r="AC594" s="6"/>
      <c r="AD594" s="6"/>
      <c r="AE594" s="6"/>
      <c r="AF594" s="6"/>
      <c r="AG594" s="6"/>
    </row>
    <row r="595" ht="14.25" customHeight="1">
      <c r="A595" s="6"/>
      <c r="B595" s="6"/>
      <c r="C595" s="6">
        <v>588.0</v>
      </c>
      <c r="D595" s="6"/>
      <c r="E595" s="6">
        <v>8805516.397332119</v>
      </c>
      <c r="F595" s="6">
        <v>464.2740337438804</v>
      </c>
      <c r="G595" s="6">
        <v>4.1272635688550166</v>
      </c>
      <c r="H595" s="6">
        <v>8702906.745095901</v>
      </c>
      <c r="I595" s="6">
        <v>459.8879595008182</v>
      </c>
      <c r="J595" s="6">
        <v>2.875687382084903</v>
      </c>
      <c r="K595" s="6"/>
      <c r="L595" s="6"/>
      <c r="M595" s="6"/>
      <c r="N595" s="6">
        <f t="shared" ref="N595:P595" si="598">IF(LEN($C595)&gt;0,H595-E595,"")</f>
        <v>-102609.6522</v>
      </c>
      <c r="O595" s="6">
        <f t="shared" si="598"/>
        <v>-4.386074243</v>
      </c>
      <c r="P595" s="6">
        <f t="shared" si="598"/>
        <v>-1.251576187</v>
      </c>
      <c r="Q595" s="6"/>
      <c r="R595" s="6"/>
      <c r="S595" s="6"/>
      <c r="T595" s="6"/>
      <c r="U595" s="6"/>
      <c r="V595" s="6"/>
      <c r="W595" s="6"/>
      <c r="X595" s="6"/>
      <c r="Y595" s="6"/>
      <c r="Z595" s="6"/>
      <c r="AA595" s="6"/>
      <c r="AB595" s="6"/>
      <c r="AC595" s="6"/>
      <c r="AD595" s="6"/>
      <c r="AE595" s="6"/>
      <c r="AF595" s="6"/>
      <c r="AG595" s="6"/>
    </row>
    <row r="596" ht="14.25" customHeight="1">
      <c r="A596" s="6"/>
      <c r="B596" s="6"/>
      <c r="C596" s="6">
        <v>589.0</v>
      </c>
      <c r="D596" s="6"/>
      <c r="E596" s="6">
        <v>8075821.0335986465</v>
      </c>
      <c r="F596" s="6">
        <v>475.40244841942405</v>
      </c>
      <c r="G596" s="6">
        <v>5.9075185271682225</v>
      </c>
      <c r="H596" s="6">
        <v>7948828.070908062</v>
      </c>
      <c r="I596" s="6">
        <v>472.0396850731011</v>
      </c>
      <c r="J596" s="6">
        <v>4.1371519126060825</v>
      </c>
      <c r="K596" s="6"/>
      <c r="L596" s="6"/>
      <c r="M596" s="6"/>
      <c r="N596" s="6">
        <f t="shared" ref="N596:P596" si="599">IF(LEN($C596)&gt;0,H596-E596,"")</f>
        <v>-126992.9627</v>
      </c>
      <c r="O596" s="6">
        <f t="shared" si="599"/>
        <v>-3.362763346</v>
      </c>
      <c r="P596" s="6">
        <f t="shared" si="599"/>
        <v>-1.770366615</v>
      </c>
      <c r="Q596" s="6"/>
      <c r="R596" s="6"/>
      <c r="S596" s="6"/>
      <c r="T596" s="6"/>
      <c r="U596" s="6"/>
      <c r="V596" s="6"/>
      <c r="W596" s="6"/>
      <c r="X596" s="6"/>
      <c r="Y596" s="6"/>
      <c r="Z596" s="6"/>
      <c r="AA596" s="6"/>
      <c r="AB596" s="6"/>
      <c r="AC596" s="6"/>
      <c r="AD596" s="6"/>
      <c r="AE596" s="6"/>
      <c r="AF596" s="6"/>
      <c r="AG596" s="6"/>
    </row>
    <row r="597" ht="14.25" customHeight="1">
      <c r="A597" s="6"/>
      <c r="B597" s="6"/>
      <c r="C597" s="6">
        <v>590.0</v>
      </c>
      <c r="D597" s="6"/>
      <c r="E597" s="6">
        <v>5908889.737133233</v>
      </c>
      <c r="F597" s="6">
        <v>463.0197322927457</v>
      </c>
      <c r="G597" s="6">
        <v>5.343211988688846</v>
      </c>
      <c r="H597" s="6">
        <v>5850420.737745818</v>
      </c>
      <c r="I597" s="6">
        <v>461.5816560684773</v>
      </c>
      <c r="J597" s="6">
        <v>4.107668656744454</v>
      </c>
      <c r="K597" s="6"/>
      <c r="L597" s="6"/>
      <c r="M597" s="6"/>
      <c r="N597" s="6">
        <f t="shared" ref="N597:P597" si="600">IF(LEN($C597)&gt;0,H597-E597,"")</f>
        <v>-58468.99939</v>
      </c>
      <c r="O597" s="6">
        <f t="shared" si="600"/>
        <v>-1.438076224</v>
      </c>
      <c r="P597" s="6">
        <f t="shared" si="600"/>
        <v>-1.235543332</v>
      </c>
      <c r="Q597" s="6"/>
      <c r="R597" s="6"/>
      <c r="S597" s="6"/>
      <c r="T597" s="6"/>
      <c r="U597" s="6"/>
      <c r="V597" s="6"/>
      <c r="W597" s="6"/>
      <c r="X597" s="6"/>
      <c r="Y597" s="6"/>
      <c r="Z597" s="6"/>
      <c r="AA597" s="6"/>
      <c r="AB597" s="6"/>
      <c r="AC597" s="6"/>
      <c r="AD597" s="6"/>
      <c r="AE597" s="6"/>
      <c r="AF597" s="6"/>
      <c r="AG597" s="6"/>
    </row>
    <row r="598" ht="14.25" customHeight="1">
      <c r="A598" s="6"/>
      <c r="B598" s="6"/>
      <c r="C598" s="6">
        <v>591.0</v>
      </c>
      <c r="D598" s="6"/>
      <c r="E598" s="6">
        <v>7184041.171302208</v>
      </c>
      <c r="F598" s="6">
        <v>430.36968349503377</v>
      </c>
      <c r="G598" s="6">
        <v>4.900558083510289</v>
      </c>
      <c r="H598" s="6">
        <v>7058048.164364815</v>
      </c>
      <c r="I598" s="6">
        <v>426.43239328867594</v>
      </c>
      <c r="J598" s="6">
        <v>3.487717855104549</v>
      </c>
      <c r="K598" s="6"/>
      <c r="L598" s="6"/>
      <c r="M598" s="6"/>
      <c r="N598" s="6">
        <f t="shared" ref="N598:P598" si="601">IF(LEN($C598)&gt;0,H598-E598,"")</f>
        <v>-125993.0069</v>
      </c>
      <c r="O598" s="6">
        <f t="shared" si="601"/>
        <v>-3.937290206</v>
      </c>
      <c r="P598" s="6">
        <f t="shared" si="601"/>
        <v>-1.412840228</v>
      </c>
      <c r="Q598" s="6"/>
      <c r="R598" s="6"/>
      <c r="S598" s="6"/>
      <c r="T598" s="6"/>
      <c r="U598" s="6"/>
      <c r="V598" s="6"/>
      <c r="W598" s="6"/>
      <c r="X598" s="6"/>
      <c r="Y598" s="6"/>
      <c r="Z598" s="6"/>
      <c r="AA598" s="6"/>
      <c r="AB598" s="6"/>
      <c r="AC598" s="6"/>
      <c r="AD598" s="6"/>
      <c r="AE598" s="6"/>
      <c r="AF598" s="6"/>
      <c r="AG598" s="6"/>
    </row>
    <row r="599" ht="14.25" customHeight="1">
      <c r="A599" s="6"/>
      <c r="B599" s="6"/>
      <c r="C599" s="6">
        <v>592.0</v>
      </c>
      <c r="D599" s="6"/>
      <c r="E599" s="6">
        <v>5291387.5021488555</v>
      </c>
      <c r="F599" s="6">
        <v>468.41606449684525</v>
      </c>
      <c r="G599" s="6">
        <v>5.421133710020293</v>
      </c>
      <c r="H599" s="6">
        <v>5168617.4373944495</v>
      </c>
      <c r="I599" s="6">
        <v>462.6553530649133</v>
      </c>
      <c r="J599" s="6">
        <v>3.694466915905439</v>
      </c>
      <c r="K599" s="6"/>
      <c r="L599" s="6"/>
      <c r="M599" s="6"/>
      <c r="N599" s="6">
        <f t="shared" ref="N599:P599" si="602">IF(LEN($C599)&gt;0,H599-E599,"")</f>
        <v>-122770.0648</v>
      </c>
      <c r="O599" s="6">
        <f t="shared" si="602"/>
        <v>-5.760711432</v>
      </c>
      <c r="P599" s="6">
        <f t="shared" si="602"/>
        <v>-1.726666794</v>
      </c>
      <c r="Q599" s="6"/>
      <c r="R599" s="6"/>
      <c r="S599" s="6"/>
      <c r="T599" s="6"/>
      <c r="U599" s="6"/>
      <c r="V599" s="6"/>
      <c r="W599" s="6"/>
      <c r="X599" s="6"/>
      <c r="Y599" s="6"/>
      <c r="Z599" s="6"/>
      <c r="AA599" s="6"/>
      <c r="AB599" s="6"/>
      <c r="AC599" s="6"/>
      <c r="AD599" s="6"/>
      <c r="AE599" s="6"/>
      <c r="AF599" s="6"/>
      <c r="AG599" s="6"/>
    </row>
    <row r="600" ht="14.25" customHeight="1">
      <c r="A600" s="6"/>
      <c r="B600" s="6"/>
      <c r="C600" s="6">
        <v>593.0</v>
      </c>
      <c r="D600" s="6"/>
      <c r="E600" s="6">
        <v>9267214.145874852</v>
      </c>
      <c r="F600" s="6">
        <v>450.5488170430193</v>
      </c>
      <c r="G600" s="6">
        <v>6.115912061934645</v>
      </c>
      <c r="H600" s="6">
        <v>9010619.866912114</v>
      </c>
      <c r="I600" s="6">
        <v>440.64659816782336</v>
      </c>
      <c r="J600" s="6">
        <v>4.035349122646535</v>
      </c>
      <c r="K600" s="6"/>
      <c r="L600" s="6"/>
      <c r="M600" s="6"/>
      <c r="N600" s="6">
        <f t="shared" ref="N600:P600" si="603">IF(LEN($C600)&gt;0,H600-E600,"")</f>
        <v>-256594.279</v>
      </c>
      <c r="O600" s="6">
        <f t="shared" si="603"/>
        <v>-9.902218875</v>
      </c>
      <c r="P600" s="6">
        <f t="shared" si="603"/>
        <v>-2.080562939</v>
      </c>
      <c r="Q600" s="6"/>
      <c r="R600" s="6"/>
      <c r="S600" s="6"/>
      <c r="T600" s="6"/>
      <c r="U600" s="6"/>
      <c r="V600" s="6"/>
      <c r="W600" s="6"/>
      <c r="X600" s="6"/>
      <c r="Y600" s="6"/>
      <c r="Z600" s="6"/>
      <c r="AA600" s="6"/>
      <c r="AB600" s="6"/>
      <c r="AC600" s="6"/>
      <c r="AD600" s="6"/>
      <c r="AE600" s="6"/>
      <c r="AF600" s="6"/>
      <c r="AG600" s="6"/>
    </row>
    <row r="601" ht="14.25" customHeight="1">
      <c r="A601" s="6"/>
      <c r="B601" s="6"/>
      <c r="C601" s="6">
        <v>594.0</v>
      </c>
      <c r="D601" s="6"/>
      <c r="E601" s="6">
        <v>7164971.480009493</v>
      </c>
      <c r="F601" s="6">
        <v>452.808566339957</v>
      </c>
      <c r="G601" s="6">
        <v>5.532398593242453</v>
      </c>
      <c r="H601" s="6">
        <v>7110768.702179354</v>
      </c>
      <c r="I601" s="6">
        <v>450.84386333073326</v>
      </c>
      <c r="J601" s="6">
        <v>4.450324836124696</v>
      </c>
      <c r="K601" s="6"/>
      <c r="L601" s="6"/>
      <c r="M601" s="6"/>
      <c r="N601" s="6">
        <f t="shared" ref="N601:P601" si="604">IF(LEN($C601)&gt;0,H601-E601,"")</f>
        <v>-54202.77783</v>
      </c>
      <c r="O601" s="6">
        <f t="shared" si="604"/>
        <v>-1.964703009</v>
      </c>
      <c r="P601" s="6">
        <f t="shared" si="604"/>
        <v>-1.082073757</v>
      </c>
      <c r="Q601" s="6"/>
      <c r="R601" s="6"/>
      <c r="S601" s="6"/>
      <c r="T601" s="6"/>
      <c r="U601" s="6"/>
      <c r="V601" s="6"/>
      <c r="W601" s="6"/>
      <c r="X601" s="6"/>
      <c r="Y601" s="6"/>
      <c r="Z601" s="6"/>
      <c r="AA601" s="6"/>
      <c r="AB601" s="6"/>
      <c r="AC601" s="6"/>
      <c r="AD601" s="6"/>
      <c r="AE601" s="6"/>
      <c r="AF601" s="6"/>
      <c r="AG601" s="6"/>
    </row>
    <row r="602" ht="14.25" customHeight="1">
      <c r="A602" s="6"/>
      <c r="B602" s="6"/>
      <c r="C602" s="6">
        <v>595.0</v>
      </c>
      <c r="D602" s="6"/>
      <c r="E602" s="6">
        <v>7592059.037079731</v>
      </c>
      <c r="F602" s="6">
        <v>479.32624658607085</v>
      </c>
      <c r="G602" s="6">
        <v>5.884311149711834</v>
      </c>
      <c r="H602" s="6">
        <v>7439139.448046817</v>
      </c>
      <c r="I602" s="6">
        <v>473.61488204902867</v>
      </c>
      <c r="J602" s="6">
        <v>4.151450599388072</v>
      </c>
      <c r="K602" s="6"/>
      <c r="L602" s="6"/>
      <c r="M602" s="6"/>
      <c r="N602" s="6">
        <f t="shared" ref="N602:P602" si="605">IF(LEN($C602)&gt;0,H602-E602,"")</f>
        <v>-152919.589</v>
      </c>
      <c r="O602" s="6">
        <f t="shared" si="605"/>
        <v>-5.711364537</v>
      </c>
      <c r="P602" s="6">
        <f t="shared" si="605"/>
        <v>-1.73286055</v>
      </c>
      <c r="Q602" s="6"/>
      <c r="R602" s="6"/>
      <c r="S602" s="6"/>
      <c r="T602" s="6"/>
      <c r="U602" s="6"/>
      <c r="V602" s="6"/>
      <c r="W602" s="6"/>
      <c r="X602" s="6"/>
      <c r="Y602" s="6"/>
      <c r="Z602" s="6"/>
      <c r="AA602" s="6"/>
      <c r="AB602" s="6"/>
      <c r="AC602" s="6"/>
      <c r="AD602" s="6"/>
      <c r="AE602" s="6"/>
      <c r="AF602" s="6"/>
      <c r="AG602" s="6"/>
    </row>
    <row r="603" ht="14.25" customHeight="1">
      <c r="A603" s="6"/>
      <c r="B603" s="6"/>
      <c r="C603" s="6">
        <v>596.0</v>
      </c>
      <c r="D603" s="6"/>
      <c r="E603" s="6">
        <v>6626195.136130182</v>
      </c>
      <c r="F603" s="6">
        <v>433.7960636443938</v>
      </c>
      <c r="G603" s="6">
        <v>4.194795842295754</v>
      </c>
      <c r="H603" s="6">
        <v>6559892.89300464</v>
      </c>
      <c r="I603" s="6">
        <v>431.10789497579856</v>
      </c>
      <c r="J603" s="6">
        <v>3.4065607682582324</v>
      </c>
      <c r="K603" s="6"/>
      <c r="L603" s="6"/>
      <c r="M603" s="6"/>
      <c r="N603" s="6">
        <f t="shared" ref="N603:P603" si="606">IF(LEN($C603)&gt;0,H603-E603,"")</f>
        <v>-66302.24313</v>
      </c>
      <c r="O603" s="6">
        <f t="shared" si="606"/>
        <v>-2.688168669</v>
      </c>
      <c r="P603" s="6">
        <f t="shared" si="606"/>
        <v>-0.788235074</v>
      </c>
      <c r="Q603" s="6"/>
      <c r="R603" s="6"/>
      <c r="S603" s="6"/>
      <c r="T603" s="6"/>
      <c r="U603" s="6"/>
      <c r="V603" s="6"/>
      <c r="W603" s="6"/>
      <c r="X603" s="6"/>
      <c r="Y603" s="6"/>
      <c r="Z603" s="6"/>
      <c r="AA603" s="6"/>
      <c r="AB603" s="6"/>
      <c r="AC603" s="6"/>
      <c r="AD603" s="6"/>
      <c r="AE603" s="6"/>
      <c r="AF603" s="6"/>
      <c r="AG603" s="6"/>
    </row>
    <row r="604" ht="14.25" customHeight="1">
      <c r="A604" s="6"/>
      <c r="B604" s="6"/>
      <c r="C604" s="6">
        <v>597.0</v>
      </c>
      <c r="D604" s="6"/>
      <c r="E604" s="6">
        <v>9303560.737383928</v>
      </c>
      <c r="F604" s="6">
        <v>432.4306757249216</v>
      </c>
      <c r="G604" s="6">
        <v>5.0284237858836995</v>
      </c>
      <c r="H604" s="6">
        <v>9178451.802487878</v>
      </c>
      <c r="I604" s="6">
        <v>428.36925983171324</v>
      </c>
      <c r="J604" s="6">
        <v>3.6306225901707325</v>
      </c>
      <c r="K604" s="6"/>
      <c r="L604" s="6"/>
      <c r="M604" s="6"/>
      <c r="N604" s="6">
        <f t="shared" ref="N604:P604" si="607">IF(LEN($C604)&gt;0,H604-E604,"")</f>
        <v>-125108.9349</v>
      </c>
      <c r="O604" s="6">
        <f t="shared" si="607"/>
        <v>-4.061415893</v>
      </c>
      <c r="P604" s="6">
        <f t="shared" si="607"/>
        <v>-1.397801196</v>
      </c>
      <c r="Q604" s="6"/>
      <c r="R604" s="6"/>
      <c r="S604" s="6"/>
      <c r="T604" s="6"/>
      <c r="U604" s="6"/>
      <c r="V604" s="6"/>
      <c r="W604" s="6"/>
      <c r="X604" s="6"/>
      <c r="Y604" s="6"/>
      <c r="Z604" s="6"/>
      <c r="AA604" s="6"/>
      <c r="AB604" s="6"/>
      <c r="AC604" s="6"/>
      <c r="AD604" s="6"/>
      <c r="AE604" s="6"/>
      <c r="AF604" s="6"/>
      <c r="AG604" s="6"/>
    </row>
    <row r="605" ht="14.25" customHeight="1">
      <c r="A605" s="6"/>
      <c r="B605" s="6"/>
      <c r="C605" s="6">
        <v>598.0</v>
      </c>
      <c r="D605" s="6"/>
      <c r="E605" s="6">
        <v>6605958.217305455</v>
      </c>
      <c r="F605" s="6">
        <v>460.87978443522627</v>
      </c>
      <c r="G605" s="6">
        <v>3.377546925794835</v>
      </c>
      <c r="H605" s="6">
        <v>6567156.738334481</v>
      </c>
      <c r="I605" s="6">
        <v>459.6762511338789</v>
      </c>
      <c r="J605" s="6">
        <v>2.8061681704600283</v>
      </c>
      <c r="K605" s="6"/>
      <c r="L605" s="6"/>
      <c r="M605" s="6"/>
      <c r="N605" s="6">
        <f t="shared" ref="N605:P605" si="608">IF(LEN($C605)&gt;0,H605-E605,"")</f>
        <v>-38801.47897</v>
      </c>
      <c r="O605" s="6">
        <f t="shared" si="608"/>
        <v>-1.203533301</v>
      </c>
      <c r="P605" s="6">
        <f t="shared" si="608"/>
        <v>-0.5713787553</v>
      </c>
      <c r="Q605" s="6"/>
      <c r="R605" s="6"/>
      <c r="S605" s="6"/>
      <c r="T605" s="6"/>
      <c r="U605" s="6"/>
      <c r="V605" s="6"/>
      <c r="W605" s="6"/>
      <c r="X605" s="6"/>
      <c r="Y605" s="6"/>
      <c r="Z605" s="6"/>
      <c r="AA605" s="6"/>
      <c r="AB605" s="6"/>
      <c r="AC605" s="6"/>
      <c r="AD605" s="6"/>
      <c r="AE605" s="6"/>
      <c r="AF605" s="6"/>
      <c r="AG605" s="6"/>
    </row>
    <row r="606" ht="14.25" customHeight="1">
      <c r="A606" s="6"/>
      <c r="B606" s="6"/>
      <c r="C606" s="6">
        <v>599.0</v>
      </c>
      <c r="D606" s="6"/>
      <c r="E606" s="6">
        <v>7655024.490091457</v>
      </c>
      <c r="F606" s="6">
        <v>476.1454980555679</v>
      </c>
      <c r="G606" s="6">
        <v>4.216353847249259</v>
      </c>
      <c r="H606" s="6">
        <v>7540924.888109683</v>
      </c>
      <c r="I606" s="6">
        <v>473.0057683040918</v>
      </c>
      <c r="J606" s="6">
        <v>2.8339830817567537</v>
      </c>
      <c r="K606" s="6"/>
      <c r="L606" s="6"/>
      <c r="M606" s="6"/>
      <c r="N606" s="6">
        <f t="shared" ref="N606:P606" si="609">IF(LEN($C606)&gt;0,H606-E606,"")</f>
        <v>-114099.602</v>
      </c>
      <c r="O606" s="6">
        <f t="shared" si="609"/>
        <v>-3.139729751</v>
      </c>
      <c r="P606" s="6">
        <f t="shared" si="609"/>
        <v>-1.382370765</v>
      </c>
      <c r="Q606" s="6"/>
      <c r="R606" s="6"/>
      <c r="S606" s="6"/>
      <c r="T606" s="6"/>
      <c r="U606" s="6"/>
      <c r="V606" s="6"/>
      <c r="W606" s="6"/>
      <c r="X606" s="6"/>
      <c r="Y606" s="6"/>
      <c r="Z606" s="6"/>
      <c r="AA606" s="6"/>
      <c r="AB606" s="6"/>
      <c r="AC606" s="6"/>
      <c r="AD606" s="6"/>
      <c r="AE606" s="6"/>
      <c r="AF606" s="6"/>
      <c r="AG606" s="6"/>
    </row>
    <row r="607" ht="14.25" customHeight="1">
      <c r="A607" s="6"/>
      <c r="B607" s="6"/>
      <c r="C607" s="6">
        <v>600.0</v>
      </c>
      <c r="D607" s="6"/>
      <c r="E607" s="6">
        <v>7681982.802089332</v>
      </c>
      <c r="F607" s="6">
        <v>471.7672186223643</v>
      </c>
      <c r="G607" s="6">
        <v>5.152045174361222</v>
      </c>
      <c r="H607" s="6">
        <v>7564222.3453671625</v>
      </c>
      <c r="I607" s="6">
        <v>467.0655354372992</v>
      </c>
      <c r="J607" s="6">
        <v>3.979833061016847</v>
      </c>
      <c r="K607" s="6"/>
      <c r="L607" s="6"/>
      <c r="M607" s="6"/>
      <c r="N607" s="6">
        <f t="shared" ref="N607:P607" si="610">IF(LEN($C607)&gt;0,H607-E607,"")</f>
        <v>-117760.4567</v>
      </c>
      <c r="O607" s="6">
        <f t="shared" si="610"/>
        <v>-4.701683185</v>
      </c>
      <c r="P607" s="6">
        <f t="shared" si="610"/>
        <v>-1.172212113</v>
      </c>
      <c r="Q607" s="6"/>
      <c r="R607" s="6"/>
      <c r="S607" s="6"/>
      <c r="T607" s="6"/>
      <c r="U607" s="6"/>
      <c r="V607" s="6"/>
      <c r="W607" s="6"/>
      <c r="X607" s="6"/>
      <c r="Y607" s="6"/>
      <c r="Z607" s="6"/>
      <c r="AA607" s="6"/>
      <c r="AB607" s="6"/>
      <c r="AC607" s="6"/>
      <c r="AD607" s="6"/>
      <c r="AE607" s="6"/>
      <c r="AF607" s="6"/>
      <c r="AG607" s="6"/>
    </row>
    <row r="608" ht="14.25" customHeight="1">
      <c r="A608" s="6"/>
      <c r="B608" s="6"/>
      <c r="C608" s="6">
        <v>601.0</v>
      </c>
      <c r="D608" s="6"/>
      <c r="E608" s="6">
        <v>6167961.629926689</v>
      </c>
      <c r="F608" s="6">
        <v>480.5275323875664</v>
      </c>
      <c r="G608" s="6">
        <v>6.485361465373658</v>
      </c>
      <c r="H608" s="6">
        <v>6060775.0599738015</v>
      </c>
      <c r="I608" s="6">
        <v>476.4677871523365</v>
      </c>
      <c r="J608" s="6">
        <v>4.112489587662844</v>
      </c>
      <c r="K608" s="6"/>
      <c r="L608" s="6"/>
      <c r="M608" s="6"/>
      <c r="N608" s="6">
        <f t="shared" ref="N608:P608" si="611">IF(LEN($C608)&gt;0,H608-E608,"")</f>
        <v>-107186.57</v>
      </c>
      <c r="O608" s="6">
        <f t="shared" si="611"/>
        <v>-4.059745235</v>
      </c>
      <c r="P608" s="6">
        <f t="shared" si="611"/>
        <v>-2.372871878</v>
      </c>
      <c r="Q608" s="6"/>
      <c r="R608" s="6"/>
      <c r="S608" s="6"/>
      <c r="T608" s="6"/>
      <c r="U608" s="6"/>
      <c r="V608" s="6"/>
      <c r="W608" s="6"/>
      <c r="X608" s="6"/>
      <c r="Y608" s="6"/>
      <c r="Z608" s="6"/>
      <c r="AA608" s="6"/>
      <c r="AB608" s="6"/>
      <c r="AC608" s="6"/>
      <c r="AD608" s="6"/>
      <c r="AE608" s="6"/>
      <c r="AF608" s="6"/>
      <c r="AG608" s="6"/>
    </row>
    <row r="609" ht="14.25" customHeight="1">
      <c r="A609" s="6"/>
      <c r="B609" s="6"/>
      <c r="C609" s="6">
        <v>602.0</v>
      </c>
      <c r="D609" s="6"/>
      <c r="E609" s="6">
        <v>7324159.412008666</v>
      </c>
      <c r="F609" s="6">
        <v>490.8598036153548</v>
      </c>
      <c r="G609" s="6">
        <v>4.595079321525246</v>
      </c>
      <c r="H609" s="6">
        <v>7186316.805877435</v>
      </c>
      <c r="I609" s="6">
        <v>484.89209693726207</v>
      </c>
      <c r="J609" s="6">
        <v>3.3213033947237203</v>
      </c>
      <c r="K609" s="6"/>
      <c r="L609" s="6"/>
      <c r="M609" s="6"/>
      <c r="N609" s="6">
        <f t="shared" ref="N609:P609" si="612">IF(LEN($C609)&gt;0,H609-E609,"")</f>
        <v>-137842.6061</v>
      </c>
      <c r="O609" s="6">
        <f t="shared" si="612"/>
        <v>-5.967706678</v>
      </c>
      <c r="P609" s="6">
        <f t="shared" si="612"/>
        <v>-1.273775927</v>
      </c>
      <c r="Q609" s="6"/>
      <c r="R609" s="6"/>
      <c r="S609" s="6"/>
      <c r="T609" s="6"/>
      <c r="U609" s="6"/>
      <c r="V609" s="6"/>
      <c r="W609" s="6"/>
      <c r="X609" s="6"/>
      <c r="Y609" s="6"/>
      <c r="Z609" s="6"/>
      <c r="AA609" s="6"/>
      <c r="AB609" s="6"/>
      <c r="AC609" s="6"/>
      <c r="AD609" s="6"/>
      <c r="AE609" s="6"/>
      <c r="AF609" s="6"/>
      <c r="AG609" s="6"/>
    </row>
    <row r="610" ht="14.25" customHeight="1">
      <c r="A610" s="6"/>
      <c r="B610" s="6"/>
      <c r="C610" s="6">
        <v>603.0</v>
      </c>
      <c r="D610" s="6"/>
      <c r="E610" s="6">
        <v>5510566.028076506</v>
      </c>
      <c r="F610" s="6">
        <v>468.6639172337765</v>
      </c>
      <c r="G610" s="6">
        <v>4.83762082680216</v>
      </c>
      <c r="H610" s="6">
        <v>5436664.732172868</v>
      </c>
      <c r="I610" s="6">
        <v>464.71056011566844</v>
      </c>
      <c r="J610" s="6">
        <v>3.969552209066681</v>
      </c>
      <c r="K610" s="6"/>
      <c r="L610" s="6"/>
      <c r="M610" s="6"/>
      <c r="N610" s="6">
        <f t="shared" ref="N610:P610" si="613">IF(LEN($C610)&gt;0,H610-E610,"")</f>
        <v>-73901.2959</v>
      </c>
      <c r="O610" s="6">
        <f t="shared" si="613"/>
        <v>-3.953357118</v>
      </c>
      <c r="P610" s="6">
        <f t="shared" si="613"/>
        <v>-0.8680686177</v>
      </c>
      <c r="Q610" s="6"/>
      <c r="R610" s="6"/>
      <c r="S610" s="6"/>
      <c r="T610" s="6"/>
      <c r="U610" s="6"/>
      <c r="V610" s="6"/>
      <c r="W610" s="6"/>
      <c r="X610" s="6"/>
      <c r="Y610" s="6"/>
      <c r="Z610" s="6"/>
      <c r="AA610" s="6"/>
      <c r="AB610" s="6"/>
      <c r="AC610" s="6"/>
      <c r="AD610" s="6"/>
      <c r="AE610" s="6"/>
      <c r="AF610" s="6"/>
      <c r="AG610" s="6"/>
    </row>
    <row r="611" ht="14.25" customHeight="1">
      <c r="A611" s="6"/>
      <c r="B611" s="6"/>
      <c r="C611" s="6">
        <v>604.0</v>
      </c>
      <c r="D611" s="6"/>
      <c r="E611" s="6">
        <v>5473061.020062572</v>
      </c>
      <c r="F611" s="6">
        <v>456.955614783229</v>
      </c>
      <c r="G611" s="6">
        <v>6.506726035684048</v>
      </c>
      <c r="H611" s="6">
        <v>5345967.723236339</v>
      </c>
      <c r="I611" s="6">
        <v>451.8844879084014</v>
      </c>
      <c r="J611" s="6">
        <v>4.513971226784513</v>
      </c>
      <c r="K611" s="6"/>
      <c r="L611" s="6"/>
      <c r="M611" s="6"/>
      <c r="N611" s="6">
        <f t="shared" ref="N611:P611" si="614">IF(LEN($C611)&gt;0,H611-E611,"")</f>
        <v>-127093.2968</v>
      </c>
      <c r="O611" s="6">
        <f t="shared" si="614"/>
        <v>-5.071126875</v>
      </c>
      <c r="P611" s="6">
        <f t="shared" si="614"/>
        <v>-1.992754809</v>
      </c>
      <c r="Q611" s="6"/>
      <c r="R611" s="6"/>
      <c r="S611" s="6"/>
      <c r="T611" s="6"/>
      <c r="U611" s="6"/>
      <c r="V611" s="6"/>
      <c r="W611" s="6"/>
      <c r="X611" s="6"/>
      <c r="Y611" s="6"/>
      <c r="Z611" s="6"/>
      <c r="AA611" s="6"/>
      <c r="AB611" s="6"/>
      <c r="AC611" s="6"/>
      <c r="AD611" s="6"/>
      <c r="AE611" s="6"/>
      <c r="AF611" s="6"/>
      <c r="AG611" s="6"/>
    </row>
    <row r="612" ht="14.25" customHeight="1">
      <c r="A612" s="6"/>
      <c r="B612" s="6"/>
      <c r="C612" s="6">
        <v>605.0</v>
      </c>
      <c r="D612" s="6"/>
      <c r="E612" s="6">
        <v>7780928.660122246</v>
      </c>
      <c r="F612" s="6">
        <v>476.76506071484647</v>
      </c>
      <c r="G612" s="6">
        <v>4.4292754171573545</v>
      </c>
      <c r="H612" s="6">
        <v>7657796.972465949</v>
      </c>
      <c r="I612" s="6">
        <v>472.2533517734947</v>
      </c>
      <c r="J612" s="6">
        <v>3.0757505825333107</v>
      </c>
      <c r="K612" s="6"/>
      <c r="L612" s="6"/>
      <c r="M612" s="6"/>
      <c r="N612" s="6">
        <f t="shared" ref="N612:P612" si="615">IF(LEN($C612)&gt;0,H612-E612,"")</f>
        <v>-123131.6877</v>
      </c>
      <c r="O612" s="6">
        <f t="shared" si="615"/>
        <v>-4.511708941</v>
      </c>
      <c r="P612" s="6">
        <f t="shared" si="615"/>
        <v>-1.353524835</v>
      </c>
      <c r="Q612" s="6"/>
      <c r="R612" s="6"/>
      <c r="S612" s="6"/>
      <c r="T612" s="6"/>
      <c r="U612" s="6"/>
      <c r="V612" s="6"/>
      <c r="W612" s="6"/>
      <c r="X612" s="6"/>
      <c r="Y612" s="6"/>
      <c r="Z612" s="6"/>
      <c r="AA612" s="6"/>
      <c r="AB612" s="6"/>
      <c r="AC612" s="6"/>
      <c r="AD612" s="6"/>
      <c r="AE612" s="6"/>
      <c r="AF612" s="6"/>
      <c r="AG612" s="6"/>
    </row>
    <row r="613" ht="14.25" customHeight="1">
      <c r="A613" s="6"/>
      <c r="B613" s="6"/>
      <c r="C613" s="6">
        <v>606.0</v>
      </c>
      <c r="D613" s="6"/>
      <c r="E613" s="6">
        <v>7881230.642242806</v>
      </c>
      <c r="F613" s="6">
        <v>495.848461823684</v>
      </c>
      <c r="G613" s="6">
        <v>5.878433479428799</v>
      </c>
      <c r="H613" s="6">
        <v>7809635.1350358175</v>
      </c>
      <c r="I613" s="6">
        <v>492.21345940396816</v>
      </c>
      <c r="J613" s="6">
        <v>4.947085111835738</v>
      </c>
      <c r="K613" s="6"/>
      <c r="L613" s="6"/>
      <c r="M613" s="6"/>
      <c r="N613" s="6">
        <f t="shared" ref="N613:P613" si="616">IF(LEN($C613)&gt;0,H613-E613,"")</f>
        <v>-71595.50721</v>
      </c>
      <c r="O613" s="6">
        <f t="shared" si="616"/>
        <v>-3.63500242</v>
      </c>
      <c r="P613" s="6">
        <f t="shared" si="616"/>
        <v>-0.9313483676</v>
      </c>
      <c r="Q613" s="6"/>
      <c r="R613" s="6"/>
      <c r="S613" s="6"/>
      <c r="T613" s="6"/>
      <c r="U613" s="6"/>
      <c r="V613" s="6"/>
      <c r="W613" s="6"/>
      <c r="X613" s="6"/>
      <c r="Y613" s="6"/>
      <c r="Z613" s="6"/>
      <c r="AA613" s="6"/>
      <c r="AB613" s="6"/>
      <c r="AC613" s="6"/>
      <c r="AD613" s="6"/>
      <c r="AE613" s="6"/>
      <c r="AF613" s="6"/>
      <c r="AG613" s="6"/>
    </row>
    <row r="614" ht="14.25" customHeight="1">
      <c r="A614" s="6"/>
      <c r="B614" s="6"/>
      <c r="C614" s="6">
        <v>607.0</v>
      </c>
      <c r="D614" s="6"/>
      <c r="E614" s="6">
        <v>5086165.851319069</v>
      </c>
      <c r="F614" s="6">
        <v>469.17986476057524</v>
      </c>
      <c r="G614" s="6">
        <v>3.5471713354446597</v>
      </c>
      <c r="H614" s="6">
        <v>5007609.695431874</v>
      </c>
      <c r="I614" s="6">
        <v>464.88143349497795</v>
      </c>
      <c r="J614" s="6">
        <v>2.8569249709294695</v>
      </c>
      <c r="K614" s="6"/>
      <c r="L614" s="6"/>
      <c r="M614" s="6"/>
      <c r="N614" s="6">
        <f t="shared" ref="N614:P614" si="617">IF(LEN($C614)&gt;0,H614-E614,"")</f>
        <v>-78556.15589</v>
      </c>
      <c r="O614" s="6">
        <f t="shared" si="617"/>
        <v>-4.298431266</v>
      </c>
      <c r="P614" s="6">
        <f t="shared" si="617"/>
        <v>-0.6902463645</v>
      </c>
      <c r="Q614" s="6"/>
      <c r="R614" s="6"/>
      <c r="S614" s="6"/>
      <c r="T614" s="6"/>
      <c r="U614" s="6"/>
      <c r="V614" s="6"/>
      <c r="W614" s="6"/>
      <c r="X614" s="6"/>
      <c r="Y614" s="6"/>
      <c r="Z614" s="6"/>
      <c r="AA614" s="6"/>
      <c r="AB614" s="6"/>
      <c r="AC614" s="6"/>
      <c r="AD614" s="6"/>
      <c r="AE614" s="6"/>
      <c r="AF614" s="6"/>
      <c r="AG614" s="6"/>
    </row>
    <row r="615" ht="14.25" customHeight="1">
      <c r="A615" s="6"/>
      <c r="B615" s="6"/>
      <c r="C615" s="6">
        <v>608.0</v>
      </c>
      <c r="D615" s="6"/>
      <c r="E615" s="6">
        <v>6724289.186304645</v>
      </c>
      <c r="F615" s="6">
        <v>477.52083657786415</v>
      </c>
      <c r="G615" s="6">
        <v>5.867177008660227</v>
      </c>
      <c r="H615" s="6">
        <v>6629397.8921900615</v>
      </c>
      <c r="I615" s="6">
        <v>474.26949704229776</v>
      </c>
      <c r="J615" s="6">
        <v>4.15333604895891</v>
      </c>
      <c r="K615" s="6"/>
      <c r="L615" s="6"/>
      <c r="M615" s="6"/>
      <c r="N615" s="6">
        <f t="shared" ref="N615:P615" si="618">IF(LEN($C615)&gt;0,H615-E615,"")</f>
        <v>-94891.29411</v>
      </c>
      <c r="O615" s="6">
        <f t="shared" si="618"/>
        <v>-3.251339536</v>
      </c>
      <c r="P615" s="6">
        <f t="shared" si="618"/>
        <v>-1.71384096</v>
      </c>
      <c r="Q615" s="6"/>
      <c r="R615" s="6"/>
      <c r="S615" s="6"/>
      <c r="T615" s="6"/>
      <c r="U615" s="6"/>
      <c r="V615" s="6"/>
      <c r="W615" s="6"/>
      <c r="X615" s="6"/>
      <c r="Y615" s="6"/>
      <c r="Z615" s="6"/>
      <c r="AA615" s="6"/>
      <c r="AB615" s="6"/>
      <c r="AC615" s="6"/>
      <c r="AD615" s="6"/>
      <c r="AE615" s="6"/>
      <c r="AF615" s="6"/>
      <c r="AG615" s="6"/>
    </row>
    <row r="616" ht="14.25" customHeight="1">
      <c r="A616" s="6"/>
      <c r="B616" s="6"/>
      <c r="C616" s="6">
        <v>609.0</v>
      </c>
      <c r="D616" s="6"/>
      <c r="E616" s="6">
        <v>7406245.400374076</v>
      </c>
      <c r="F616" s="6">
        <v>439.07732376275794</v>
      </c>
      <c r="G616" s="6">
        <v>4.232047967133585</v>
      </c>
      <c r="H616" s="6">
        <v>7329143.004077024</v>
      </c>
      <c r="I616" s="6">
        <v>436.25755504762685</v>
      </c>
      <c r="J616" s="6">
        <v>3.0156748205191835</v>
      </c>
      <c r="K616" s="6"/>
      <c r="L616" s="6"/>
      <c r="M616" s="6"/>
      <c r="N616" s="6">
        <f t="shared" ref="N616:P616" si="619">IF(LEN($C616)&gt;0,H616-E616,"")</f>
        <v>-77102.3963</v>
      </c>
      <c r="O616" s="6">
        <f t="shared" si="619"/>
        <v>-2.819768715</v>
      </c>
      <c r="P616" s="6">
        <f t="shared" si="619"/>
        <v>-1.216373147</v>
      </c>
      <c r="Q616" s="6"/>
      <c r="R616" s="6"/>
      <c r="S616" s="6"/>
      <c r="T616" s="6"/>
      <c r="U616" s="6"/>
      <c r="V616" s="6"/>
      <c r="W616" s="6"/>
      <c r="X616" s="6"/>
      <c r="Y616" s="6"/>
      <c r="Z616" s="6"/>
      <c r="AA616" s="6"/>
      <c r="AB616" s="6"/>
      <c r="AC616" s="6"/>
      <c r="AD616" s="6"/>
      <c r="AE616" s="6"/>
      <c r="AF616" s="6"/>
      <c r="AG616" s="6"/>
    </row>
    <row r="617" ht="14.25" customHeight="1">
      <c r="A617" s="6"/>
      <c r="B617" s="6"/>
      <c r="C617" s="6">
        <v>610.0</v>
      </c>
      <c r="D617" s="6"/>
      <c r="E617" s="6">
        <v>6005658.694253601</v>
      </c>
      <c r="F617" s="6">
        <v>441.10799908978623</v>
      </c>
      <c r="G617" s="6">
        <v>4.921149557891381</v>
      </c>
      <c r="H617" s="6">
        <v>5931867.603402822</v>
      </c>
      <c r="I617" s="6">
        <v>438.6685191225051</v>
      </c>
      <c r="J617" s="6">
        <v>3.6916316285208532</v>
      </c>
      <c r="K617" s="6"/>
      <c r="L617" s="6"/>
      <c r="M617" s="6"/>
      <c r="N617" s="6">
        <f t="shared" ref="N617:P617" si="620">IF(LEN($C617)&gt;0,H617-E617,"")</f>
        <v>-73791.09085</v>
      </c>
      <c r="O617" s="6">
        <f t="shared" si="620"/>
        <v>-2.439479967</v>
      </c>
      <c r="P617" s="6">
        <f t="shared" si="620"/>
        <v>-1.229517929</v>
      </c>
      <c r="Q617" s="6"/>
      <c r="R617" s="6"/>
      <c r="S617" s="6"/>
      <c r="T617" s="6"/>
      <c r="U617" s="6"/>
      <c r="V617" s="6"/>
      <c r="W617" s="6"/>
      <c r="X617" s="6"/>
      <c r="Y617" s="6"/>
      <c r="Z617" s="6"/>
      <c r="AA617" s="6"/>
      <c r="AB617" s="6"/>
      <c r="AC617" s="6"/>
      <c r="AD617" s="6"/>
      <c r="AE617" s="6"/>
      <c r="AF617" s="6"/>
      <c r="AG617" s="6"/>
    </row>
    <row r="618" ht="14.25" customHeight="1">
      <c r="A618" s="6"/>
      <c r="B618" s="6"/>
      <c r="C618" s="6">
        <v>611.0</v>
      </c>
      <c r="D618" s="6"/>
      <c r="E618" s="6">
        <v>6117498.192006373</v>
      </c>
      <c r="F618" s="6">
        <v>481.82684873788094</v>
      </c>
      <c r="G618" s="6">
        <v>4.334578619937694</v>
      </c>
      <c r="H618" s="6">
        <v>5989514.6713143755</v>
      </c>
      <c r="I618" s="6">
        <v>475.44280550150955</v>
      </c>
      <c r="J618" s="6">
        <v>3.2223506263225365</v>
      </c>
      <c r="K618" s="6"/>
      <c r="L618" s="6"/>
      <c r="M618" s="6"/>
      <c r="N618" s="6">
        <f t="shared" ref="N618:P618" si="621">IF(LEN($C618)&gt;0,H618-E618,"")</f>
        <v>-127983.5207</v>
      </c>
      <c r="O618" s="6">
        <f t="shared" si="621"/>
        <v>-6.384043236</v>
      </c>
      <c r="P618" s="6">
        <f t="shared" si="621"/>
        <v>-1.112227994</v>
      </c>
      <c r="Q618" s="6"/>
      <c r="R618" s="6"/>
      <c r="S618" s="6"/>
      <c r="T618" s="6"/>
      <c r="U618" s="6"/>
      <c r="V618" s="6"/>
      <c r="W618" s="6"/>
      <c r="X618" s="6"/>
      <c r="Y618" s="6"/>
      <c r="Z618" s="6"/>
      <c r="AA618" s="6"/>
      <c r="AB618" s="6"/>
      <c r="AC618" s="6"/>
      <c r="AD618" s="6"/>
      <c r="AE618" s="6"/>
      <c r="AF618" s="6"/>
      <c r="AG618" s="6"/>
    </row>
    <row r="619" ht="14.25" customHeight="1">
      <c r="A619" s="6"/>
      <c r="B619" s="6"/>
      <c r="C619" s="6">
        <v>612.0</v>
      </c>
      <c r="D619" s="6"/>
      <c r="E619" s="6">
        <v>6534735.72110856</v>
      </c>
      <c r="F619" s="6">
        <v>439.6878701593178</v>
      </c>
      <c r="G619" s="6">
        <v>4.7077628434507</v>
      </c>
      <c r="H619" s="6">
        <v>6412844.071820964</v>
      </c>
      <c r="I619" s="6">
        <v>434.82532991579245</v>
      </c>
      <c r="J619" s="6">
        <v>2.812554557687932</v>
      </c>
      <c r="K619" s="6"/>
      <c r="L619" s="6"/>
      <c r="M619" s="6"/>
      <c r="N619" s="6">
        <f t="shared" ref="N619:P619" si="622">IF(LEN($C619)&gt;0,H619-E619,"")</f>
        <v>-121891.6493</v>
      </c>
      <c r="O619" s="6">
        <f t="shared" si="622"/>
        <v>-4.862540244</v>
      </c>
      <c r="P619" s="6">
        <f t="shared" si="622"/>
        <v>-1.895208286</v>
      </c>
      <c r="Q619" s="6"/>
      <c r="R619" s="6"/>
      <c r="S619" s="6"/>
      <c r="T619" s="6"/>
      <c r="U619" s="6"/>
      <c r="V619" s="6"/>
      <c r="W619" s="6"/>
      <c r="X619" s="6"/>
      <c r="Y619" s="6"/>
      <c r="Z619" s="6"/>
      <c r="AA619" s="6"/>
      <c r="AB619" s="6"/>
      <c r="AC619" s="6"/>
      <c r="AD619" s="6"/>
      <c r="AE619" s="6"/>
      <c r="AF619" s="6"/>
      <c r="AG619" s="6"/>
    </row>
    <row r="620" ht="14.25" customHeight="1">
      <c r="A620" s="6"/>
      <c r="B620" s="6"/>
      <c r="C620" s="6">
        <v>613.0</v>
      </c>
      <c r="D620" s="6"/>
      <c r="E620" s="6">
        <v>8073698.858529575</v>
      </c>
      <c r="F620" s="6">
        <v>448.8803942098844</v>
      </c>
      <c r="G620" s="6">
        <v>4.966599439788524</v>
      </c>
      <c r="H620" s="6">
        <v>8036489.876347527</v>
      </c>
      <c r="I620" s="6">
        <v>447.68966520263734</v>
      </c>
      <c r="J620" s="6">
        <v>4.509227183273343</v>
      </c>
      <c r="K620" s="6"/>
      <c r="L620" s="6"/>
      <c r="M620" s="6"/>
      <c r="N620" s="6">
        <f t="shared" ref="N620:P620" si="623">IF(LEN($C620)&gt;0,H620-E620,"")</f>
        <v>-37208.98218</v>
      </c>
      <c r="O620" s="6">
        <f t="shared" si="623"/>
        <v>-1.190729007</v>
      </c>
      <c r="P620" s="6">
        <f t="shared" si="623"/>
        <v>-0.4573722565</v>
      </c>
      <c r="Q620" s="6"/>
      <c r="R620" s="6"/>
      <c r="S620" s="6"/>
      <c r="T620" s="6"/>
      <c r="U620" s="6"/>
      <c r="V620" s="6"/>
      <c r="W620" s="6"/>
      <c r="X620" s="6"/>
      <c r="Y620" s="6"/>
      <c r="Z620" s="6"/>
      <c r="AA620" s="6"/>
      <c r="AB620" s="6"/>
      <c r="AC620" s="6"/>
      <c r="AD620" s="6"/>
      <c r="AE620" s="6"/>
      <c r="AF620" s="6"/>
      <c r="AG620" s="6"/>
    </row>
    <row r="621" ht="14.25" customHeight="1">
      <c r="A621" s="6"/>
      <c r="B621" s="6"/>
      <c r="C621" s="6">
        <v>614.0</v>
      </c>
      <c r="D621" s="6"/>
      <c r="E621" s="6">
        <v>7347991.777718111</v>
      </c>
      <c r="F621" s="6">
        <v>441.5674084442525</v>
      </c>
      <c r="G621" s="6">
        <v>3.9476879566260688</v>
      </c>
      <c r="H621" s="6">
        <v>7241842.665486153</v>
      </c>
      <c r="I621" s="6">
        <v>436.6459692095452</v>
      </c>
      <c r="J621" s="6">
        <v>2.9018060253600964</v>
      </c>
      <c r="K621" s="6"/>
      <c r="L621" s="6"/>
      <c r="M621" s="6"/>
      <c r="N621" s="6">
        <f t="shared" ref="N621:P621" si="624">IF(LEN($C621)&gt;0,H621-E621,"")</f>
        <v>-106149.1122</v>
      </c>
      <c r="O621" s="6">
        <f t="shared" si="624"/>
        <v>-4.921439235</v>
      </c>
      <c r="P621" s="6">
        <f t="shared" si="624"/>
        <v>-1.045881931</v>
      </c>
      <c r="Q621" s="6"/>
      <c r="R621" s="6"/>
      <c r="S621" s="6"/>
      <c r="T621" s="6"/>
      <c r="U621" s="6"/>
      <c r="V621" s="6"/>
      <c r="W621" s="6"/>
      <c r="X621" s="6"/>
      <c r="Y621" s="6"/>
      <c r="Z621" s="6"/>
      <c r="AA621" s="6"/>
      <c r="AB621" s="6"/>
      <c r="AC621" s="6"/>
      <c r="AD621" s="6"/>
      <c r="AE621" s="6"/>
      <c r="AF621" s="6"/>
      <c r="AG621" s="6"/>
    </row>
    <row r="622" ht="14.25" customHeight="1">
      <c r="A622" s="6"/>
      <c r="B622" s="6"/>
      <c r="C622" s="6">
        <v>615.0</v>
      </c>
      <c r="D622" s="6"/>
      <c r="E622" s="6">
        <v>8456438.644704841</v>
      </c>
      <c r="F622" s="6">
        <v>476.0827311614116</v>
      </c>
      <c r="G622" s="6">
        <v>3.3288623147799665</v>
      </c>
      <c r="H622" s="6">
        <v>8401416.231387416</v>
      </c>
      <c r="I622" s="6">
        <v>473.9513432145099</v>
      </c>
      <c r="J622" s="6">
        <v>2.557422101991043</v>
      </c>
      <c r="K622" s="6"/>
      <c r="L622" s="6"/>
      <c r="M622" s="6"/>
      <c r="N622" s="6">
        <f t="shared" ref="N622:P622" si="625">IF(LEN($C622)&gt;0,H622-E622,"")</f>
        <v>-55022.41332</v>
      </c>
      <c r="O622" s="6">
        <f t="shared" si="625"/>
        <v>-2.131387947</v>
      </c>
      <c r="P622" s="6">
        <f t="shared" si="625"/>
        <v>-0.7714402128</v>
      </c>
      <c r="Q622" s="6"/>
      <c r="R622" s="6"/>
      <c r="S622" s="6"/>
      <c r="T622" s="6"/>
      <c r="U622" s="6"/>
      <c r="V622" s="6"/>
      <c r="W622" s="6"/>
      <c r="X622" s="6"/>
      <c r="Y622" s="6"/>
      <c r="Z622" s="6"/>
      <c r="AA622" s="6"/>
      <c r="AB622" s="6"/>
      <c r="AC622" s="6"/>
      <c r="AD622" s="6"/>
      <c r="AE622" s="6"/>
      <c r="AF622" s="6"/>
      <c r="AG622" s="6"/>
    </row>
    <row r="623" ht="14.25" customHeight="1">
      <c r="A623" s="6"/>
      <c r="B623" s="6"/>
      <c r="C623" s="6">
        <v>616.0</v>
      </c>
      <c r="D623" s="6"/>
      <c r="E623" s="6">
        <v>6588313.7689663945</v>
      </c>
      <c r="F623" s="6">
        <v>437.9888729126921</v>
      </c>
      <c r="G623" s="6">
        <v>6.417093317633078</v>
      </c>
      <c r="H623" s="6">
        <v>6520357.365836937</v>
      </c>
      <c r="I623" s="6">
        <v>436.5290792091944</v>
      </c>
      <c r="J623" s="6">
        <v>4.975118688063026</v>
      </c>
      <c r="K623" s="6"/>
      <c r="L623" s="6"/>
      <c r="M623" s="6"/>
      <c r="N623" s="6">
        <f t="shared" ref="N623:P623" si="626">IF(LEN($C623)&gt;0,H623-E623,"")</f>
        <v>-67956.40313</v>
      </c>
      <c r="O623" s="6">
        <f t="shared" si="626"/>
        <v>-1.459793703</v>
      </c>
      <c r="P623" s="6">
        <f t="shared" si="626"/>
        <v>-1.44197463</v>
      </c>
      <c r="Q623" s="6"/>
      <c r="R623" s="6"/>
      <c r="S623" s="6"/>
      <c r="T623" s="6"/>
      <c r="U623" s="6"/>
      <c r="V623" s="6"/>
      <c r="W623" s="6"/>
      <c r="X623" s="6"/>
      <c r="Y623" s="6"/>
      <c r="Z623" s="6"/>
      <c r="AA623" s="6"/>
      <c r="AB623" s="6"/>
      <c r="AC623" s="6"/>
      <c r="AD623" s="6"/>
      <c r="AE623" s="6"/>
      <c r="AF623" s="6"/>
      <c r="AG623" s="6"/>
    </row>
    <row r="624" ht="14.25" customHeight="1">
      <c r="A624" s="6"/>
      <c r="B624" s="6"/>
      <c r="C624" s="6">
        <v>617.0</v>
      </c>
      <c r="D624" s="6"/>
      <c r="E624" s="6">
        <v>7053203.787201806</v>
      </c>
      <c r="F624" s="6">
        <v>480.5058910838011</v>
      </c>
      <c r="G624" s="6">
        <v>4.872834532381408</v>
      </c>
      <c r="H624" s="6">
        <v>6888543.09296965</v>
      </c>
      <c r="I624" s="6">
        <v>471.37316288514694</v>
      </c>
      <c r="J624" s="6">
        <v>3.3135450731472447</v>
      </c>
      <c r="K624" s="6"/>
      <c r="L624" s="6"/>
      <c r="M624" s="6"/>
      <c r="N624" s="6">
        <f t="shared" ref="N624:P624" si="627">IF(LEN($C624)&gt;0,H624-E624,"")</f>
        <v>-164660.6942</v>
      </c>
      <c r="O624" s="6">
        <f t="shared" si="627"/>
        <v>-9.132728199</v>
      </c>
      <c r="P624" s="6">
        <f t="shared" si="627"/>
        <v>-1.559289459</v>
      </c>
      <c r="Q624" s="6"/>
      <c r="R624" s="6"/>
      <c r="S624" s="6"/>
      <c r="T624" s="6"/>
      <c r="U624" s="6"/>
      <c r="V624" s="6"/>
      <c r="W624" s="6"/>
      <c r="X624" s="6"/>
      <c r="Y624" s="6"/>
      <c r="Z624" s="6"/>
      <c r="AA624" s="6"/>
      <c r="AB624" s="6"/>
      <c r="AC624" s="6"/>
      <c r="AD624" s="6"/>
      <c r="AE624" s="6"/>
      <c r="AF624" s="6"/>
      <c r="AG624" s="6"/>
    </row>
    <row r="625" ht="14.25" customHeight="1">
      <c r="A625" s="6"/>
      <c r="B625" s="6"/>
      <c r="C625" s="6">
        <v>618.0</v>
      </c>
      <c r="D625" s="6"/>
      <c r="E625" s="6">
        <v>8810720.516898531</v>
      </c>
      <c r="F625" s="6">
        <v>451.7610575673628</v>
      </c>
      <c r="G625" s="6">
        <v>4.8230529775742</v>
      </c>
      <c r="H625" s="6">
        <v>8688028.98531212</v>
      </c>
      <c r="I625" s="6">
        <v>446.316839376209</v>
      </c>
      <c r="J625" s="6">
        <v>3.197536465840014</v>
      </c>
      <c r="K625" s="6"/>
      <c r="L625" s="6"/>
      <c r="M625" s="6"/>
      <c r="N625" s="6">
        <f t="shared" ref="N625:P625" si="628">IF(LEN($C625)&gt;0,H625-E625,"")</f>
        <v>-122691.5316</v>
      </c>
      <c r="O625" s="6">
        <f t="shared" si="628"/>
        <v>-5.444218191</v>
      </c>
      <c r="P625" s="6">
        <f t="shared" si="628"/>
        <v>-1.625516512</v>
      </c>
      <c r="Q625" s="6"/>
      <c r="R625" s="6"/>
      <c r="S625" s="6"/>
      <c r="T625" s="6"/>
      <c r="U625" s="6"/>
      <c r="V625" s="6"/>
      <c r="W625" s="6"/>
      <c r="X625" s="6"/>
      <c r="Y625" s="6"/>
      <c r="Z625" s="6"/>
      <c r="AA625" s="6"/>
      <c r="AB625" s="6"/>
      <c r="AC625" s="6"/>
      <c r="AD625" s="6"/>
      <c r="AE625" s="6"/>
      <c r="AF625" s="6"/>
      <c r="AG625" s="6"/>
    </row>
    <row r="626" ht="14.25" customHeight="1">
      <c r="A626" s="6"/>
      <c r="B626" s="6"/>
      <c r="C626" s="6">
        <v>619.0</v>
      </c>
      <c r="D626" s="6"/>
      <c r="E626" s="6">
        <v>6474731.072891746</v>
      </c>
      <c r="F626" s="6">
        <v>472.4126308219522</v>
      </c>
      <c r="G626" s="6">
        <v>4.97832820012982</v>
      </c>
      <c r="H626" s="6">
        <v>6375851.554672083</v>
      </c>
      <c r="I626" s="6">
        <v>468.30323587974203</v>
      </c>
      <c r="J626" s="6">
        <v>3.5727522748298597</v>
      </c>
      <c r="K626" s="6"/>
      <c r="L626" s="6"/>
      <c r="M626" s="6"/>
      <c r="N626" s="6">
        <f t="shared" ref="N626:P626" si="629">IF(LEN($C626)&gt;0,H626-E626,"")</f>
        <v>-98879.51822</v>
      </c>
      <c r="O626" s="6">
        <f t="shared" si="629"/>
        <v>-4.109394942</v>
      </c>
      <c r="P626" s="6">
        <f t="shared" si="629"/>
        <v>-1.405575925</v>
      </c>
      <c r="Q626" s="6"/>
      <c r="R626" s="6"/>
      <c r="S626" s="6"/>
      <c r="T626" s="6"/>
      <c r="U626" s="6"/>
      <c r="V626" s="6"/>
      <c r="W626" s="6"/>
      <c r="X626" s="6"/>
      <c r="Y626" s="6"/>
      <c r="Z626" s="6"/>
      <c r="AA626" s="6"/>
      <c r="AB626" s="6"/>
      <c r="AC626" s="6"/>
      <c r="AD626" s="6"/>
      <c r="AE626" s="6"/>
      <c r="AF626" s="6"/>
      <c r="AG626" s="6"/>
    </row>
    <row r="627" ht="14.25" customHeight="1">
      <c r="A627" s="6"/>
      <c r="B627" s="6"/>
      <c r="C627" s="6">
        <v>620.0</v>
      </c>
      <c r="D627" s="6"/>
      <c r="E627" s="6">
        <v>6396742.7654214315</v>
      </c>
      <c r="F627" s="6">
        <v>482.53498561576544</v>
      </c>
      <c r="G627" s="6">
        <v>4.638987690243002</v>
      </c>
      <c r="H627" s="6">
        <v>6357761.828990064</v>
      </c>
      <c r="I627" s="6">
        <v>480.7322544728605</v>
      </c>
      <c r="J627" s="6">
        <v>3.9937428556279517</v>
      </c>
      <c r="K627" s="6"/>
      <c r="L627" s="6"/>
      <c r="M627" s="6"/>
      <c r="N627" s="6">
        <f t="shared" ref="N627:P627" si="630">IF(LEN($C627)&gt;0,H627-E627,"")</f>
        <v>-38980.93643</v>
      </c>
      <c r="O627" s="6">
        <f t="shared" si="630"/>
        <v>-1.802731143</v>
      </c>
      <c r="P627" s="6">
        <f t="shared" si="630"/>
        <v>-0.6452448346</v>
      </c>
      <c r="Q627" s="6"/>
      <c r="R627" s="6"/>
      <c r="S627" s="6"/>
      <c r="T627" s="6"/>
      <c r="U627" s="6"/>
      <c r="V627" s="6"/>
      <c r="W627" s="6"/>
      <c r="X627" s="6"/>
      <c r="Y627" s="6"/>
      <c r="Z627" s="6"/>
      <c r="AA627" s="6"/>
      <c r="AB627" s="6"/>
      <c r="AC627" s="6"/>
      <c r="AD627" s="6"/>
      <c r="AE627" s="6"/>
      <c r="AF627" s="6"/>
      <c r="AG627" s="6"/>
    </row>
    <row r="628" ht="14.25" customHeight="1">
      <c r="A628" s="6"/>
      <c r="B628" s="6"/>
      <c r="C628" s="6">
        <v>621.0</v>
      </c>
      <c r="D628" s="6"/>
      <c r="E628" s="6">
        <v>8450136.93668436</v>
      </c>
      <c r="F628" s="6">
        <v>454.4231567735012</v>
      </c>
      <c r="G628" s="6">
        <v>5.45183206333886</v>
      </c>
      <c r="H628" s="6">
        <v>8345966.580643375</v>
      </c>
      <c r="I628" s="6">
        <v>449.7632084023774</v>
      </c>
      <c r="J628" s="6">
        <v>4.58497045135857</v>
      </c>
      <c r="K628" s="6"/>
      <c r="L628" s="6"/>
      <c r="M628" s="6"/>
      <c r="N628" s="6">
        <f t="shared" ref="N628:P628" si="631">IF(LEN($C628)&gt;0,H628-E628,"")</f>
        <v>-104170.356</v>
      </c>
      <c r="O628" s="6">
        <f t="shared" si="631"/>
        <v>-4.659948371</v>
      </c>
      <c r="P628" s="6">
        <f t="shared" si="631"/>
        <v>-0.866861612</v>
      </c>
      <c r="Q628" s="6"/>
      <c r="R628" s="6"/>
      <c r="S628" s="6"/>
      <c r="T628" s="6"/>
      <c r="U628" s="6"/>
      <c r="V628" s="6"/>
      <c r="W628" s="6"/>
      <c r="X628" s="6"/>
      <c r="Y628" s="6"/>
      <c r="Z628" s="6"/>
      <c r="AA628" s="6"/>
      <c r="AB628" s="6"/>
      <c r="AC628" s="6"/>
      <c r="AD628" s="6"/>
      <c r="AE628" s="6"/>
      <c r="AF628" s="6"/>
      <c r="AG628" s="6"/>
    </row>
    <row r="629" ht="14.25" customHeight="1">
      <c r="A629" s="6"/>
      <c r="B629" s="6"/>
      <c r="C629" s="6">
        <v>622.0</v>
      </c>
      <c r="D629" s="6"/>
      <c r="E629" s="6">
        <v>8680024.59105868</v>
      </c>
      <c r="F629" s="6">
        <v>475.7135174176254</v>
      </c>
      <c r="G629" s="6">
        <v>4.226629124016707</v>
      </c>
      <c r="H629" s="6">
        <v>8563702.991305614</v>
      </c>
      <c r="I629" s="6">
        <v>470.886456741653</v>
      </c>
      <c r="J629" s="6">
        <v>2.9060867277818323</v>
      </c>
      <c r="K629" s="6"/>
      <c r="L629" s="6"/>
      <c r="M629" s="6"/>
      <c r="N629" s="6">
        <f t="shared" ref="N629:P629" si="632">IF(LEN($C629)&gt;0,H629-E629,"")</f>
        <v>-116321.5998</v>
      </c>
      <c r="O629" s="6">
        <f t="shared" si="632"/>
        <v>-4.827060676</v>
      </c>
      <c r="P629" s="6">
        <f t="shared" si="632"/>
        <v>-1.320542396</v>
      </c>
      <c r="Q629" s="6"/>
      <c r="R629" s="6"/>
      <c r="S629" s="6"/>
      <c r="T629" s="6"/>
      <c r="U629" s="6"/>
      <c r="V629" s="6"/>
      <c r="W629" s="6"/>
      <c r="X629" s="6"/>
      <c r="Y629" s="6"/>
      <c r="Z629" s="6"/>
      <c r="AA629" s="6"/>
      <c r="AB629" s="6"/>
      <c r="AC629" s="6"/>
      <c r="AD629" s="6"/>
      <c r="AE629" s="6"/>
      <c r="AF629" s="6"/>
      <c r="AG629" s="6"/>
    </row>
    <row r="630" ht="14.25" customHeight="1">
      <c r="A630" s="6"/>
      <c r="B630" s="6"/>
      <c r="C630" s="6">
        <v>623.0</v>
      </c>
      <c r="D630" s="6"/>
      <c r="E630" s="6">
        <v>7292732.414267215</v>
      </c>
      <c r="F630" s="6">
        <v>451.14109522983796</v>
      </c>
      <c r="G630" s="6">
        <v>6.074696243941653</v>
      </c>
      <c r="H630" s="6">
        <v>7195410.431714078</v>
      </c>
      <c r="I630" s="6">
        <v>447.368657324225</v>
      </c>
      <c r="J630" s="6">
        <v>4.887101068861111</v>
      </c>
      <c r="K630" s="6"/>
      <c r="L630" s="6"/>
      <c r="M630" s="6"/>
      <c r="N630" s="6">
        <f t="shared" ref="N630:P630" si="633">IF(LEN($C630)&gt;0,H630-E630,"")</f>
        <v>-97321.98255</v>
      </c>
      <c r="O630" s="6">
        <f t="shared" si="633"/>
        <v>-3.772437906</v>
      </c>
      <c r="P630" s="6">
        <f t="shared" si="633"/>
        <v>-1.187595175</v>
      </c>
      <c r="Q630" s="6"/>
      <c r="R630" s="6"/>
      <c r="S630" s="6"/>
      <c r="T630" s="6"/>
      <c r="U630" s="6"/>
      <c r="V630" s="6"/>
      <c r="W630" s="6"/>
      <c r="X630" s="6"/>
      <c r="Y630" s="6"/>
      <c r="Z630" s="6"/>
      <c r="AA630" s="6"/>
      <c r="AB630" s="6"/>
      <c r="AC630" s="6"/>
      <c r="AD630" s="6"/>
      <c r="AE630" s="6"/>
      <c r="AF630" s="6"/>
      <c r="AG630" s="6"/>
    </row>
    <row r="631" ht="14.25" customHeight="1">
      <c r="A631" s="6"/>
      <c r="B631" s="6"/>
      <c r="C631" s="6">
        <v>624.0</v>
      </c>
      <c r="D631" s="6"/>
      <c r="E631" s="6">
        <v>9144643.639900398</v>
      </c>
      <c r="F631" s="6">
        <v>467.43008120830166</v>
      </c>
      <c r="G631" s="6">
        <v>5.488674010382502</v>
      </c>
      <c r="H631" s="6">
        <v>9034834.02001017</v>
      </c>
      <c r="I631" s="6">
        <v>462.41859950570284</v>
      </c>
      <c r="J631" s="6">
        <v>4.191425137245727</v>
      </c>
      <c r="K631" s="6"/>
      <c r="L631" s="6"/>
      <c r="M631" s="6"/>
      <c r="N631" s="6">
        <f t="shared" ref="N631:P631" si="634">IF(LEN($C631)&gt;0,H631-E631,"")</f>
        <v>-109809.6199</v>
      </c>
      <c r="O631" s="6">
        <f t="shared" si="634"/>
        <v>-5.011481703</v>
      </c>
      <c r="P631" s="6">
        <f t="shared" si="634"/>
        <v>-1.297248873</v>
      </c>
      <c r="Q631" s="6"/>
      <c r="R631" s="6"/>
      <c r="S631" s="6"/>
      <c r="T631" s="6"/>
      <c r="U631" s="6"/>
      <c r="V631" s="6"/>
      <c r="W631" s="6"/>
      <c r="X631" s="6"/>
      <c r="Y631" s="6"/>
      <c r="Z631" s="6"/>
      <c r="AA631" s="6"/>
      <c r="AB631" s="6"/>
      <c r="AC631" s="6"/>
      <c r="AD631" s="6"/>
      <c r="AE631" s="6"/>
      <c r="AF631" s="6"/>
      <c r="AG631" s="6"/>
    </row>
    <row r="632" ht="14.25" customHeight="1">
      <c r="A632" s="6"/>
      <c r="B632" s="6"/>
      <c r="C632" s="6">
        <v>625.0</v>
      </c>
      <c r="D632" s="6"/>
      <c r="E632" s="6">
        <v>5224346.795766676</v>
      </c>
      <c r="F632" s="6">
        <v>443.79311857948426</v>
      </c>
      <c r="G632" s="6">
        <v>5.124252313287802</v>
      </c>
      <c r="H632" s="6">
        <v>5137274.632536771</v>
      </c>
      <c r="I632" s="6">
        <v>439.7940243253094</v>
      </c>
      <c r="J632" s="6">
        <v>4.021166186088597</v>
      </c>
      <c r="K632" s="6"/>
      <c r="L632" s="6"/>
      <c r="M632" s="6"/>
      <c r="N632" s="6">
        <f t="shared" ref="N632:P632" si="635">IF(LEN($C632)&gt;0,H632-E632,"")</f>
        <v>-87072.16323</v>
      </c>
      <c r="O632" s="6">
        <f t="shared" si="635"/>
        <v>-3.999094254</v>
      </c>
      <c r="P632" s="6">
        <f t="shared" si="635"/>
        <v>-1.103086127</v>
      </c>
      <c r="Q632" s="6"/>
      <c r="R632" s="6"/>
      <c r="S632" s="6"/>
      <c r="T632" s="6"/>
      <c r="U632" s="6"/>
      <c r="V632" s="6"/>
      <c r="W632" s="6"/>
      <c r="X632" s="6"/>
      <c r="Y632" s="6"/>
      <c r="Z632" s="6"/>
      <c r="AA632" s="6"/>
      <c r="AB632" s="6"/>
      <c r="AC632" s="6"/>
      <c r="AD632" s="6"/>
      <c r="AE632" s="6"/>
      <c r="AF632" s="6"/>
      <c r="AG632" s="6"/>
    </row>
    <row r="633" ht="14.25" customHeight="1">
      <c r="A633" s="6"/>
      <c r="B633" s="6"/>
      <c r="C633" s="6">
        <v>626.0</v>
      </c>
      <c r="D633" s="6"/>
      <c r="E633" s="6">
        <v>6884208.42197651</v>
      </c>
      <c r="F633" s="6">
        <v>469.4431315968455</v>
      </c>
      <c r="G633" s="6">
        <v>4.513688621792088</v>
      </c>
      <c r="H633" s="6">
        <v>6789179.175928299</v>
      </c>
      <c r="I633" s="6">
        <v>465.68831955767075</v>
      </c>
      <c r="J633" s="6">
        <v>3.5021811438044788</v>
      </c>
      <c r="K633" s="6"/>
      <c r="L633" s="6"/>
      <c r="M633" s="6"/>
      <c r="N633" s="6">
        <f t="shared" ref="N633:P633" si="636">IF(LEN($C633)&gt;0,H633-E633,"")</f>
        <v>-95029.24605</v>
      </c>
      <c r="O633" s="6">
        <f t="shared" si="636"/>
        <v>-3.754812039</v>
      </c>
      <c r="P633" s="6">
        <f t="shared" si="636"/>
        <v>-1.011507478</v>
      </c>
      <c r="Q633" s="6"/>
      <c r="R633" s="6"/>
      <c r="S633" s="6"/>
      <c r="T633" s="6"/>
      <c r="U633" s="6"/>
      <c r="V633" s="6"/>
      <c r="W633" s="6"/>
      <c r="X633" s="6"/>
      <c r="Y633" s="6"/>
      <c r="Z633" s="6"/>
      <c r="AA633" s="6"/>
      <c r="AB633" s="6"/>
      <c r="AC633" s="6"/>
      <c r="AD633" s="6"/>
      <c r="AE633" s="6"/>
      <c r="AF633" s="6"/>
      <c r="AG633" s="6"/>
    </row>
    <row r="634" ht="14.25" customHeight="1">
      <c r="A634" s="6"/>
      <c r="B634" s="6"/>
      <c r="C634" s="6">
        <v>627.0</v>
      </c>
      <c r="D634" s="6"/>
      <c r="E634" s="6">
        <v>6673638.978195732</v>
      </c>
      <c r="F634" s="6">
        <v>486.21191278495655</v>
      </c>
      <c r="G634" s="6">
        <v>4.9564726149484954</v>
      </c>
      <c r="H634" s="6">
        <v>6589783.161938889</v>
      </c>
      <c r="I634" s="6">
        <v>483.3640917567446</v>
      </c>
      <c r="J634" s="6">
        <v>3.7941662920508743</v>
      </c>
      <c r="K634" s="6"/>
      <c r="L634" s="6"/>
      <c r="M634" s="6"/>
      <c r="N634" s="6">
        <f t="shared" ref="N634:P634" si="637">IF(LEN($C634)&gt;0,H634-E634,"")</f>
        <v>-83855.81626</v>
      </c>
      <c r="O634" s="6">
        <f t="shared" si="637"/>
        <v>-2.847821028</v>
      </c>
      <c r="P634" s="6">
        <f t="shared" si="637"/>
        <v>-1.162306323</v>
      </c>
      <c r="Q634" s="6"/>
      <c r="R634" s="6"/>
      <c r="S634" s="6"/>
      <c r="T634" s="6"/>
      <c r="U634" s="6"/>
      <c r="V634" s="6"/>
      <c r="W634" s="6"/>
      <c r="X634" s="6"/>
      <c r="Y634" s="6"/>
      <c r="Z634" s="6"/>
      <c r="AA634" s="6"/>
      <c r="AB634" s="6"/>
      <c r="AC634" s="6"/>
      <c r="AD634" s="6"/>
      <c r="AE634" s="6"/>
      <c r="AF634" s="6"/>
      <c r="AG634" s="6"/>
    </row>
    <row r="635" ht="14.25" customHeight="1">
      <c r="A635" s="6"/>
      <c r="B635" s="6"/>
      <c r="C635" s="6">
        <v>628.0</v>
      </c>
      <c r="D635" s="6"/>
      <c r="E635" s="6">
        <v>5288165.861379048</v>
      </c>
      <c r="F635" s="6">
        <v>435.8935520849826</v>
      </c>
      <c r="G635" s="6">
        <v>6.126495361615227</v>
      </c>
      <c r="H635" s="6">
        <v>5230678.494220992</v>
      </c>
      <c r="I635" s="6">
        <v>434.39058176700433</v>
      </c>
      <c r="J635" s="6">
        <v>4.874648497724318</v>
      </c>
      <c r="K635" s="6"/>
      <c r="L635" s="6"/>
      <c r="M635" s="6"/>
      <c r="N635" s="6">
        <f t="shared" ref="N635:P635" si="638">IF(LEN($C635)&gt;0,H635-E635,"")</f>
        <v>-57487.36716</v>
      </c>
      <c r="O635" s="6">
        <f t="shared" si="638"/>
        <v>-1.502970318</v>
      </c>
      <c r="P635" s="6">
        <f t="shared" si="638"/>
        <v>-1.251846864</v>
      </c>
      <c r="Q635" s="6"/>
      <c r="R635" s="6"/>
      <c r="S635" s="6"/>
      <c r="T635" s="6"/>
      <c r="U635" s="6"/>
      <c r="V635" s="6"/>
      <c r="W635" s="6"/>
      <c r="X635" s="6"/>
      <c r="Y635" s="6"/>
      <c r="Z635" s="6"/>
      <c r="AA635" s="6"/>
      <c r="AB635" s="6"/>
      <c r="AC635" s="6"/>
      <c r="AD635" s="6"/>
      <c r="AE635" s="6"/>
      <c r="AF635" s="6"/>
      <c r="AG635" s="6"/>
    </row>
    <row r="636" ht="14.25" customHeight="1">
      <c r="A636" s="6"/>
      <c r="B636" s="6"/>
      <c r="C636" s="6">
        <v>629.0</v>
      </c>
      <c r="D636" s="6"/>
      <c r="E636" s="6">
        <v>7357540.281245532</v>
      </c>
      <c r="F636" s="6">
        <v>476.4632470816486</v>
      </c>
      <c r="G636" s="6">
        <v>6.359259803783612</v>
      </c>
      <c r="H636" s="6">
        <v>7216065.062117535</v>
      </c>
      <c r="I636" s="6">
        <v>471.93555341253887</v>
      </c>
      <c r="J636" s="6">
        <v>4.450298307597053</v>
      </c>
      <c r="K636" s="6"/>
      <c r="L636" s="6"/>
      <c r="M636" s="6"/>
      <c r="N636" s="6">
        <f t="shared" ref="N636:P636" si="639">IF(LEN($C636)&gt;0,H636-E636,"")</f>
        <v>-141475.2191</v>
      </c>
      <c r="O636" s="6">
        <f t="shared" si="639"/>
        <v>-4.527693669</v>
      </c>
      <c r="P636" s="6">
        <f t="shared" si="639"/>
        <v>-1.908961496</v>
      </c>
      <c r="Q636" s="6"/>
      <c r="R636" s="6"/>
      <c r="S636" s="6"/>
      <c r="T636" s="6"/>
      <c r="U636" s="6"/>
      <c r="V636" s="6"/>
      <c r="W636" s="6"/>
      <c r="X636" s="6"/>
      <c r="Y636" s="6"/>
      <c r="Z636" s="6"/>
      <c r="AA636" s="6"/>
      <c r="AB636" s="6"/>
      <c r="AC636" s="6"/>
      <c r="AD636" s="6"/>
      <c r="AE636" s="6"/>
      <c r="AF636" s="6"/>
      <c r="AG636" s="6"/>
    </row>
    <row r="637" ht="14.25" customHeight="1">
      <c r="A637" s="6"/>
      <c r="B637" s="6"/>
      <c r="C637" s="6">
        <v>630.0</v>
      </c>
      <c r="D637" s="6"/>
      <c r="E637" s="6">
        <v>8294149.809343074</v>
      </c>
      <c r="F637" s="6">
        <v>487.9914722344394</v>
      </c>
      <c r="G637" s="6">
        <v>4.7849709172794</v>
      </c>
      <c r="H637" s="6">
        <v>8160362.76520717</v>
      </c>
      <c r="I637" s="6">
        <v>481.22368542321254</v>
      </c>
      <c r="J637" s="6">
        <v>3.880953548327738</v>
      </c>
      <c r="K637" s="6"/>
      <c r="L637" s="6"/>
      <c r="M637" s="6"/>
      <c r="N637" s="6">
        <f t="shared" ref="N637:P637" si="640">IF(LEN($C637)&gt;0,H637-E637,"")</f>
        <v>-133787.0441</v>
      </c>
      <c r="O637" s="6">
        <f t="shared" si="640"/>
        <v>-6.767786811</v>
      </c>
      <c r="P637" s="6">
        <f t="shared" si="640"/>
        <v>-0.904017369</v>
      </c>
      <c r="Q637" s="6"/>
      <c r="R637" s="6"/>
      <c r="S637" s="6"/>
      <c r="T637" s="6"/>
      <c r="U637" s="6"/>
      <c r="V637" s="6"/>
      <c r="W637" s="6"/>
      <c r="X637" s="6"/>
      <c r="Y637" s="6"/>
      <c r="Z637" s="6"/>
      <c r="AA637" s="6"/>
      <c r="AB637" s="6"/>
      <c r="AC637" s="6"/>
      <c r="AD637" s="6"/>
      <c r="AE637" s="6"/>
      <c r="AF637" s="6"/>
      <c r="AG637" s="6"/>
    </row>
    <row r="638" ht="14.25" customHeight="1">
      <c r="A638" s="6"/>
      <c r="B638" s="6"/>
      <c r="C638" s="6">
        <v>631.0</v>
      </c>
      <c r="D638" s="6"/>
      <c r="E638" s="6">
        <v>6779626.429777755</v>
      </c>
      <c r="F638" s="6">
        <v>471.67659015638714</v>
      </c>
      <c r="G638" s="6">
        <v>6.237681442784711</v>
      </c>
      <c r="H638" s="6">
        <v>6642949.812271154</v>
      </c>
      <c r="I638" s="6">
        <v>465.7297031616687</v>
      </c>
      <c r="J638" s="6">
        <v>4.68967051643348</v>
      </c>
      <c r="K638" s="6"/>
      <c r="L638" s="6"/>
      <c r="M638" s="6"/>
      <c r="N638" s="6">
        <f t="shared" ref="N638:P638" si="641">IF(LEN($C638)&gt;0,H638-E638,"")</f>
        <v>-136676.6175</v>
      </c>
      <c r="O638" s="6">
        <f t="shared" si="641"/>
        <v>-5.946886995</v>
      </c>
      <c r="P638" s="6">
        <f t="shared" si="641"/>
        <v>-1.548010926</v>
      </c>
      <c r="Q638" s="6"/>
      <c r="R638" s="6"/>
      <c r="S638" s="6"/>
      <c r="T638" s="6"/>
      <c r="U638" s="6"/>
      <c r="V638" s="6"/>
      <c r="W638" s="6"/>
      <c r="X638" s="6"/>
      <c r="Y638" s="6"/>
      <c r="Z638" s="6"/>
      <c r="AA638" s="6"/>
      <c r="AB638" s="6"/>
      <c r="AC638" s="6"/>
      <c r="AD638" s="6"/>
      <c r="AE638" s="6"/>
      <c r="AF638" s="6"/>
      <c r="AG638" s="6"/>
    </row>
    <row r="639" ht="14.25" customHeight="1">
      <c r="A639" s="6"/>
      <c r="B639" s="6"/>
      <c r="C639" s="6">
        <v>632.0</v>
      </c>
      <c r="D639" s="6"/>
      <c r="E639" s="6">
        <v>8426893.438837944</v>
      </c>
      <c r="F639" s="6">
        <v>449.85358247718585</v>
      </c>
      <c r="G639" s="6">
        <v>6.377461198466091</v>
      </c>
      <c r="H639" s="6">
        <v>8300805.650595081</v>
      </c>
      <c r="I639" s="6">
        <v>445.05025573169854</v>
      </c>
      <c r="J639" s="6">
        <v>5.093176650597898</v>
      </c>
      <c r="K639" s="6"/>
      <c r="L639" s="6"/>
      <c r="M639" s="6"/>
      <c r="N639" s="6">
        <f t="shared" ref="N639:P639" si="642">IF(LEN($C639)&gt;0,H639-E639,"")</f>
        <v>-126087.7882</v>
      </c>
      <c r="O639" s="6">
        <f t="shared" si="642"/>
        <v>-4.803326745</v>
      </c>
      <c r="P639" s="6">
        <f t="shared" si="642"/>
        <v>-1.284284548</v>
      </c>
      <c r="Q639" s="6"/>
      <c r="R639" s="6"/>
      <c r="S639" s="6"/>
      <c r="T639" s="6"/>
      <c r="U639" s="6"/>
      <c r="V639" s="6"/>
      <c r="W639" s="6"/>
      <c r="X639" s="6"/>
      <c r="Y639" s="6"/>
      <c r="Z639" s="6"/>
      <c r="AA639" s="6"/>
      <c r="AB639" s="6"/>
      <c r="AC639" s="6"/>
      <c r="AD639" s="6"/>
      <c r="AE639" s="6"/>
      <c r="AF639" s="6"/>
      <c r="AG639" s="6"/>
    </row>
    <row r="640" ht="14.25" customHeight="1">
      <c r="A640" s="6"/>
      <c r="B640" s="6"/>
      <c r="C640" s="6">
        <v>633.0</v>
      </c>
      <c r="D640" s="6"/>
      <c r="E640" s="6">
        <v>6106267.34437258</v>
      </c>
      <c r="F640" s="6">
        <v>429.63570672484093</v>
      </c>
      <c r="G640" s="6">
        <v>6.348773428333728</v>
      </c>
      <c r="H640" s="6">
        <v>6012122.396665494</v>
      </c>
      <c r="I640" s="6">
        <v>426.37095036271563</v>
      </c>
      <c r="J640" s="6">
        <v>4.5333284920960395</v>
      </c>
      <c r="K640" s="6"/>
      <c r="L640" s="6"/>
      <c r="M640" s="6"/>
      <c r="N640" s="6">
        <f t="shared" ref="N640:P640" si="643">IF(LEN($C640)&gt;0,H640-E640,"")</f>
        <v>-94144.94771</v>
      </c>
      <c r="O640" s="6">
        <f t="shared" si="643"/>
        <v>-3.264756362</v>
      </c>
      <c r="P640" s="6">
        <f t="shared" si="643"/>
        <v>-1.815444936</v>
      </c>
      <c r="Q640" s="6"/>
      <c r="R640" s="6"/>
      <c r="S640" s="6"/>
      <c r="T640" s="6"/>
      <c r="U640" s="6"/>
      <c r="V640" s="6"/>
      <c r="W640" s="6"/>
      <c r="X640" s="6"/>
      <c r="Y640" s="6"/>
      <c r="Z640" s="6"/>
      <c r="AA640" s="6"/>
      <c r="AB640" s="6"/>
      <c r="AC640" s="6"/>
      <c r="AD640" s="6"/>
      <c r="AE640" s="6"/>
      <c r="AF640" s="6"/>
      <c r="AG640" s="6"/>
    </row>
    <row r="641" ht="14.25" customHeight="1">
      <c r="A641" s="6"/>
      <c r="B641" s="6"/>
      <c r="C641" s="6">
        <v>634.0</v>
      </c>
      <c r="D641" s="6"/>
      <c r="E641" s="6">
        <v>6751549.664691062</v>
      </c>
      <c r="F641" s="6">
        <v>497.74268611325186</v>
      </c>
      <c r="G641" s="6">
        <v>4.386657095245814</v>
      </c>
      <c r="H641" s="6">
        <v>6613151.642684183</v>
      </c>
      <c r="I641" s="6">
        <v>491.0527533760278</v>
      </c>
      <c r="J641" s="6">
        <v>2.9236755669847874</v>
      </c>
      <c r="K641" s="6"/>
      <c r="L641" s="6"/>
      <c r="M641" s="6"/>
      <c r="N641" s="6">
        <f t="shared" ref="N641:P641" si="644">IF(LEN($C641)&gt;0,H641-E641,"")</f>
        <v>-138398.022</v>
      </c>
      <c r="O641" s="6">
        <f t="shared" si="644"/>
        <v>-6.689932737</v>
      </c>
      <c r="P641" s="6">
        <f t="shared" si="644"/>
        <v>-1.462981528</v>
      </c>
      <c r="Q641" s="6"/>
      <c r="R641" s="6"/>
      <c r="S641" s="6"/>
      <c r="T641" s="6"/>
      <c r="U641" s="6"/>
      <c r="V641" s="6"/>
      <c r="W641" s="6"/>
      <c r="X641" s="6"/>
      <c r="Y641" s="6"/>
      <c r="Z641" s="6"/>
      <c r="AA641" s="6"/>
      <c r="AB641" s="6"/>
      <c r="AC641" s="6"/>
      <c r="AD641" s="6"/>
      <c r="AE641" s="6"/>
      <c r="AF641" s="6"/>
      <c r="AG641" s="6"/>
    </row>
    <row r="642" ht="14.25" customHeight="1">
      <c r="A642" s="6"/>
      <c r="B642" s="6"/>
      <c r="C642" s="6">
        <v>635.0</v>
      </c>
      <c r="D642" s="6"/>
      <c r="E642" s="6">
        <v>5844846.377197747</v>
      </c>
      <c r="F642" s="6">
        <v>485.4637478241757</v>
      </c>
      <c r="G642" s="6">
        <v>5.397552418985039</v>
      </c>
      <c r="H642" s="6">
        <v>5759389.4767471</v>
      </c>
      <c r="I642" s="6">
        <v>481.2898086545114</v>
      </c>
      <c r="J642" s="6">
        <v>4.0891542831752155</v>
      </c>
      <c r="K642" s="6"/>
      <c r="L642" s="6"/>
      <c r="M642" s="6"/>
      <c r="N642" s="6">
        <f t="shared" ref="N642:P642" si="645">IF(LEN($C642)&gt;0,H642-E642,"")</f>
        <v>-85456.90045</v>
      </c>
      <c r="O642" s="6">
        <f t="shared" si="645"/>
        <v>-4.17393917</v>
      </c>
      <c r="P642" s="6">
        <f t="shared" si="645"/>
        <v>-1.308398136</v>
      </c>
      <c r="Q642" s="6"/>
      <c r="R642" s="6"/>
      <c r="S642" s="6"/>
      <c r="T642" s="6"/>
      <c r="U642" s="6"/>
      <c r="V642" s="6"/>
      <c r="W642" s="6"/>
      <c r="X642" s="6"/>
      <c r="Y642" s="6"/>
      <c r="Z642" s="6"/>
      <c r="AA642" s="6"/>
      <c r="AB642" s="6"/>
      <c r="AC642" s="6"/>
      <c r="AD642" s="6"/>
      <c r="AE642" s="6"/>
      <c r="AF642" s="6"/>
      <c r="AG642" s="6"/>
    </row>
    <row r="643" ht="14.25" customHeight="1">
      <c r="A643" s="6"/>
      <c r="B643" s="6"/>
      <c r="C643" s="6">
        <v>636.0</v>
      </c>
      <c r="D643" s="6"/>
      <c r="E643" s="6">
        <v>8423423.146762613</v>
      </c>
      <c r="F643" s="6">
        <v>464.1979312675814</v>
      </c>
      <c r="G643" s="6">
        <v>5.140347976502283</v>
      </c>
      <c r="H643" s="6">
        <v>8249129.813686478</v>
      </c>
      <c r="I643" s="6">
        <v>455.22645560153796</v>
      </c>
      <c r="J643" s="6">
        <v>3.5930428096787304</v>
      </c>
      <c r="K643" s="6"/>
      <c r="L643" s="6"/>
      <c r="M643" s="6"/>
      <c r="N643" s="6">
        <f t="shared" ref="N643:P643" si="646">IF(LEN($C643)&gt;0,H643-E643,"")</f>
        <v>-174293.3331</v>
      </c>
      <c r="O643" s="6">
        <f t="shared" si="646"/>
        <v>-8.971475666</v>
      </c>
      <c r="P643" s="6">
        <f t="shared" si="646"/>
        <v>-1.547305167</v>
      </c>
      <c r="Q643" s="6"/>
      <c r="R643" s="6"/>
      <c r="S643" s="6"/>
      <c r="T643" s="6"/>
      <c r="U643" s="6"/>
      <c r="V643" s="6"/>
      <c r="W643" s="6"/>
      <c r="X643" s="6"/>
      <c r="Y643" s="6"/>
      <c r="Z643" s="6"/>
      <c r="AA643" s="6"/>
      <c r="AB643" s="6"/>
      <c r="AC643" s="6"/>
      <c r="AD643" s="6"/>
      <c r="AE643" s="6"/>
      <c r="AF643" s="6"/>
      <c r="AG643" s="6"/>
    </row>
    <row r="644" ht="14.25" customHeight="1">
      <c r="A644" s="6"/>
      <c r="B644" s="6"/>
      <c r="C644" s="6">
        <v>637.0</v>
      </c>
      <c r="D644" s="6"/>
      <c r="E644" s="6">
        <v>7528679.698713124</v>
      </c>
      <c r="F644" s="6">
        <v>471.4750694271559</v>
      </c>
      <c r="G644" s="6">
        <v>4.4345414603001165</v>
      </c>
      <c r="H644" s="6">
        <v>7373948.335818618</v>
      </c>
      <c r="I644" s="6">
        <v>463.92360509950197</v>
      </c>
      <c r="J644" s="6">
        <v>3.0152653567714838</v>
      </c>
      <c r="K644" s="6"/>
      <c r="L644" s="6"/>
      <c r="M644" s="6"/>
      <c r="N644" s="6">
        <f t="shared" ref="N644:P644" si="647">IF(LEN($C644)&gt;0,H644-E644,"")</f>
        <v>-154731.3629</v>
      </c>
      <c r="O644" s="6">
        <f t="shared" si="647"/>
        <v>-7.551464328</v>
      </c>
      <c r="P644" s="6">
        <f t="shared" si="647"/>
        <v>-1.419276104</v>
      </c>
      <c r="Q644" s="6"/>
      <c r="R644" s="6"/>
      <c r="S644" s="6"/>
      <c r="T644" s="6"/>
      <c r="U644" s="6"/>
      <c r="V644" s="6"/>
      <c r="W644" s="6"/>
      <c r="X644" s="6"/>
      <c r="Y644" s="6"/>
      <c r="Z644" s="6"/>
      <c r="AA644" s="6"/>
      <c r="AB644" s="6"/>
      <c r="AC644" s="6"/>
      <c r="AD644" s="6"/>
      <c r="AE644" s="6"/>
      <c r="AF644" s="6"/>
      <c r="AG644" s="6"/>
    </row>
    <row r="645" ht="14.25" customHeight="1">
      <c r="A645" s="6"/>
      <c r="B645" s="6"/>
      <c r="C645" s="6">
        <v>638.0</v>
      </c>
      <c r="D645" s="6"/>
      <c r="E645" s="6">
        <v>7484951.895866343</v>
      </c>
      <c r="F645" s="6">
        <v>494.07669731003415</v>
      </c>
      <c r="G645" s="6">
        <v>4.572388409160701</v>
      </c>
      <c r="H645" s="6">
        <v>7382084.01784354</v>
      </c>
      <c r="I645" s="6">
        <v>488.93241838941907</v>
      </c>
      <c r="J645" s="6">
        <v>3.1300069078088333</v>
      </c>
      <c r="K645" s="6"/>
      <c r="L645" s="6"/>
      <c r="M645" s="6"/>
      <c r="N645" s="6">
        <f t="shared" ref="N645:P645" si="648">IF(LEN($C645)&gt;0,H645-E645,"")</f>
        <v>-102867.878</v>
      </c>
      <c r="O645" s="6">
        <f t="shared" si="648"/>
        <v>-5.144278921</v>
      </c>
      <c r="P645" s="6">
        <f t="shared" si="648"/>
        <v>-1.442381501</v>
      </c>
      <c r="Q645" s="6"/>
      <c r="R645" s="6"/>
      <c r="S645" s="6"/>
      <c r="T645" s="6"/>
      <c r="U645" s="6"/>
      <c r="V645" s="6"/>
      <c r="W645" s="6"/>
      <c r="X645" s="6"/>
      <c r="Y645" s="6"/>
      <c r="Z645" s="6"/>
      <c r="AA645" s="6"/>
      <c r="AB645" s="6"/>
      <c r="AC645" s="6"/>
      <c r="AD645" s="6"/>
      <c r="AE645" s="6"/>
      <c r="AF645" s="6"/>
      <c r="AG645" s="6"/>
    </row>
    <row r="646" ht="14.25" customHeight="1">
      <c r="A646" s="6"/>
      <c r="B646" s="6"/>
      <c r="C646" s="6">
        <v>639.0</v>
      </c>
      <c r="D646" s="6"/>
      <c r="E646" s="6">
        <v>8147088.419442048</v>
      </c>
      <c r="F646" s="6">
        <v>452.93185291279786</v>
      </c>
      <c r="G646" s="6">
        <v>4.825882302772136</v>
      </c>
      <c r="H646" s="6">
        <v>7979469.153117878</v>
      </c>
      <c r="I646" s="6">
        <v>443.29394636692064</v>
      </c>
      <c r="J646" s="6">
        <v>3.1045879845185294</v>
      </c>
      <c r="K646" s="6"/>
      <c r="L646" s="6"/>
      <c r="M646" s="6"/>
      <c r="N646" s="6">
        <f t="shared" ref="N646:P646" si="649">IF(LEN($C646)&gt;0,H646-E646,"")</f>
        <v>-167619.2663</v>
      </c>
      <c r="O646" s="6">
        <f t="shared" si="649"/>
        <v>-9.637906546</v>
      </c>
      <c r="P646" s="6">
        <f t="shared" si="649"/>
        <v>-1.721294318</v>
      </c>
      <c r="Q646" s="6"/>
      <c r="R646" s="6"/>
      <c r="S646" s="6"/>
      <c r="T646" s="6"/>
      <c r="U646" s="6"/>
      <c r="V646" s="6"/>
      <c r="W646" s="6"/>
      <c r="X646" s="6"/>
      <c r="Y646" s="6"/>
      <c r="Z646" s="6"/>
      <c r="AA646" s="6"/>
      <c r="AB646" s="6"/>
      <c r="AC646" s="6"/>
      <c r="AD646" s="6"/>
      <c r="AE646" s="6"/>
      <c r="AF646" s="6"/>
      <c r="AG646" s="6"/>
    </row>
    <row r="647" ht="14.25" customHeight="1">
      <c r="A647" s="6"/>
      <c r="B647" s="6"/>
      <c r="C647" s="6">
        <v>640.0</v>
      </c>
      <c r="D647" s="6"/>
      <c r="E647" s="6">
        <v>6599632.437443756</v>
      </c>
      <c r="F647" s="6">
        <v>473.1583694609937</v>
      </c>
      <c r="G647" s="6">
        <v>4.249306848917123</v>
      </c>
      <c r="H647" s="6">
        <v>6552338.265078349</v>
      </c>
      <c r="I647" s="6">
        <v>471.8798786535187</v>
      </c>
      <c r="J647" s="6">
        <v>3.5599089159112838</v>
      </c>
      <c r="K647" s="6"/>
      <c r="L647" s="6"/>
      <c r="M647" s="6"/>
      <c r="N647" s="6">
        <f t="shared" ref="N647:P647" si="650">IF(LEN($C647)&gt;0,H647-E647,"")</f>
        <v>-47294.17237</v>
      </c>
      <c r="O647" s="6">
        <f t="shared" si="650"/>
        <v>-1.278490807</v>
      </c>
      <c r="P647" s="6">
        <f t="shared" si="650"/>
        <v>-0.689397933</v>
      </c>
      <c r="Q647" s="6"/>
      <c r="R647" s="6"/>
      <c r="S647" s="6"/>
      <c r="T647" s="6"/>
      <c r="U647" s="6"/>
      <c r="V647" s="6"/>
      <c r="W647" s="6"/>
      <c r="X647" s="6"/>
      <c r="Y647" s="6"/>
      <c r="Z647" s="6"/>
      <c r="AA647" s="6"/>
      <c r="AB647" s="6"/>
      <c r="AC647" s="6"/>
      <c r="AD647" s="6"/>
      <c r="AE647" s="6"/>
      <c r="AF647" s="6"/>
      <c r="AG647" s="6"/>
    </row>
    <row r="648" ht="14.25" customHeight="1">
      <c r="A648" s="6"/>
      <c r="B648" s="6"/>
      <c r="C648" s="6">
        <v>641.0</v>
      </c>
      <c r="D648" s="6"/>
      <c r="E648" s="6">
        <v>8612601.679657979</v>
      </c>
      <c r="F648" s="6">
        <v>518.8243701099</v>
      </c>
      <c r="G648" s="6">
        <v>6.188801443983216</v>
      </c>
      <c r="H648" s="6">
        <v>8302492.525765299</v>
      </c>
      <c r="I648" s="6">
        <v>504.1124761642823</v>
      </c>
      <c r="J648" s="6">
        <v>4.154891822447408</v>
      </c>
      <c r="K648" s="6"/>
      <c r="L648" s="6"/>
      <c r="M648" s="6"/>
      <c r="N648" s="6">
        <f t="shared" ref="N648:P648" si="651">IF(LEN($C648)&gt;0,H648-E648,"")</f>
        <v>-310109.1539</v>
      </c>
      <c r="O648" s="6">
        <f t="shared" si="651"/>
        <v>-14.71189395</v>
      </c>
      <c r="P648" s="6">
        <f t="shared" si="651"/>
        <v>-2.033909622</v>
      </c>
      <c r="Q648" s="6"/>
      <c r="R648" s="6"/>
      <c r="S648" s="6"/>
      <c r="T648" s="6"/>
      <c r="U648" s="6"/>
      <c r="V648" s="6"/>
      <c r="W648" s="6"/>
      <c r="X648" s="6"/>
      <c r="Y648" s="6"/>
      <c r="Z648" s="6"/>
      <c r="AA648" s="6"/>
      <c r="AB648" s="6"/>
      <c r="AC648" s="6"/>
      <c r="AD648" s="6"/>
      <c r="AE648" s="6"/>
      <c r="AF648" s="6"/>
      <c r="AG648" s="6"/>
    </row>
    <row r="649" ht="14.25" customHeight="1">
      <c r="A649" s="6"/>
      <c r="B649" s="6"/>
      <c r="C649" s="6">
        <v>642.0</v>
      </c>
      <c r="D649" s="6"/>
      <c r="E649" s="6">
        <v>5514657.412341614</v>
      </c>
      <c r="F649" s="6">
        <v>486.18321959097506</v>
      </c>
      <c r="G649" s="6">
        <v>6.029608742034489</v>
      </c>
      <c r="H649" s="6">
        <v>5306622.923219841</v>
      </c>
      <c r="I649" s="6">
        <v>478.7934394432851</v>
      </c>
      <c r="J649" s="6">
        <v>3.7442762681366153</v>
      </c>
      <c r="K649" s="6"/>
      <c r="L649" s="6"/>
      <c r="M649" s="6"/>
      <c r="N649" s="6">
        <f t="shared" ref="N649:P649" si="652">IF(LEN($C649)&gt;0,H649-E649,"")</f>
        <v>-208034.4891</v>
      </c>
      <c r="O649" s="6">
        <f t="shared" si="652"/>
        <v>-7.389780148</v>
      </c>
      <c r="P649" s="6">
        <f t="shared" si="652"/>
        <v>-2.285332474</v>
      </c>
      <c r="Q649" s="6"/>
      <c r="R649" s="6"/>
      <c r="S649" s="6"/>
      <c r="T649" s="6"/>
      <c r="U649" s="6"/>
      <c r="V649" s="6"/>
      <c r="W649" s="6"/>
      <c r="X649" s="6"/>
      <c r="Y649" s="6"/>
      <c r="Z649" s="6"/>
      <c r="AA649" s="6"/>
      <c r="AB649" s="6"/>
      <c r="AC649" s="6"/>
      <c r="AD649" s="6"/>
      <c r="AE649" s="6"/>
      <c r="AF649" s="6"/>
      <c r="AG649" s="6"/>
    </row>
    <row r="650" ht="14.25" customHeight="1">
      <c r="A650" s="6"/>
      <c r="B650" s="6"/>
      <c r="C650" s="6">
        <v>643.0</v>
      </c>
      <c r="D650" s="6"/>
      <c r="E650" s="6">
        <v>7610959.795202016</v>
      </c>
      <c r="F650" s="6">
        <v>443.0663605643745</v>
      </c>
      <c r="G650" s="6">
        <v>5.003201635906338</v>
      </c>
      <c r="H650" s="6">
        <v>7523349.556142435</v>
      </c>
      <c r="I650" s="6">
        <v>439.1876492428067</v>
      </c>
      <c r="J650" s="6">
        <v>3.6589818221341353</v>
      </c>
      <c r="K650" s="6"/>
      <c r="L650" s="6"/>
      <c r="M650" s="6"/>
      <c r="N650" s="6">
        <f t="shared" ref="N650:P650" si="653">IF(LEN($C650)&gt;0,H650-E650,"")</f>
        <v>-87610.23906</v>
      </c>
      <c r="O650" s="6">
        <f t="shared" si="653"/>
        <v>-3.878711322</v>
      </c>
      <c r="P650" s="6">
        <f t="shared" si="653"/>
        <v>-1.344219814</v>
      </c>
      <c r="Q650" s="6"/>
      <c r="R650" s="6"/>
      <c r="S650" s="6"/>
      <c r="T650" s="6"/>
      <c r="U650" s="6"/>
      <c r="V650" s="6"/>
      <c r="W650" s="6"/>
      <c r="X650" s="6"/>
      <c r="Y650" s="6"/>
      <c r="Z650" s="6"/>
      <c r="AA650" s="6"/>
      <c r="AB650" s="6"/>
      <c r="AC650" s="6"/>
      <c r="AD650" s="6"/>
      <c r="AE650" s="6"/>
      <c r="AF650" s="6"/>
      <c r="AG650" s="6"/>
    </row>
    <row r="651" ht="14.25" customHeight="1">
      <c r="A651" s="6"/>
      <c r="B651" s="6"/>
      <c r="C651" s="6">
        <v>644.0</v>
      </c>
      <c r="D651" s="6"/>
      <c r="E651" s="6">
        <v>9193916.526460068</v>
      </c>
      <c r="F651" s="6">
        <v>490.3570274870562</v>
      </c>
      <c r="G651" s="6">
        <v>4.057355153332369</v>
      </c>
      <c r="H651" s="6">
        <v>9145272.475478133</v>
      </c>
      <c r="I651" s="6">
        <v>487.897376340187</v>
      </c>
      <c r="J651" s="6">
        <v>3.5674489810954064</v>
      </c>
      <c r="K651" s="6"/>
      <c r="L651" s="6"/>
      <c r="M651" s="6"/>
      <c r="N651" s="6">
        <f t="shared" ref="N651:P651" si="654">IF(LEN($C651)&gt;0,H651-E651,"")</f>
        <v>-48644.05098</v>
      </c>
      <c r="O651" s="6">
        <f t="shared" si="654"/>
        <v>-2.459651147</v>
      </c>
      <c r="P651" s="6">
        <f t="shared" si="654"/>
        <v>-0.4899061722</v>
      </c>
      <c r="Q651" s="6"/>
      <c r="R651" s="6"/>
      <c r="S651" s="6"/>
      <c r="T651" s="6"/>
      <c r="U651" s="6"/>
      <c r="V651" s="6"/>
      <c r="W651" s="6"/>
      <c r="X651" s="6"/>
      <c r="Y651" s="6"/>
      <c r="Z651" s="6"/>
      <c r="AA651" s="6"/>
      <c r="AB651" s="6"/>
      <c r="AC651" s="6"/>
      <c r="AD651" s="6"/>
      <c r="AE651" s="6"/>
      <c r="AF651" s="6"/>
      <c r="AG651" s="6"/>
    </row>
    <row r="652" ht="14.25" customHeight="1">
      <c r="A652" s="6"/>
      <c r="B652" s="6"/>
      <c r="C652" s="6">
        <v>645.0</v>
      </c>
      <c r="D652" s="6"/>
      <c r="E652" s="6">
        <v>7379729.425599779</v>
      </c>
      <c r="F652" s="6">
        <v>445.9841260959471</v>
      </c>
      <c r="G652" s="6">
        <v>5.810294606392473</v>
      </c>
      <c r="H652" s="6">
        <v>7305673.90955899</v>
      </c>
      <c r="I652" s="6">
        <v>443.59704912600233</v>
      </c>
      <c r="J652" s="6">
        <v>4.73773780013865</v>
      </c>
      <c r="K652" s="6"/>
      <c r="L652" s="6"/>
      <c r="M652" s="6"/>
      <c r="N652" s="6">
        <f t="shared" ref="N652:P652" si="655">IF(LEN($C652)&gt;0,H652-E652,"")</f>
        <v>-74055.51604</v>
      </c>
      <c r="O652" s="6">
        <f t="shared" si="655"/>
        <v>-2.38707697</v>
      </c>
      <c r="P652" s="6">
        <f t="shared" si="655"/>
        <v>-1.072556806</v>
      </c>
      <c r="Q652" s="6"/>
      <c r="R652" s="6"/>
      <c r="S652" s="6"/>
      <c r="T652" s="6"/>
      <c r="U652" s="6"/>
      <c r="V652" s="6"/>
      <c r="W652" s="6"/>
      <c r="X652" s="6"/>
      <c r="Y652" s="6"/>
      <c r="Z652" s="6"/>
      <c r="AA652" s="6"/>
      <c r="AB652" s="6"/>
      <c r="AC652" s="6"/>
      <c r="AD652" s="6"/>
      <c r="AE652" s="6"/>
      <c r="AF652" s="6"/>
      <c r="AG652" s="6"/>
    </row>
    <row r="653" ht="14.25" customHeight="1">
      <c r="A653" s="6"/>
      <c r="B653" s="6"/>
      <c r="C653" s="6">
        <v>646.0</v>
      </c>
      <c r="D653" s="6"/>
      <c r="E653" s="6">
        <v>6213713.87922808</v>
      </c>
      <c r="F653" s="6">
        <v>477.0331087365316</v>
      </c>
      <c r="G653" s="6">
        <v>6.13528717520636</v>
      </c>
      <c r="H653" s="6">
        <v>6158568.5606215</v>
      </c>
      <c r="I653" s="6">
        <v>475.6789708540416</v>
      </c>
      <c r="J653" s="6">
        <v>4.985410172563123</v>
      </c>
      <c r="K653" s="6"/>
      <c r="L653" s="6"/>
      <c r="M653" s="6"/>
      <c r="N653" s="6">
        <f t="shared" ref="N653:P653" si="656">IF(LEN($C653)&gt;0,H653-E653,"")</f>
        <v>-55145.31861</v>
      </c>
      <c r="O653" s="6">
        <f t="shared" si="656"/>
        <v>-1.354137882</v>
      </c>
      <c r="P653" s="6">
        <f t="shared" si="656"/>
        <v>-1.149877003</v>
      </c>
      <c r="Q653" s="6"/>
      <c r="R653" s="6"/>
      <c r="S653" s="6"/>
      <c r="T653" s="6"/>
      <c r="U653" s="6"/>
      <c r="V653" s="6"/>
      <c r="W653" s="6"/>
      <c r="X653" s="6"/>
      <c r="Y653" s="6"/>
      <c r="Z653" s="6"/>
      <c r="AA653" s="6"/>
      <c r="AB653" s="6"/>
      <c r="AC653" s="6"/>
      <c r="AD653" s="6"/>
      <c r="AE653" s="6"/>
      <c r="AF653" s="6"/>
      <c r="AG653" s="6"/>
    </row>
    <row r="654" ht="14.25" customHeight="1">
      <c r="A654" s="6"/>
      <c r="B654" s="6"/>
      <c r="C654" s="6">
        <v>647.0</v>
      </c>
      <c r="D654" s="6"/>
      <c r="E654" s="6">
        <v>6626553.035047401</v>
      </c>
      <c r="F654" s="6">
        <v>471.7707490519375</v>
      </c>
      <c r="G654" s="6">
        <v>3.3492476402452462</v>
      </c>
      <c r="H654" s="6">
        <v>6570149.432557484</v>
      </c>
      <c r="I654" s="6">
        <v>469.88053434566865</v>
      </c>
      <c r="J654" s="6">
        <v>2.498959717037004</v>
      </c>
      <c r="K654" s="6"/>
      <c r="L654" s="6"/>
      <c r="M654" s="6"/>
      <c r="N654" s="6">
        <f t="shared" ref="N654:P654" si="657">IF(LEN($C654)&gt;0,H654-E654,"")</f>
        <v>-56403.60249</v>
      </c>
      <c r="O654" s="6">
        <f t="shared" si="657"/>
        <v>-1.890214706</v>
      </c>
      <c r="P654" s="6">
        <f t="shared" si="657"/>
        <v>-0.8502879232</v>
      </c>
      <c r="Q654" s="6"/>
      <c r="R654" s="6"/>
      <c r="S654" s="6"/>
      <c r="T654" s="6"/>
      <c r="U654" s="6"/>
      <c r="V654" s="6"/>
      <c r="W654" s="6"/>
      <c r="X654" s="6"/>
      <c r="Y654" s="6"/>
      <c r="Z654" s="6"/>
      <c r="AA654" s="6"/>
      <c r="AB654" s="6"/>
      <c r="AC654" s="6"/>
      <c r="AD654" s="6"/>
      <c r="AE654" s="6"/>
      <c r="AF654" s="6"/>
      <c r="AG654" s="6"/>
    </row>
    <row r="655" ht="14.25" customHeight="1">
      <c r="A655" s="6"/>
      <c r="B655" s="6"/>
      <c r="C655" s="6">
        <v>648.0</v>
      </c>
      <c r="D655" s="6"/>
      <c r="E655" s="6">
        <v>9007688.868651224</v>
      </c>
      <c r="F655" s="6">
        <v>479.99830547398903</v>
      </c>
      <c r="G655" s="6">
        <v>3.802184605525905</v>
      </c>
      <c r="H655" s="6">
        <v>8949642.739422994</v>
      </c>
      <c r="I655" s="6">
        <v>477.24242321224693</v>
      </c>
      <c r="J655" s="6">
        <v>2.9690617418712835</v>
      </c>
      <c r="K655" s="6"/>
      <c r="L655" s="6"/>
      <c r="M655" s="6"/>
      <c r="N655" s="6">
        <f t="shared" ref="N655:P655" si="658">IF(LEN($C655)&gt;0,H655-E655,"")</f>
        <v>-58046.12923</v>
      </c>
      <c r="O655" s="6">
        <f t="shared" si="658"/>
        <v>-2.755882262</v>
      </c>
      <c r="P655" s="6">
        <f t="shared" si="658"/>
        <v>-0.8331228637</v>
      </c>
      <c r="Q655" s="6"/>
      <c r="R655" s="6"/>
      <c r="S655" s="6"/>
      <c r="T655" s="6"/>
      <c r="U655" s="6"/>
      <c r="V655" s="6"/>
      <c r="W655" s="6"/>
      <c r="X655" s="6"/>
      <c r="Y655" s="6"/>
      <c r="Z655" s="6"/>
      <c r="AA655" s="6"/>
      <c r="AB655" s="6"/>
      <c r="AC655" s="6"/>
      <c r="AD655" s="6"/>
      <c r="AE655" s="6"/>
      <c r="AF655" s="6"/>
      <c r="AG655" s="6"/>
    </row>
    <row r="656" ht="14.25" customHeight="1">
      <c r="A656" s="6"/>
      <c r="B656" s="6"/>
      <c r="C656" s="6">
        <v>649.0</v>
      </c>
      <c r="D656" s="6"/>
      <c r="E656" s="6">
        <v>7988189.386741833</v>
      </c>
      <c r="F656" s="6">
        <v>439.3043258216134</v>
      </c>
      <c r="G656" s="6">
        <v>4.258037652731231</v>
      </c>
      <c r="H656" s="6">
        <v>7876964.357656124</v>
      </c>
      <c r="I656" s="6">
        <v>435.5259817373952</v>
      </c>
      <c r="J656" s="6">
        <v>3.035024293393848</v>
      </c>
      <c r="K656" s="6"/>
      <c r="L656" s="6"/>
      <c r="M656" s="6"/>
      <c r="N656" s="6">
        <f t="shared" ref="N656:P656" si="659">IF(LEN($C656)&gt;0,H656-E656,"")</f>
        <v>-111225.0291</v>
      </c>
      <c r="O656" s="6">
        <f t="shared" si="659"/>
        <v>-3.778344084</v>
      </c>
      <c r="P656" s="6">
        <f t="shared" si="659"/>
        <v>-1.223013359</v>
      </c>
      <c r="Q656" s="6"/>
      <c r="R656" s="6"/>
      <c r="S656" s="6"/>
      <c r="T656" s="6"/>
      <c r="U656" s="6"/>
      <c r="V656" s="6"/>
      <c r="W656" s="6"/>
      <c r="X656" s="6"/>
      <c r="Y656" s="6"/>
      <c r="Z656" s="6"/>
      <c r="AA656" s="6"/>
      <c r="AB656" s="6"/>
      <c r="AC656" s="6"/>
      <c r="AD656" s="6"/>
      <c r="AE656" s="6"/>
      <c r="AF656" s="6"/>
      <c r="AG656" s="6"/>
    </row>
    <row r="657" ht="14.25" customHeight="1">
      <c r="A657" s="6"/>
      <c r="B657" s="6"/>
      <c r="C657" s="6">
        <v>650.0</v>
      </c>
      <c r="D657" s="6"/>
      <c r="E657" s="6">
        <v>9311751.976138959</v>
      </c>
      <c r="F657" s="6">
        <v>471.94243629403917</v>
      </c>
      <c r="G657" s="6">
        <v>5.313053513903437</v>
      </c>
      <c r="H657" s="6">
        <v>9162238.670561602</v>
      </c>
      <c r="I657" s="6">
        <v>467.2917198881657</v>
      </c>
      <c r="J657" s="6">
        <v>3.6286521291945455</v>
      </c>
      <c r="K657" s="6"/>
      <c r="L657" s="6"/>
      <c r="M657" s="6"/>
      <c r="N657" s="6">
        <f t="shared" ref="N657:P657" si="660">IF(LEN($C657)&gt;0,H657-E657,"")</f>
        <v>-149513.3056</v>
      </c>
      <c r="O657" s="6">
        <f t="shared" si="660"/>
        <v>-4.650716406</v>
      </c>
      <c r="P657" s="6">
        <f t="shared" si="660"/>
        <v>-1.684401385</v>
      </c>
      <c r="Q657" s="6"/>
      <c r="R657" s="6"/>
      <c r="S657" s="6"/>
      <c r="T657" s="6"/>
      <c r="U657" s="6"/>
      <c r="V657" s="6"/>
      <c r="W657" s="6"/>
      <c r="X657" s="6"/>
      <c r="Y657" s="6"/>
      <c r="Z657" s="6"/>
      <c r="AA657" s="6"/>
      <c r="AB657" s="6"/>
      <c r="AC657" s="6"/>
      <c r="AD657" s="6"/>
      <c r="AE657" s="6"/>
      <c r="AF657" s="6"/>
      <c r="AG657" s="6"/>
    </row>
    <row r="658" ht="14.25" customHeight="1">
      <c r="A658" s="6"/>
      <c r="B658" s="6"/>
      <c r="C658" s="6">
        <v>651.0</v>
      </c>
      <c r="D658" s="6"/>
      <c r="E658" s="6">
        <v>7813095.387988159</v>
      </c>
      <c r="F658" s="6">
        <v>480.04867053595063</v>
      </c>
      <c r="G658" s="6">
        <v>6.747354616185694</v>
      </c>
      <c r="H658" s="6">
        <v>7662513.222455222</v>
      </c>
      <c r="I658" s="6">
        <v>474.8596121815122</v>
      </c>
      <c r="J658" s="6">
        <v>4.87817645216186</v>
      </c>
      <c r="K658" s="6"/>
      <c r="L658" s="6"/>
      <c r="M658" s="6"/>
      <c r="N658" s="6">
        <f t="shared" ref="N658:P658" si="661">IF(LEN($C658)&gt;0,H658-E658,"")</f>
        <v>-150582.1655</v>
      </c>
      <c r="O658" s="6">
        <f t="shared" si="661"/>
        <v>-5.189058354</v>
      </c>
      <c r="P658" s="6">
        <f t="shared" si="661"/>
        <v>-1.869178164</v>
      </c>
      <c r="Q658" s="6"/>
      <c r="R658" s="6"/>
      <c r="S658" s="6"/>
      <c r="T658" s="6"/>
      <c r="U658" s="6"/>
      <c r="V658" s="6"/>
      <c r="W658" s="6"/>
      <c r="X658" s="6"/>
      <c r="Y658" s="6"/>
      <c r="Z658" s="6"/>
      <c r="AA658" s="6"/>
      <c r="AB658" s="6"/>
      <c r="AC658" s="6"/>
      <c r="AD658" s="6"/>
      <c r="AE658" s="6"/>
      <c r="AF658" s="6"/>
      <c r="AG658" s="6"/>
    </row>
    <row r="659" ht="14.25" customHeight="1">
      <c r="A659" s="6"/>
      <c r="B659" s="6"/>
      <c r="C659" s="6">
        <v>652.0</v>
      </c>
      <c r="D659" s="6"/>
      <c r="E659" s="6">
        <v>8884941.333777891</v>
      </c>
      <c r="F659" s="6">
        <v>513.374047261395</v>
      </c>
      <c r="G659" s="6">
        <v>4.169390944190438</v>
      </c>
      <c r="H659" s="6">
        <v>8742391.195341263</v>
      </c>
      <c r="I659" s="6">
        <v>506.06449397372353</v>
      </c>
      <c r="J659" s="6">
        <v>3.29231099118998</v>
      </c>
      <c r="K659" s="6"/>
      <c r="L659" s="6"/>
      <c r="M659" s="6"/>
      <c r="N659" s="6">
        <f t="shared" ref="N659:P659" si="662">IF(LEN($C659)&gt;0,H659-E659,"")</f>
        <v>-142550.1384</v>
      </c>
      <c r="O659" s="6">
        <f t="shared" si="662"/>
        <v>-7.309553288</v>
      </c>
      <c r="P659" s="6">
        <f t="shared" si="662"/>
        <v>-0.877079953</v>
      </c>
      <c r="Q659" s="6"/>
      <c r="R659" s="6"/>
      <c r="S659" s="6"/>
      <c r="T659" s="6"/>
      <c r="U659" s="6"/>
      <c r="V659" s="6"/>
      <c r="W659" s="6"/>
      <c r="X659" s="6"/>
      <c r="Y659" s="6"/>
      <c r="Z659" s="6"/>
      <c r="AA659" s="6"/>
      <c r="AB659" s="6"/>
      <c r="AC659" s="6"/>
      <c r="AD659" s="6"/>
      <c r="AE659" s="6"/>
      <c r="AF659" s="6"/>
      <c r="AG659" s="6"/>
    </row>
    <row r="660" ht="14.25" customHeight="1">
      <c r="A660" s="6"/>
      <c r="B660" s="6"/>
      <c r="C660" s="6">
        <v>653.0</v>
      </c>
      <c r="D660" s="6"/>
      <c r="E660" s="6">
        <v>8204630.072239999</v>
      </c>
      <c r="F660" s="6">
        <v>434.6335765040185</v>
      </c>
      <c r="G660" s="6">
        <v>5.279786017187133</v>
      </c>
      <c r="H660" s="6">
        <v>8115585.188802951</v>
      </c>
      <c r="I660" s="6">
        <v>432.2942785092575</v>
      </c>
      <c r="J660" s="6">
        <v>4.01653043735011</v>
      </c>
      <c r="K660" s="6"/>
      <c r="L660" s="6"/>
      <c r="M660" s="6"/>
      <c r="N660" s="6">
        <f t="shared" ref="N660:P660" si="663">IF(LEN($C660)&gt;0,H660-E660,"")</f>
        <v>-89044.88344</v>
      </c>
      <c r="O660" s="6">
        <f t="shared" si="663"/>
        <v>-2.339297995</v>
      </c>
      <c r="P660" s="6">
        <f t="shared" si="663"/>
        <v>-1.26325558</v>
      </c>
      <c r="Q660" s="6"/>
      <c r="R660" s="6"/>
      <c r="S660" s="6"/>
      <c r="T660" s="6"/>
      <c r="U660" s="6"/>
      <c r="V660" s="6"/>
      <c r="W660" s="6"/>
      <c r="X660" s="6"/>
      <c r="Y660" s="6"/>
      <c r="Z660" s="6"/>
      <c r="AA660" s="6"/>
      <c r="AB660" s="6"/>
      <c r="AC660" s="6"/>
      <c r="AD660" s="6"/>
      <c r="AE660" s="6"/>
      <c r="AF660" s="6"/>
      <c r="AG660" s="6"/>
    </row>
    <row r="661" ht="14.25" customHeight="1">
      <c r="A661" s="6"/>
      <c r="B661" s="6"/>
      <c r="C661" s="6">
        <v>654.0</v>
      </c>
      <c r="D661" s="6"/>
      <c r="E661" s="6">
        <v>7231822.479737942</v>
      </c>
      <c r="F661" s="6">
        <v>456.570862290788</v>
      </c>
      <c r="G661" s="6">
        <v>4.579440608577154</v>
      </c>
      <c r="H661" s="6">
        <v>7112392.972209134</v>
      </c>
      <c r="I661" s="6">
        <v>452.98187145071313</v>
      </c>
      <c r="J661" s="6">
        <v>3.506422140063259</v>
      </c>
      <c r="K661" s="6"/>
      <c r="L661" s="6"/>
      <c r="M661" s="6"/>
      <c r="N661" s="6">
        <f t="shared" ref="N661:P661" si="664">IF(LEN($C661)&gt;0,H661-E661,"")</f>
        <v>-119429.5075</v>
      </c>
      <c r="O661" s="6">
        <f t="shared" si="664"/>
        <v>-3.58899084</v>
      </c>
      <c r="P661" s="6">
        <f t="shared" si="664"/>
        <v>-1.073018469</v>
      </c>
      <c r="Q661" s="6"/>
      <c r="R661" s="6"/>
      <c r="S661" s="6"/>
      <c r="T661" s="6"/>
      <c r="U661" s="6"/>
      <c r="V661" s="6"/>
      <c r="W661" s="6"/>
      <c r="X661" s="6"/>
      <c r="Y661" s="6"/>
      <c r="Z661" s="6"/>
      <c r="AA661" s="6"/>
      <c r="AB661" s="6"/>
      <c r="AC661" s="6"/>
      <c r="AD661" s="6"/>
      <c r="AE661" s="6"/>
      <c r="AF661" s="6"/>
      <c r="AG661" s="6"/>
    </row>
    <row r="662" ht="14.25" customHeight="1">
      <c r="A662" s="6"/>
      <c r="B662" s="6"/>
      <c r="C662" s="6">
        <v>655.0</v>
      </c>
      <c r="D662" s="6"/>
      <c r="E662" s="6">
        <v>9104999.097638646</v>
      </c>
      <c r="F662" s="6">
        <v>466.125377454014</v>
      </c>
      <c r="G662" s="6">
        <v>5.679991301125013</v>
      </c>
      <c r="H662" s="6">
        <v>8888632.435095549</v>
      </c>
      <c r="I662" s="6">
        <v>456.1509937106296</v>
      </c>
      <c r="J662" s="6">
        <v>3.968591328888829</v>
      </c>
      <c r="K662" s="6"/>
      <c r="L662" s="6"/>
      <c r="M662" s="6"/>
      <c r="N662" s="6">
        <f t="shared" ref="N662:P662" si="665">IF(LEN($C662)&gt;0,H662-E662,"")</f>
        <v>-216366.6625</v>
      </c>
      <c r="O662" s="6">
        <f t="shared" si="665"/>
        <v>-9.974383743</v>
      </c>
      <c r="P662" s="6">
        <f t="shared" si="665"/>
        <v>-1.711399972</v>
      </c>
      <c r="Q662" s="6"/>
      <c r="R662" s="6"/>
      <c r="S662" s="6"/>
      <c r="T662" s="6"/>
      <c r="U662" s="6"/>
      <c r="V662" s="6"/>
      <c r="W662" s="6"/>
      <c r="X662" s="6"/>
      <c r="Y662" s="6"/>
      <c r="Z662" s="6"/>
      <c r="AA662" s="6"/>
      <c r="AB662" s="6"/>
      <c r="AC662" s="6"/>
      <c r="AD662" s="6"/>
      <c r="AE662" s="6"/>
      <c r="AF662" s="6"/>
      <c r="AG662" s="6"/>
    </row>
    <row r="663" ht="14.25" customHeight="1">
      <c r="A663" s="6"/>
      <c r="B663" s="6"/>
      <c r="C663" s="6">
        <v>656.0</v>
      </c>
      <c r="D663" s="6"/>
      <c r="E663" s="6">
        <v>6362606.145817921</v>
      </c>
      <c r="F663" s="6">
        <v>478.8235152853804</v>
      </c>
      <c r="G663" s="6">
        <v>4.047495197456249</v>
      </c>
      <c r="H663" s="6">
        <v>6330226.662919957</v>
      </c>
      <c r="I663" s="6">
        <v>477.92374351160316</v>
      </c>
      <c r="J663" s="6">
        <v>3.3892518022926907</v>
      </c>
      <c r="K663" s="6"/>
      <c r="L663" s="6"/>
      <c r="M663" s="6"/>
      <c r="N663" s="6">
        <f t="shared" ref="N663:P663" si="666">IF(LEN($C663)&gt;0,H663-E663,"")</f>
        <v>-32379.4829</v>
      </c>
      <c r="O663" s="6">
        <f t="shared" si="666"/>
        <v>-0.8997717738</v>
      </c>
      <c r="P663" s="6">
        <f t="shared" si="666"/>
        <v>-0.6582433952</v>
      </c>
      <c r="Q663" s="6"/>
      <c r="R663" s="6"/>
      <c r="S663" s="6"/>
      <c r="T663" s="6"/>
      <c r="U663" s="6"/>
      <c r="V663" s="6"/>
      <c r="W663" s="6"/>
      <c r="X663" s="6"/>
      <c r="Y663" s="6"/>
      <c r="Z663" s="6"/>
      <c r="AA663" s="6"/>
      <c r="AB663" s="6"/>
      <c r="AC663" s="6"/>
      <c r="AD663" s="6"/>
      <c r="AE663" s="6"/>
      <c r="AF663" s="6"/>
      <c r="AG663" s="6"/>
    </row>
    <row r="664" ht="14.25" customHeight="1">
      <c r="A664" s="6"/>
      <c r="B664" s="6"/>
      <c r="C664" s="6">
        <v>657.0</v>
      </c>
      <c r="D664" s="6"/>
      <c r="E664" s="6">
        <v>6080948.8720418</v>
      </c>
      <c r="F664" s="6">
        <v>440.729271173371</v>
      </c>
      <c r="G664" s="6">
        <v>5.65430380742403</v>
      </c>
      <c r="H664" s="6">
        <v>5961482.041356939</v>
      </c>
      <c r="I664" s="6">
        <v>436.79835288338785</v>
      </c>
      <c r="J664" s="6">
        <v>3.8640352338897443</v>
      </c>
      <c r="K664" s="6"/>
      <c r="L664" s="6"/>
      <c r="M664" s="6"/>
      <c r="N664" s="6">
        <f t="shared" ref="N664:P664" si="667">IF(LEN($C664)&gt;0,H664-E664,"")</f>
        <v>-119466.8307</v>
      </c>
      <c r="O664" s="6">
        <f t="shared" si="667"/>
        <v>-3.93091829</v>
      </c>
      <c r="P664" s="6">
        <f t="shared" si="667"/>
        <v>-1.790268574</v>
      </c>
      <c r="Q664" s="6"/>
      <c r="R664" s="6"/>
      <c r="S664" s="6"/>
      <c r="T664" s="6"/>
      <c r="U664" s="6"/>
      <c r="V664" s="6"/>
      <c r="W664" s="6"/>
      <c r="X664" s="6"/>
      <c r="Y664" s="6"/>
      <c r="Z664" s="6"/>
      <c r="AA664" s="6"/>
      <c r="AB664" s="6"/>
      <c r="AC664" s="6"/>
      <c r="AD664" s="6"/>
      <c r="AE664" s="6"/>
      <c r="AF664" s="6"/>
      <c r="AG664" s="6"/>
    </row>
    <row r="665" ht="14.25" customHeight="1">
      <c r="A665" s="6"/>
      <c r="B665" s="6"/>
      <c r="C665" s="6">
        <v>658.0</v>
      </c>
      <c r="D665" s="6"/>
      <c r="E665" s="6">
        <v>7239840.082412609</v>
      </c>
      <c r="F665" s="6">
        <v>448.414234815073</v>
      </c>
      <c r="G665" s="6">
        <v>5.942865816574402</v>
      </c>
      <c r="H665" s="6">
        <v>7096892.009194362</v>
      </c>
      <c r="I665" s="6">
        <v>440.8222254361536</v>
      </c>
      <c r="J665" s="6">
        <v>4.192452230224972</v>
      </c>
      <c r="K665" s="6"/>
      <c r="L665" s="6"/>
      <c r="M665" s="6"/>
      <c r="N665" s="6">
        <f t="shared" ref="N665:P665" si="668">IF(LEN($C665)&gt;0,H665-E665,"")</f>
        <v>-142948.0732</v>
      </c>
      <c r="O665" s="6">
        <f t="shared" si="668"/>
        <v>-7.592009379</v>
      </c>
      <c r="P665" s="6">
        <f t="shared" si="668"/>
        <v>-1.750413586</v>
      </c>
      <c r="Q665" s="6"/>
      <c r="R665" s="6"/>
      <c r="S665" s="6"/>
      <c r="T665" s="6"/>
      <c r="U665" s="6"/>
      <c r="V665" s="6"/>
      <c r="W665" s="6"/>
      <c r="X665" s="6"/>
      <c r="Y665" s="6"/>
      <c r="Z665" s="6"/>
      <c r="AA665" s="6"/>
      <c r="AB665" s="6"/>
      <c r="AC665" s="6"/>
      <c r="AD665" s="6"/>
      <c r="AE665" s="6"/>
      <c r="AF665" s="6"/>
      <c r="AG665" s="6"/>
    </row>
    <row r="666" ht="14.25" customHeight="1">
      <c r="A666" s="6"/>
      <c r="B666" s="6"/>
      <c r="C666" s="6">
        <v>659.0</v>
      </c>
      <c r="D666" s="6"/>
      <c r="E666" s="6">
        <v>7401729.65522176</v>
      </c>
      <c r="F666" s="6">
        <v>505.42489830853754</v>
      </c>
      <c r="G666" s="6">
        <v>5.568538791918056</v>
      </c>
      <c r="H666" s="6">
        <v>7267505.523215891</v>
      </c>
      <c r="I666" s="6">
        <v>499.2561924336866</v>
      </c>
      <c r="J666" s="6">
        <v>4.264141135802153</v>
      </c>
      <c r="K666" s="6"/>
      <c r="L666" s="6"/>
      <c r="M666" s="6"/>
      <c r="N666" s="6">
        <f t="shared" ref="N666:P666" si="669">IF(LEN($C666)&gt;0,H666-E666,"")</f>
        <v>-134224.132</v>
      </c>
      <c r="O666" s="6">
        <f t="shared" si="669"/>
        <v>-6.168705875</v>
      </c>
      <c r="P666" s="6">
        <f t="shared" si="669"/>
        <v>-1.304397656</v>
      </c>
      <c r="Q666" s="6"/>
      <c r="R666" s="6"/>
      <c r="S666" s="6"/>
      <c r="T666" s="6"/>
      <c r="U666" s="6"/>
      <c r="V666" s="6"/>
      <c r="W666" s="6"/>
      <c r="X666" s="6"/>
      <c r="Y666" s="6"/>
      <c r="Z666" s="6"/>
      <c r="AA666" s="6"/>
      <c r="AB666" s="6"/>
      <c r="AC666" s="6"/>
      <c r="AD666" s="6"/>
      <c r="AE666" s="6"/>
      <c r="AF666" s="6"/>
      <c r="AG666" s="6"/>
    </row>
    <row r="667" ht="14.25" customHeight="1">
      <c r="A667" s="6"/>
      <c r="B667" s="6"/>
      <c r="C667" s="6">
        <v>660.0</v>
      </c>
      <c r="D667" s="6"/>
      <c r="E667" s="6">
        <v>6991229.379316838</v>
      </c>
      <c r="F667" s="6">
        <v>491.80686482574566</v>
      </c>
      <c r="G667" s="6">
        <v>5.059046877339645</v>
      </c>
      <c r="H667" s="6">
        <v>6811582.98816322</v>
      </c>
      <c r="I667" s="6">
        <v>484.1336072689537</v>
      </c>
      <c r="J667" s="6">
        <v>3.601433932741833</v>
      </c>
      <c r="K667" s="6"/>
      <c r="L667" s="6"/>
      <c r="M667" s="6"/>
      <c r="N667" s="6">
        <f t="shared" ref="N667:P667" si="670">IF(LEN($C667)&gt;0,H667-E667,"")</f>
        <v>-179646.3912</v>
      </c>
      <c r="O667" s="6">
        <f t="shared" si="670"/>
        <v>-7.673257557</v>
      </c>
      <c r="P667" s="6">
        <f t="shared" si="670"/>
        <v>-1.457612945</v>
      </c>
      <c r="Q667" s="6"/>
      <c r="R667" s="6"/>
      <c r="S667" s="6"/>
      <c r="T667" s="6"/>
      <c r="U667" s="6"/>
      <c r="V667" s="6"/>
      <c r="W667" s="6"/>
      <c r="X667" s="6"/>
      <c r="Y667" s="6"/>
      <c r="Z667" s="6"/>
      <c r="AA667" s="6"/>
      <c r="AB667" s="6"/>
      <c r="AC667" s="6"/>
      <c r="AD667" s="6"/>
      <c r="AE667" s="6"/>
      <c r="AF667" s="6"/>
      <c r="AG667" s="6"/>
    </row>
    <row r="668" ht="14.25" customHeight="1">
      <c r="A668" s="6"/>
      <c r="B668" s="6"/>
      <c r="C668" s="6">
        <v>661.0</v>
      </c>
      <c r="D668" s="6"/>
      <c r="E668" s="6">
        <v>6674085.030862678</v>
      </c>
      <c r="F668" s="6">
        <v>468.9880619036441</v>
      </c>
      <c r="G668" s="6">
        <v>5.231947478430188</v>
      </c>
      <c r="H668" s="6">
        <v>6580328.315287852</v>
      </c>
      <c r="I668" s="6">
        <v>464.73593108682934</v>
      </c>
      <c r="J668" s="6">
        <v>3.986367425733292</v>
      </c>
      <c r="K668" s="6"/>
      <c r="L668" s="6"/>
      <c r="M668" s="6"/>
      <c r="N668" s="6">
        <f t="shared" ref="N668:P668" si="671">IF(LEN($C668)&gt;0,H668-E668,"")</f>
        <v>-93756.71557</v>
      </c>
      <c r="O668" s="6">
        <f t="shared" si="671"/>
        <v>-4.252130817</v>
      </c>
      <c r="P668" s="6">
        <f t="shared" si="671"/>
        <v>-1.245580053</v>
      </c>
      <c r="Q668" s="6"/>
      <c r="R668" s="6"/>
      <c r="S668" s="6"/>
      <c r="T668" s="6"/>
      <c r="U668" s="6"/>
      <c r="V668" s="6"/>
      <c r="W668" s="6"/>
      <c r="X668" s="6"/>
      <c r="Y668" s="6"/>
      <c r="Z668" s="6"/>
      <c r="AA668" s="6"/>
      <c r="AB668" s="6"/>
      <c r="AC668" s="6"/>
      <c r="AD668" s="6"/>
      <c r="AE668" s="6"/>
      <c r="AF668" s="6"/>
      <c r="AG668" s="6"/>
    </row>
    <row r="669" ht="14.25" customHeight="1">
      <c r="A669" s="6"/>
      <c r="B669" s="6"/>
      <c r="C669" s="6">
        <v>662.0</v>
      </c>
      <c r="D669" s="6"/>
      <c r="E669" s="6">
        <v>8538418.209632955</v>
      </c>
      <c r="F669" s="6">
        <v>469.9605899990909</v>
      </c>
      <c r="G669" s="6">
        <v>5.680624911410987</v>
      </c>
      <c r="H669" s="6">
        <v>8360141.834196021</v>
      </c>
      <c r="I669" s="6">
        <v>462.431257365777</v>
      </c>
      <c r="J669" s="6">
        <v>3.9697120294483685</v>
      </c>
      <c r="K669" s="6"/>
      <c r="L669" s="6"/>
      <c r="M669" s="6"/>
      <c r="N669" s="6">
        <f t="shared" ref="N669:P669" si="672">IF(LEN($C669)&gt;0,H669-E669,"")</f>
        <v>-178276.3754</v>
      </c>
      <c r="O669" s="6">
        <f t="shared" si="672"/>
        <v>-7.529332633</v>
      </c>
      <c r="P669" s="6">
        <f t="shared" si="672"/>
        <v>-1.710912882</v>
      </c>
      <c r="Q669" s="6"/>
      <c r="R669" s="6"/>
      <c r="S669" s="6"/>
      <c r="T669" s="6"/>
      <c r="U669" s="6"/>
      <c r="V669" s="6"/>
      <c r="W669" s="6"/>
      <c r="X669" s="6"/>
      <c r="Y669" s="6"/>
      <c r="Z669" s="6"/>
      <c r="AA669" s="6"/>
      <c r="AB669" s="6"/>
      <c r="AC669" s="6"/>
      <c r="AD669" s="6"/>
      <c r="AE669" s="6"/>
      <c r="AF669" s="6"/>
      <c r="AG669" s="6"/>
    </row>
    <row r="670" ht="14.25" customHeight="1">
      <c r="A670" s="6"/>
      <c r="B670" s="6"/>
      <c r="C670" s="6">
        <v>663.0</v>
      </c>
      <c r="D670" s="6"/>
      <c r="E670" s="6">
        <v>6989558.232676327</v>
      </c>
      <c r="F670" s="6">
        <v>463.4141413983725</v>
      </c>
      <c r="G670" s="6">
        <v>4.57225318710078</v>
      </c>
      <c r="H670" s="6">
        <v>6862269.069981479</v>
      </c>
      <c r="I670" s="6">
        <v>458.90798946035113</v>
      </c>
      <c r="J670" s="6">
        <v>3.291644972975844</v>
      </c>
      <c r="K670" s="6"/>
      <c r="L670" s="6"/>
      <c r="M670" s="6"/>
      <c r="N670" s="6">
        <f t="shared" ref="N670:P670" si="673">IF(LEN($C670)&gt;0,H670-E670,"")</f>
        <v>-127289.1627</v>
      </c>
      <c r="O670" s="6">
        <f t="shared" si="673"/>
        <v>-4.506151938</v>
      </c>
      <c r="P670" s="6">
        <f t="shared" si="673"/>
        <v>-1.280608214</v>
      </c>
      <c r="Q670" s="6"/>
      <c r="R670" s="6"/>
      <c r="S670" s="6"/>
      <c r="T670" s="6"/>
      <c r="U670" s="6"/>
      <c r="V670" s="6"/>
      <c r="W670" s="6"/>
      <c r="X670" s="6"/>
      <c r="Y670" s="6"/>
      <c r="Z670" s="6"/>
      <c r="AA670" s="6"/>
      <c r="AB670" s="6"/>
      <c r="AC670" s="6"/>
      <c r="AD670" s="6"/>
      <c r="AE670" s="6"/>
      <c r="AF670" s="6"/>
      <c r="AG670" s="6"/>
    </row>
    <row r="671" ht="14.25" customHeight="1">
      <c r="A671" s="6"/>
      <c r="B671" s="6"/>
      <c r="C671" s="6">
        <v>664.0</v>
      </c>
      <c r="D671" s="6"/>
      <c r="E671" s="6">
        <v>8901346.022673022</v>
      </c>
      <c r="F671" s="6">
        <v>500.39418188809225</v>
      </c>
      <c r="G671" s="6">
        <v>4.434840439699603</v>
      </c>
      <c r="H671" s="6">
        <v>8745652.266469778</v>
      </c>
      <c r="I671" s="6">
        <v>492.35730895127585</v>
      </c>
      <c r="J671" s="6">
        <v>3.1003759494955534</v>
      </c>
      <c r="K671" s="6"/>
      <c r="L671" s="6"/>
      <c r="M671" s="6"/>
      <c r="N671" s="6">
        <f t="shared" ref="N671:P671" si="674">IF(LEN($C671)&gt;0,H671-E671,"")</f>
        <v>-155693.7562</v>
      </c>
      <c r="O671" s="6">
        <f t="shared" si="674"/>
        <v>-8.036872937</v>
      </c>
      <c r="P671" s="6">
        <f t="shared" si="674"/>
        <v>-1.33446449</v>
      </c>
      <c r="Q671" s="6"/>
      <c r="R671" s="6"/>
      <c r="S671" s="6"/>
      <c r="T671" s="6"/>
      <c r="U671" s="6"/>
      <c r="V671" s="6"/>
      <c r="W671" s="6"/>
      <c r="X671" s="6"/>
      <c r="Y671" s="6"/>
      <c r="Z671" s="6"/>
      <c r="AA671" s="6"/>
      <c r="AB671" s="6"/>
      <c r="AC671" s="6"/>
      <c r="AD671" s="6"/>
      <c r="AE671" s="6"/>
      <c r="AF671" s="6"/>
      <c r="AG671" s="6"/>
    </row>
    <row r="672" ht="14.25" customHeight="1">
      <c r="A672" s="6"/>
      <c r="B672" s="6"/>
      <c r="C672" s="6">
        <v>665.0</v>
      </c>
      <c r="D672" s="6"/>
      <c r="E672" s="6">
        <v>7729864.733496881</v>
      </c>
      <c r="F672" s="6">
        <v>453.89714899918187</v>
      </c>
      <c r="G672" s="6">
        <v>3.784803884365639</v>
      </c>
      <c r="H672" s="6">
        <v>7650325.686496905</v>
      </c>
      <c r="I672" s="6">
        <v>449.84677773212934</v>
      </c>
      <c r="J672" s="6">
        <v>3.09045103356549</v>
      </c>
      <c r="K672" s="6"/>
      <c r="L672" s="6"/>
      <c r="M672" s="6"/>
      <c r="N672" s="6">
        <f t="shared" ref="N672:P672" si="675">IF(LEN($C672)&gt;0,H672-E672,"")</f>
        <v>-79539.047</v>
      </c>
      <c r="O672" s="6">
        <f t="shared" si="675"/>
        <v>-4.050371267</v>
      </c>
      <c r="P672" s="6">
        <f t="shared" si="675"/>
        <v>-0.6943528508</v>
      </c>
      <c r="Q672" s="6"/>
      <c r="R672" s="6"/>
      <c r="S672" s="6"/>
      <c r="T672" s="6"/>
      <c r="U672" s="6"/>
      <c r="V672" s="6"/>
      <c r="W672" s="6"/>
      <c r="X672" s="6"/>
      <c r="Y672" s="6"/>
      <c r="Z672" s="6"/>
      <c r="AA672" s="6"/>
      <c r="AB672" s="6"/>
      <c r="AC672" s="6"/>
      <c r="AD672" s="6"/>
      <c r="AE672" s="6"/>
      <c r="AF672" s="6"/>
      <c r="AG672" s="6"/>
    </row>
    <row r="673" ht="14.25" customHeight="1">
      <c r="A673" s="6"/>
      <c r="B673" s="6"/>
      <c r="C673" s="6">
        <v>666.0</v>
      </c>
      <c r="D673" s="6"/>
      <c r="E673" s="6">
        <v>7774759.404759526</v>
      </c>
      <c r="F673" s="6">
        <v>494.85156315896444</v>
      </c>
      <c r="G673" s="6">
        <v>4.653024256845625</v>
      </c>
      <c r="H673" s="6">
        <v>7561610.289891478</v>
      </c>
      <c r="I673" s="6">
        <v>486.22939857212424</v>
      </c>
      <c r="J673" s="6">
        <v>2.927266038646744</v>
      </c>
      <c r="K673" s="6"/>
      <c r="L673" s="6"/>
      <c r="M673" s="6"/>
      <c r="N673" s="6">
        <f t="shared" ref="N673:P673" si="676">IF(LEN($C673)&gt;0,H673-E673,"")</f>
        <v>-213149.1149</v>
      </c>
      <c r="O673" s="6">
        <f t="shared" si="676"/>
        <v>-8.622164587</v>
      </c>
      <c r="P673" s="6">
        <f t="shared" si="676"/>
        <v>-1.725758218</v>
      </c>
      <c r="Q673" s="6"/>
      <c r="R673" s="6"/>
      <c r="S673" s="6"/>
      <c r="T673" s="6"/>
      <c r="U673" s="6"/>
      <c r="V673" s="6"/>
      <c r="W673" s="6"/>
      <c r="X673" s="6"/>
      <c r="Y673" s="6"/>
      <c r="Z673" s="6"/>
      <c r="AA673" s="6"/>
      <c r="AB673" s="6"/>
      <c r="AC673" s="6"/>
      <c r="AD673" s="6"/>
      <c r="AE673" s="6"/>
      <c r="AF673" s="6"/>
      <c r="AG673" s="6"/>
    </row>
    <row r="674" ht="14.25" customHeight="1">
      <c r="A674" s="6"/>
      <c r="B674" s="6"/>
      <c r="C674" s="6">
        <v>667.0</v>
      </c>
      <c r="D674" s="6"/>
      <c r="E674" s="6">
        <v>9073542.047620103</v>
      </c>
      <c r="F674" s="6">
        <v>436.1812199802646</v>
      </c>
      <c r="G674" s="6">
        <v>4.876979507820628</v>
      </c>
      <c r="H674" s="6">
        <v>8957696.91567575</v>
      </c>
      <c r="I674" s="6">
        <v>431.6666882938773</v>
      </c>
      <c r="J674" s="6">
        <v>3.568453474197351</v>
      </c>
      <c r="K674" s="6"/>
      <c r="L674" s="6"/>
      <c r="M674" s="6"/>
      <c r="N674" s="6">
        <f t="shared" ref="N674:P674" si="677">IF(LEN($C674)&gt;0,H674-E674,"")</f>
        <v>-115845.1319</v>
      </c>
      <c r="O674" s="6">
        <f t="shared" si="677"/>
        <v>-4.514531686</v>
      </c>
      <c r="P674" s="6">
        <f t="shared" si="677"/>
        <v>-1.308526034</v>
      </c>
      <c r="Q674" s="6"/>
      <c r="R674" s="6"/>
      <c r="S674" s="6"/>
      <c r="T674" s="6"/>
      <c r="U674" s="6"/>
      <c r="V674" s="6"/>
      <c r="W674" s="6"/>
      <c r="X674" s="6"/>
      <c r="Y674" s="6"/>
      <c r="Z674" s="6"/>
      <c r="AA674" s="6"/>
      <c r="AB674" s="6"/>
      <c r="AC674" s="6"/>
      <c r="AD674" s="6"/>
      <c r="AE674" s="6"/>
      <c r="AF674" s="6"/>
      <c r="AG674" s="6"/>
    </row>
    <row r="675" ht="14.25" customHeight="1">
      <c r="A675" s="6"/>
      <c r="B675" s="6"/>
      <c r="C675" s="6">
        <v>668.0</v>
      </c>
      <c r="D675" s="6"/>
      <c r="E675" s="6">
        <v>7150811.374064251</v>
      </c>
      <c r="F675" s="6">
        <v>447.090944586286</v>
      </c>
      <c r="G675" s="6">
        <v>5.256882760233586</v>
      </c>
      <c r="H675" s="6">
        <v>7056453.770679983</v>
      </c>
      <c r="I675" s="6">
        <v>443.3160672248477</v>
      </c>
      <c r="J675" s="6">
        <v>3.7460302868611492</v>
      </c>
      <c r="K675" s="6"/>
      <c r="L675" s="6"/>
      <c r="M675" s="6"/>
      <c r="N675" s="6">
        <f t="shared" ref="N675:P675" si="678">IF(LEN($C675)&gt;0,H675-E675,"")</f>
        <v>-94357.60338</v>
      </c>
      <c r="O675" s="6">
        <f t="shared" si="678"/>
        <v>-3.774877361</v>
      </c>
      <c r="P675" s="6">
        <f t="shared" si="678"/>
        <v>-1.510852473</v>
      </c>
      <c r="Q675" s="6"/>
      <c r="R675" s="6"/>
      <c r="S675" s="6"/>
      <c r="T675" s="6"/>
      <c r="U675" s="6"/>
      <c r="V675" s="6"/>
      <c r="W675" s="6"/>
      <c r="X675" s="6"/>
      <c r="Y675" s="6"/>
      <c r="Z675" s="6"/>
      <c r="AA675" s="6"/>
      <c r="AB675" s="6"/>
      <c r="AC675" s="6"/>
      <c r="AD675" s="6"/>
      <c r="AE675" s="6"/>
      <c r="AF675" s="6"/>
      <c r="AG675" s="6"/>
    </row>
    <row r="676" ht="14.25" customHeight="1">
      <c r="A676" s="6"/>
      <c r="B676" s="6"/>
      <c r="C676" s="6">
        <v>669.0</v>
      </c>
      <c r="D676" s="6"/>
      <c r="E676" s="6">
        <v>7090315.355570234</v>
      </c>
      <c r="F676" s="6">
        <v>436.53963840920414</v>
      </c>
      <c r="G676" s="6">
        <v>6.0630089855157125</v>
      </c>
      <c r="H676" s="6">
        <v>6965580.827915756</v>
      </c>
      <c r="I676" s="6">
        <v>432.1099531006815</v>
      </c>
      <c r="J676" s="6">
        <v>4.003304088990353</v>
      </c>
      <c r="K676" s="6"/>
      <c r="L676" s="6"/>
      <c r="M676" s="6"/>
      <c r="N676" s="6">
        <f t="shared" ref="N676:P676" si="679">IF(LEN($C676)&gt;0,H676-E676,"")</f>
        <v>-124734.5277</v>
      </c>
      <c r="O676" s="6">
        <f t="shared" si="679"/>
        <v>-4.429685309</v>
      </c>
      <c r="P676" s="6">
        <f t="shared" si="679"/>
        <v>-2.059704897</v>
      </c>
      <c r="Q676" s="6"/>
      <c r="R676" s="6"/>
      <c r="S676" s="6"/>
      <c r="T676" s="6"/>
      <c r="U676" s="6"/>
      <c r="V676" s="6"/>
      <c r="W676" s="6"/>
      <c r="X676" s="6"/>
      <c r="Y676" s="6"/>
      <c r="Z676" s="6"/>
      <c r="AA676" s="6"/>
      <c r="AB676" s="6"/>
      <c r="AC676" s="6"/>
      <c r="AD676" s="6"/>
      <c r="AE676" s="6"/>
      <c r="AF676" s="6"/>
      <c r="AG676" s="6"/>
    </row>
    <row r="677" ht="14.25" customHeight="1">
      <c r="A677" s="6"/>
      <c r="B677" s="6"/>
      <c r="C677" s="6">
        <v>670.0</v>
      </c>
      <c r="D677" s="6"/>
      <c r="E677" s="6">
        <v>6859178.928267485</v>
      </c>
      <c r="F677" s="6">
        <v>461.36370702388695</v>
      </c>
      <c r="G677" s="6">
        <v>5.3169999779651755</v>
      </c>
      <c r="H677" s="6">
        <v>6760650.540809812</v>
      </c>
      <c r="I677" s="6">
        <v>457.58535321067535</v>
      </c>
      <c r="J677" s="6">
        <v>3.825598091287253</v>
      </c>
      <c r="K677" s="6"/>
      <c r="L677" s="6"/>
      <c r="M677" s="6"/>
      <c r="N677" s="6">
        <f t="shared" ref="N677:P677" si="680">IF(LEN($C677)&gt;0,H677-E677,"")</f>
        <v>-98528.38746</v>
      </c>
      <c r="O677" s="6">
        <f t="shared" si="680"/>
        <v>-3.778353813</v>
      </c>
      <c r="P677" s="6">
        <f t="shared" si="680"/>
        <v>-1.491401887</v>
      </c>
      <c r="Q677" s="6"/>
      <c r="R677" s="6"/>
      <c r="S677" s="6"/>
      <c r="T677" s="6"/>
      <c r="U677" s="6"/>
      <c r="V677" s="6"/>
      <c r="W677" s="6"/>
      <c r="X677" s="6"/>
      <c r="Y677" s="6"/>
      <c r="Z677" s="6"/>
      <c r="AA677" s="6"/>
      <c r="AB677" s="6"/>
      <c r="AC677" s="6"/>
      <c r="AD677" s="6"/>
      <c r="AE677" s="6"/>
      <c r="AF677" s="6"/>
      <c r="AG677" s="6"/>
    </row>
    <row r="678" ht="14.25" customHeight="1">
      <c r="A678" s="6"/>
      <c r="B678" s="6"/>
      <c r="C678" s="6">
        <v>671.0</v>
      </c>
      <c r="D678" s="6"/>
      <c r="E678" s="6">
        <v>6279879.477653315</v>
      </c>
      <c r="F678" s="6">
        <v>445.8172646073603</v>
      </c>
      <c r="G678" s="6">
        <v>6.0978807190994955</v>
      </c>
      <c r="H678" s="6">
        <v>6169081.189577089</v>
      </c>
      <c r="I678" s="6">
        <v>442.3379510544522</v>
      </c>
      <c r="J678" s="6">
        <v>4.120290079914166</v>
      </c>
      <c r="K678" s="6"/>
      <c r="L678" s="6"/>
      <c r="M678" s="6"/>
      <c r="N678" s="6">
        <f t="shared" ref="N678:P678" si="681">IF(LEN($C678)&gt;0,H678-E678,"")</f>
        <v>-110798.2881</v>
      </c>
      <c r="O678" s="6">
        <f t="shared" si="681"/>
        <v>-3.479313553</v>
      </c>
      <c r="P678" s="6">
        <f t="shared" si="681"/>
        <v>-1.977590639</v>
      </c>
      <c r="Q678" s="6"/>
      <c r="R678" s="6"/>
      <c r="S678" s="6"/>
      <c r="T678" s="6"/>
      <c r="U678" s="6"/>
      <c r="V678" s="6"/>
      <c r="W678" s="6"/>
      <c r="X678" s="6"/>
      <c r="Y678" s="6"/>
      <c r="Z678" s="6"/>
      <c r="AA678" s="6"/>
      <c r="AB678" s="6"/>
      <c r="AC678" s="6"/>
      <c r="AD678" s="6"/>
      <c r="AE678" s="6"/>
      <c r="AF678" s="6"/>
      <c r="AG678" s="6"/>
    </row>
    <row r="679" ht="14.25" customHeight="1">
      <c r="A679" s="6"/>
      <c r="B679" s="6"/>
      <c r="C679" s="6">
        <v>672.0</v>
      </c>
      <c r="D679" s="6"/>
      <c r="E679" s="6">
        <v>8035726.733365648</v>
      </c>
      <c r="F679" s="6">
        <v>445.58634784355905</v>
      </c>
      <c r="G679" s="6">
        <v>4.878729471782584</v>
      </c>
      <c r="H679" s="6">
        <v>7932777.317798112</v>
      </c>
      <c r="I679" s="6">
        <v>441.60384240227756</v>
      </c>
      <c r="J679" s="6">
        <v>3.52625283923896</v>
      </c>
      <c r="K679" s="6"/>
      <c r="L679" s="6"/>
      <c r="M679" s="6"/>
      <c r="N679" s="6">
        <f t="shared" ref="N679:P679" si="682">IF(LEN($C679)&gt;0,H679-E679,"")</f>
        <v>-102949.4156</v>
      </c>
      <c r="O679" s="6">
        <f t="shared" si="682"/>
        <v>-3.982505441</v>
      </c>
      <c r="P679" s="6">
        <f t="shared" si="682"/>
        <v>-1.352476633</v>
      </c>
      <c r="Q679" s="6"/>
      <c r="R679" s="6"/>
      <c r="S679" s="6"/>
      <c r="T679" s="6"/>
      <c r="U679" s="6"/>
      <c r="V679" s="6"/>
      <c r="W679" s="6"/>
      <c r="X679" s="6"/>
      <c r="Y679" s="6"/>
      <c r="Z679" s="6"/>
      <c r="AA679" s="6"/>
      <c r="AB679" s="6"/>
      <c r="AC679" s="6"/>
      <c r="AD679" s="6"/>
      <c r="AE679" s="6"/>
      <c r="AF679" s="6"/>
      <c r="AG679" s="6"/>
    </row>
    <row r="680" ht="14.25" customHeight="1">
      <c r="A680" s="6"/>
      <c r="B680" s="6"/>
      <c r="C680" s="6">
        <v>673.0</v>
      </c>
      <c r="D680" s="6"/>
      <c r="E680" s="6">
        <v>5059495.188349471</v>
      </c>
      <c r="F680" s="6">
        <v>441.20826244623066</v>
      </c>
      <c r="G680" s="6">
        <v>6.618015358325446</v>
      </c>
      <c r="H680" s="6">
        <v>4953941.774553266</v>
      </c>
      <c r="I680" s="6">
        <v>437.7599868098151</v>
      </c>
      <c r="J680" s="6">
        <v>5.093688075411075</v>
      </c>
      <c r="K680" s="6"/>
      <c r="L680" s="6"/>
      <c r="M680" s="6"/>
      <c r="N680" s="6">
        <f t="shared" ref="N680:P680" si="683">IF(LEN($C680)&gt;0,H680-E680,"")</f>
        <v>-105553.4138</v>
      </c>
      <c r="O680" s="6">
        <f t="shared" si="683"/>
        <v>-3.448275636</v>
      </c>
      <c r="P680" s="6">
        <f t="shared" si="683"/>
        <v>-1.524327283</v>
      </c>
      <c r="Q680" s="6"/>
      <c r="R680" s="6"/>
      <c r="S680" s="6"/>
      <c r="T680" s="6"/>
      <c r="U680" s="6"/>
      <c r="V680" s="6"/>
      <c r="W680" s="6"/>
      <c r="X680" s="6"/>
      <c r="Y680" s="6"/>
      <c r="Z680" s="6"/>
      <c r="AA680" s="6"/>
      <c r="AB680" s="6"/>
      <c r="AC680" s="6"/>
      <c r="AD680" s="6"/>
      <c r="AE680" s="6"/>
      <c r="AF680" s="6"/>
      <c r="AG680" s="6"/>
    </row>
    <row r="681" ht="14.25" customHeight="1">
      <c r="A681" s="6"/>
      <c r="B681" s="6"/>
      <c r="C681" s="6">
        <v>674.0</v>
      </c>
      <c r="D681" s="6"/>
      <c r="E681" s="6">
        <v>6382978.277068821</v>
      </c>
      <c r="F681" s="6">
        <v>457.9046415920299</v>
      </c>
      <c r="G681" s="6">
        <v>6.18146662935616</v>
      </c>
      <c r="H681" s="6">
        <v>6272999.314953443</v>
      </c>
      <c r="I681" s="6">
        <v>453.6863306297197</v>
      </c>
      <c r="J681" s="6">
        <v>4.238393604245703</v>
      </c>
      <c r="K681" s="6"/>
      <c r="L681" s="6"/>
      <c r="M681" s="6"/>
      <c r="N681" s="6">
        <f t="shared" ref="N681:P681" si="684">IF(LEN($C681)&gt;0,H681-E681,"")</f>
        <v>-109978.9621</v>
      </c>
      <c r="O681" s="6">
        <f t="shared" si="684"/>
        <v>-4.218310962</v>
      </c>
      <c r="P681" s="6">
        <f t="shared" si="684"/>
        <v>-1.943073025</v>
      </c>
      <c r="Q681" s="6"/>
      <c r="R681" s="6"/>
      <c r="S681" s="6"/>
      <c r="T681" s="6"/>
      <c r="U681" s="6"/>
      <c r="V681" s="6"/>
      <c r="W681" s="6"/>
      <c r="X681" s="6"/>
      <c r="Y681" s="6"/>
      <c r="Z681" s="6"/>
      <c r="AA681" s="6"/>
      <c r="AB681" s="6"/>
      <c r="AC681" s="6"/>
      <c r="AD681" s="6"/>
      <c r="AE681" s="6"/>
      <c r="AF681" s="6"/>
      <c r="AG681" s="6"/>
    </row>
    <row r="682" ht="14.25" customHeight="1">
      <c r="A682" s="6"/>
      <c r="B682" s="6"/>
      <c r="C682" s="6">
        <v>675.0</v>
      </c>
      <c r="D682" s="6"/>
      <c r="E682" s="6">
        <v>6709517.453259157</v>
      </c>
      <c r="F682" s="6">
        <v>470.4840938414189</v>
      </c>
      <c r="G682" s="6">
        <v>5.060894640015939</v>
      </c>
      <c r="H682" s="6">
        <v>6666722.657948097</v>
      </c>
      <c r="I682" s="6">
        <v>468.96174409053816</v>
      </c>
      <c r="J682" s="6">
        <v>4.5729086477059795</v>
      </c>
      <c r="K682" s="6"/>
      <c r="L682" s="6"/>
      <c r="M682" s="6"/>
      <c r="N682" s="6">
        <f t="shared" ref="N682:P682" si="685">IF(LEN($C682)&gt;0,H682-E682,"")</f>
        <v>-42794.79531</v>
      </c>
      <c r="O682" s="6">
        <f t="shared" si="685"/>
        <v>-1.522349751</v>
      </c>
      <c r="P682" s="6">
        <f t="shared" si="685"/>
        <v>-0.4879859923</v>
      </c>
      <c r="Q682" s="6"/>
      <c r="R682" s="6"/>
      <c r="S682" s="6"/>
      <c r="T682" s="6"/>
      <c r="U682" s="6"/>
      <c r="V682" s="6"/>
      <c r="W682" s="6"/>
      <c r="X682" s="6"/>
      <c r="Y682" s="6"/>
      <c r="Z682" s="6"/>
      <c r="AA682" s="6"/>
      <c r="AB682" s="6"/>
      <c r="AC682" s="6"/>
      <c r="AD682" s="6"/>
      <c r="AE682" s="6"/>
      <c r="AF682" s="6"/>
      <c r="AG682" s="6"/>
    </row>
    <row r="683" ht="14.25" customHeight="1">
      <c r="A683" s="6"/>
      <c r="B683" s="6"/>
      <c r="C683" s="6">
        <v>676.0</v>
      </c>
      <c r="D683" s="6"/>
      <c r="E683" s="6">
        <v>6932716.26007028</v>
      </c>
      <c r="F683" s="6">
        <v>478.31094010192777</v>
      </c>
      <c r="G683" s="6">
        <v>6.395845547306428</v>
      </c>
      <c r="H683" s="6">
        <v>6805563.805066288</v>
      </c>
      <c r="I683" s="6">
        <v>471.8592734698616</v>
      </c>
      <c r="J683" s="6">
        <v>4.780670155562169</v>
      </c>
      <c r="K683" s="6"/>
      <c r="L683" s="6"/>
      <c r="M683" s="6"/>
      <c r="N683" s="6">
        <f t="shared" ref="N683:P683" si="686">IF(LEN($C683)&gt;0,H683-E683,"")</f>
        <v>-127152.455</v>
      </c>
      <c r="O683" s="6">
        <f t="shared" si="686"/>
        <v>-6.451666632</v>
      </c>
      <c r="P683" s="6">
        <f t="shared" si="686"/>
        <v>-1.615175392</v>
      </c>
      <c r="Q683" s="6"/>
      <c r="R683" s="6"/>
      <c r="S683" s="6"/>
      <c r="T683" s="6"/>
      <c r="U683" s="6"/>
      <c r="V683" s="6"/>
      <c r="W683" s="6"/>
      <c r="X683" s="6"/>
      <c r="Y683" s="6"/>
      <c r="Z683" s="6"/>
      <c r="AA683" s="6"/>
      <c r="AB683" s="6"/>
      <c r="AC683" s="6"/>
      <c r="AD683" s="6"/>
      <c r="AE683" s="6"/>
      <c r="AF683" s="6"/>
      <c r="AG683" s="6"/>
    </row>
    <row r="684" ht="14.25" customHeight="1">
      <c r="A684" s="6"/>
      <c r="B684" s="6"/>
      <c r="C684" s="6">
        <v>677.0</v>
      </c>
      <c r="D684" s="6"/>
      <c r="E684" s="6">
        <v>9062441.743575314</v>
      </c>
      <c r="F684" s="6">
        <v>449.8905948220599</v>
      </c>
      <c r="G684" s="6">
        <v>4.6887964105195525</v>
      </c>
      <c r="H684" s="6">
        <v>8910704.570191467</v>
      </c>
      <c r="I684" s="6">
        <v>442.6252277721007</v>
      </c>
      <c r="J684" s="6">
        <v>3.2880978183217264</v>
      </c>
      <c r="K684" s="6"/>
      <c r="L684" s="6"/>
      <c r="M684" s="6"/>
      <c r="N684" s="6">
        <f t="shared" ref="N684:P684" si="687">IF(LEN($C684)&gt;0,H684-E684,"")</f>
        <v>-151737.1734</v>
      </c>
      <c r="O684" s="6">
        <f t="shared" si="687"/>
        <v>-7.26536705</v>
      </c>
      <c r="P684" s="6">
        <f t="shared" si="687"/>
        <v>-1.400698592</v>
      </c>
      <c r="Q684" s="6"/>
      <c r="R684" s="6"/>
      <c r="S684" s="6"/>
      <c r="T684" s="6"/>
      <c r="U684" s="6"/>
      <c r="V684" s="6"/>
      <c r="W684" s="6"/>
      <c r="X684" s="6"/>
      <c r="Y684" s="6"/>
      <c r="Z684" s="6"/>
      <c r="AA684" s="6"/>
      <c r="AB684" s="6"/>
      <c r="AC684" s="6"/>
      <c r="AD684" s="6"/>
      <c r="AE684" s="6"/>
      <c r="AF684" s="6"/>
      <c r="AG684" s="6"/>
    </row>
    <row r="685" ht="14.25" customHeight="1">
      <c r="A685" s="6"/>
      <c r="B685" s="6"/>
      <c r="C685" s="6">
        <v>678.0</v>
      </c>
      <c r="D685" s="6"/>
      <c r="E685" s="6">
        <v>6635669.8066854775</v>
      </c>
      <c r="F685" s="6">
        <v>451.3041298851914</v>
      </c>
      <c r="G685" s="6">
        <v>5.674062930932694</v>
      </c>
      <c r="H685" s="6">
        <v>6514830.55957492</v>
      </c>
      <c r="I685" s="6">
        <v>445.0228128759497</v>
      </c>
      <c r="J685" s="6">
        <v>4.426147476977309</v>
      </c>
      <c r="K685" s="6"/>
      <c r="L685" s="6"/>
      <c r="M685" s="6"/>
      <c r="N685" s="6">
        <f t="shared" ref="N685:P685" si="688">IF(LEN($C685)&gt;0,H685-E685,"")</f>
        <v>-120839.2471</v>
      </c>
      <c r="O685" s="6">
        <f t="shared" si="688"/>
        <v>-6.281317009</v>
      </c>
      <c r="P685" s="6">
        <f t="shared" si="688"/>
        <v>-1.247915454</v>
      </c>
      <c r="Q685" s="6"/>
      <c r="R685" s="6"/>
      <c r="S685" s="6"/>
      <c r="T685" s="6"/>
      <c r="U685" s="6"/>
      <c r="V685" s="6"/>
      <c r="W685" s="6"/>
      <c r="X685" s="6"/>
      <c r="Y685" s="6"/>
      <c r="Z685" s="6"/>
      <c r="AA685" s="6"/>
      <c r="AB685" s="6"/>
      <c r="AC685" s="6"/>
      <c r="AD685" s="6"/>
      <c r="AE685" s="6"/>
      <c r="AF685" s="6"/>
      <c r="AG685" s="6"/>
    </row>
    <row r="686" ht="14.25" customHeight="1">
      <c r="A686" s="6"/>
      <c r="B686" s="6"/>
      <c r="C686" s="6">
        <v>679.0</v>
      </c>
      <c r="D686" s="6"/>
      <c r="E686" s="6">
        <v>9549222.780808287</v>
      </c>
      <c r="F686" s="6">
        <v>489.11936211751413</v>
      </c>
      <c r="G686" s="6">
        <v>6.353858637680571</v>
      </c>
      <c r="H686" s="6">
        <v>9369958.941666959</v>
      </c>
      <c r="I686" s="6">
        <v>482.28101767241054</v>
      </c>
      <c r="J686" s="6">
        <v>5.041408303522988</v>
      </c>
      <c r="K686" s="6"/>
      <c r="L686" s="6"/>
      <c r="M686" s="6"/>
      <c r="N686" s="6">
        <f t="shared" ref="N686:P686" si="689">IF(LEN($C686)&gt;0,H686-E686,"")</f>
        <v>-179263.8391</v>
      </c>
      <c r="O686" s="6">
        <f t="shared" si="689"/>
        <v>-6.838344445</v>
      </c>
      <c r="P686" s="6">
        <f t="shared" si="689"/>
        <v>-1.312450334</v>
      </c>
      <c r="Q686" s="6"/>
      <c r="R686" s="6"/>
      <c r="S686" s="6"/>
      <c r="T686" s="6"/>
      <c r="U686" s="6"/>
      <c r="V686" s="6"/>
      <c r="W686" s="6"/>
      <c r="X686" s="6"/>
      <c r="Y686" s="6"/>
      <c r="Z686" s="6"/>
      <c r="AA686" s="6"/>
      <c r="AB686" s="6"/>
      <c r="AC686" s="6"/>
      <c r="AD686" s="6"/>
      <c r="AE686" s="6"/>
      <c r="AF686" s="6"/>
      <c r="AG686" s="6"/>
    </row>
    <row r="687" ht="14.25" customHeight="1">
      <c r="A687" s="6"/>
      <c r="B687" s="6"/>
      <c r="C687" s="6">
        <v>680.0</v>
      </c>
      <c r="D687" s="6"/>
      <c r="E687" s="6">
        <v>5778321.029568636</v>
      </c>
      <c r="F687" s="6">
        <v>462.08548100091383</v>
      </c>
      <c r="G687" s="6">
        <v>5.277755283329747</v>
      </c>
      <c r="H687" s="6">
        <v>5597149.043551918</v>
      </c>
      <c r="I687" s="6">
        <v>455.8762876989524</v>
      </c>
      <c r="J687" s="6">
        <v>3.466009849436748</v>
      </c>
      <c r="K687" s="6"/>
      <c r="L687" s="6"/>
      <c r="M687" s="6"/>
      <c r="N687" s="6">
        <f t="shared" ref="N687:P687" si="690">IF(LEN($C687)&gt;0,H687-E687,"")</f>
        <v>-181171.986</v>
      </c>
      <c r="O687" s="6">
        <f t="shared" si="690"/>
        <v>-6.209193302</v>
      </c>
      <c r="P687" s="6">
        <f t="shared" si="690"/>
        <v>-1.811745434</v>
      </c>
      <c r="Q687" s="6"/>
      <c r="R687" s="6"/>
      <c r="S687" s="6"/>
      <c r="T687" s="6"/>
      <c r="U687" s="6"/>
      <c r="V687" s="6"/>
      <c r="W687" s="6"/>
      <c r="X687" s="6"/>
      <c r="Y687" s="6"/>
      <c r="Z687" s="6"/>
      <c r="AA687" s="6"/>
      <c r="AB687" s="6"/>
      <c r="AC687" s="6"/>
      <c r="AD687" s="6"/>
      <c r="AE687" s="6"/>
      <c r="AF687" s="6"/>
      <c r="AG687" s="6"/>
    </row>
    <row r="688" ht="14.25" customHeight="1">
      <c r="A688" s="6"/>
      <c r="B688" s="6"/>
      <c r="C688" s="6">
        <v>681.0</v>
      </c>
      <c r="D688" s="6"/>
      <c r="E688" s="6">
        <v>5618388.85310513</v>
      </c>
      <c r="F688" s="6">
        <v>435.83340238409676</v>
      </c>
      <c r="G688" s="6">
        <v>6.444328501616852</v>
      </c>
      <c r="H688" s="6">
        <v>5522180.787539918</v>
      </c>
      <c r="I688" s="6">
        <v>431.47832528773176</v>
      </c>
      <c r="J688" s="6">
        <v>5.0536115252035625</v>
      </c>
      <c r="K688" s="6"/>
      <c r="L688" s="6"/>
      <c r="M688" s="6"/>
      <c r="N688" s="6">
        <f t="shared" ref="N688:P688" si="691">IF(LEN($C688)&gt;0,H688-E688,"")</f>
        <v>-96208.06557</v>
      </c>
      <c r="O688" s="6">
        <f t="shared" si="691"/>
        <v>-4.355077096</v>
      </c>
      <c r="P688" s="6">
        <f t="shared" si="691"/>
        <v>-1.390716976</v>
      </c>
      <c r="Q688" s="6"/>
      <c r="R688" s="6"/>
      <c r="S688" s="6"/>
      <c r="T688" s="6"/>
      <c r="U688" s="6"/>
      <c r="V688" s="6"/>
      <c r="W688" s="6"/>
      <c r="X688" s="6"/>
      <c r="Y688" s="6"/>
      <c r="Z688" s="6"/>
      <c r="AA688" s="6"/>
      <c r="AB688" s="6"/>
      <c r="AC688" s="6"/>
      <c r="AD688" s="6"/>
      <c r="AE688" s="6"/>
      <c r="AF688" s="6"/>
      <c r="AG688" s="6"/>
    </row>
    <row r="689" ht="14.25" customHeight="1">
      <c r="A689" s="6"/>
      <c r="B689" s="6"/>
      <c r="C689" s="6">
        <v>682.0</v>
      </c>
      <c r="D689" s="6"/>
      <c r="E689" s="6">
        <v>8996326.527765857</v>
      </c>
      <c r="F689" s="6">
        <v>471.2087751096454</v>
      </c>
      <c r="G689" s="6">
        <v>6.031394569723867</v>
      </c>
      <c r="H689" s="6">
        <v>8809663.542966174</v>
      </c>
      <c r="I689" s="6">
        <v>463.9934255633146</v>
      </c>
      <c r="J689" s="6">
        <v>4.418919103822159</v>
      </c>
      <c r="K689" s="6"/>
      <c r="L689" s="6"/>
      <c r="M689" s="6"/>
      <c r="N689" s="6">
        <f t="shared" ref="N689:P689" si="692">IF(LEN($C689)&gt;0,H689-E689,"")</f>
        <v>-186662.9848</v>
      </c>
      <c r="O689" s="6">
        <f t="shared" si="692"/>
        <v>-7.215349546</v>
      </c>
      <c r="P689" s="6">
        <f t="shared" si="692"/>
        <v>-1.612475466</v>
      </c>
      <c r="Q689" s="6"/>
      <c r="R689" s="6"/>
      <c r="S689" s="6"/>
      <c r="T689" s="6"/>
      <c r="U689" s="6"/>
      <c r="V689" s="6"/>
      <c r="W689" s="6"/>
      <c r="X689" s="6"/>
      <c r="Y689" s="6"/>
      <c r="Z689" s="6"/>
      <c r="AA689" s="6"/>
      <c r="AB689" s="6"/>
      <c r="AC689" s="6"/>
      <c r="AD689" s="6"/>
      <c r="AE689" s="6"/>
      <c r="AF689" s="6"/>
      <c r="AG689" s="6"/>
    </row>
    <row r="690" ht="14.25" customHeight="1">
      <c r="A690" s="6"/>
      <c r="B690" s="6"/>
      <c r="C690" s="6">
        <v>683.0</v>
      </c>
      <c r="D690" s="6"/>
      <c r="E690" s="6">
        <v>8920243.19012918</v>
      </c>
      <c r="F690" s="6">
        <v>514.2497101303168</v>
      </c>
      <c r="G690" s="6">
        <v>5.311376518640529</v>
      </c>
      <c r="H690" s="6">
        <v>8711239.419278413</v>
      </c>
      <c r="I690" s="6">
        <v>506.0610707392297</v>
      </c>
      <c r="J690" s="6">
        <v>3.972090130611164</v>
      </c>
      <c r="K690" s="6"/>
      <c r="L690" s="6"/>
      <c r="M690" s="6"/>
      <c r="N690" s="6">
        <f t="shared" ref="N690:P690" si="693">IF(LEN($C690)&gt;0,H690-E690,"")</f>
        <v>-209003.7709</v>
      </c>
      <c r="O690" s="6">
        <f t="shared" si="693"/>
        <v>-8.188639391</v>
      </c>
      <c r="P690" s="6">
        <f t="shared" si="693"/>
        <v>-1.339286388</v>
      </c>
      <c r="Q690" s="6"/>
      <c r="R690" s="6"/>
      <c r="S690" s="6"/>
      <c r="T690" s="6"/>
      <c r="U690" s="6"/>
      <c r="V690" s="6"/>
      <c r="W690" s="6"/>
      <c r="X690" s="6"/>
      <c r="Y690" s="6"/>
      <c r="Z690" s="6"/>
      <c r="AA690" s="6"/>
      <c r="AB690" s="6"/>
      <c r="AC690" s="6"/>
      <c r="AD690" s="6"/>
      <c r="AE690" s="6"/>
      <c r="AF690" s="6"/>
      <c r="AG690" s="6"/>
    </row>
    <row r="691" ht="14.25" customHeight="1">
      <c r="A691" s="6"/>
      <c r="B691" s="6"/>
      <c r="C691" s="6">
        <v>684.0</v>
      </c>
      <c r="D691" s="6"/>
      <c r="E691" s="6">
        <v>8078836.321105881</v>
      </c>
      <c r="F691" s="6">
        <v>448.8781643488765</v>
      </c>
      <c r="G691" s="6">
        <v>4.167905909171871</v>
      </c>
      <c r="H691" s="6">
        <v>8006074.006393477</v>
      </c>
      <c r="I691" s="6">
        <v>445.36131120224724</v>
      </c>
      <c r="J691" s="6">
        <v>3.1835343272945265</v>
      </c>
      <c r="K691" s="6"/>
      <c r="L691" s="6"/>
      <c r="M691" s="6"/>
      <c r="N691" s="6">
        <f t="shared" ref="N691:P691" si="694">IF(LEN($C691)&gt;0,H691-E691,"")</f>
        <v>-72762.31471</v>
      </c>
      <c r="O691" s="6">
        <f t="shared" si="694"/>
        <v>-3.516853147</v>
      </c>
      <c r="P691" s="6">
        <f t="shared" si="694"/>
        <v>-0.9843715819</v>
      </c>
      <c r="Q691" s="6"/>
      <c r="R691" s="6"/>
      <c r="S691" s="6"/>
      <c r="T691" s="6"/>
      <c r="U691" s="6"/>
      <c r="V691" s="6"/>
      <c r="W691" s="6"/>
      <c r="X691" s="6"/>
      <c r="Y691" s="6"/>
      <c r="Z691" s="6"/>
      <c r="AA691" s="6"/>
      <c r="AB691" s="6"/>
      <c r="AC691" s="6"/>
      <c r="AD691" s="6"/>
      <c r="AE691" s="6"/>
      <c r="AF691" s="6"/>
      <c r="AG691" s="6"/>
    </row>
    <row r="692" ht="14.25" customHeight="1">
      <c r="A692" s="6"/>
      <c r="B692" s="6"/>
      <c r="C692" s="6">
        <v>685.0</v>
      </c>
      <c r="D692" s="6"/>
      <c r="E692" s="6">
        <v>6503534.667798678</v>
      </c>
      <c r="F692" s="6">
        <v>481.69550023016427</v>
      </c>
      <c r="G692" s="6">
        <v>4.628441256897311</v>
      </c>
      <c r="H692" s="6">
        <v>6420320.436120953</v>
      </c>
      <c r="I692" s="6">
        <v>478.5686280993948</v>
      </c>
      <c r="J692" s="6">
        <v>3.289043353706938</v>
      </c>
      <c r="K692" s="6"/>
      <c r="L692" s="6"/>
      <c r="M692" s="6"/>
      <c r="N692" s="6">
        <f t="shared" ref="N692:P692" si="695">IF(LEN($C692)&gt;0,H692-E692,"")</f>
        <v>-83214.23168</v>
      </c>
      <c r="O692" s="6">
        <f t="shared" si="695"/>
        <v>-3.126872131</v>
      </c>
      <c r="P692" s="6">
        <f t="shared" si="695"/>
        <v>-1.339397903</v>
      </c>
      <c r="Q692" s="6"/>
      <c r="R692" s="6"/>
      <c r="S692" s="6"/>
      <c r="T692" s="6"/>
      <c r="U692" s="6"/>
      <c r="V692" s="6"/>
      <c r="W692" s="6"/>
      <c r="X692" s="6"/>
      <c r="Y692" s="6"/>
      <c r="Z692" s="6"/>
      <c r="AA692" s="6"/>
      <c r="AB692" s="6"/>
      <c r="AC692" s="6"/>
      <c r="AD692" s="6"/>
      <c r="AE692" s="6"/>
      <c r="AF692" s="6"/>
      <c r="AG692" s="6"/>
    </row>
    <row r="693" ht="14.25" customHeight="1">
      <c r="A693" s="6"/>
      <c r="B693" s="6"/>
      <c r="C693" s="6">
        <v>686.0</v>
      </c>
      <c r="D693" s="6"/>
      <c r="E693" s="6">
        <v>6608173.987792708</v>
      </c>
      <c r="F693" s="6">
        <v>428.15405243656215</v>
      </c>
      <c r="G693" s="6">
        <v>4.623411256190527</v>
      </c>
      <c r="H693" s="6">
        <v>6518700.038346067</v>
      </c>
      <c r="I693" s="6">
        <v>424.96711225445966</v>
      </c>
      <c r="J693" s="6">
        <v>2.9584894814863496</v>
      </c>
      <c r="K693" s="6"/>
      <c r="L693" s="6"/>
      <c r="M693" s="6"/>
      <c r="N693" s="6">
        <f t="shared" ref="N693:P693" si="696">IF(LEN($C693)&gt;0,H693-E693,"")</f>
        <v>-89473.94945</v>
      </c>
      <c r="O693" s="6">
        <f t="shared" si="696"/>
        <v>-3.186940182</v>
      </c>
      <c r="P693" s="6">
        <f t="shared" si="696"/>
        <v>-1.664921775</v>
      </c>
      <c r="Q693" s="6"/>
      <c r="R693" s="6"/>
      <c r="S693" s="6"/>
      <c r="T693" s="6"/>
      <c r="U693" s="6"/>
      <c r="V693" s="6"/>
      <c r="W693" s="6"/>
      <c r="X693" s="6"/>
      <c r="Y693" s="6"/>
      <c r="Z693" s="6"/>
      <c r="AA693" s="6"/>
      <c r="AB693" s="6"/>
      <c r="AC693" s="6"/>
      <c r="AD693" s="6"/>
      <c r="AE693" s="6"/>
      <c r="AF693" s="6"/>
      <c r="AG693" s="6"/>
    </row>
    <row r="694" ht="14.25" customHeight="1">
      <c r="A694" s="6"/>
      <c r="B694" s="6"/>
      <c r="C694" s="6">
        <v>687.0</v>
      </c>
      <c r="D694" s="6"/>
      <c r="E694" s="6">
        <v>7487275.012862874</v>
      </c>
      <c r="F694" s="6">
        <v>450.84400402988666</v>
      </c>
      <c r="G694" s="6">
        <v>5.668306206556901</v>
      </c>
      <c r="H694" s="6">
        <v>7379448.236759197</v>
      </c>
      <c r="I694" s="6">
        <v>446.8174612348249</v>
      </c>
      <c r="J694" s="6">
        <v>4.219255809367177</v>
      </c>
      <c r="K694" s="6"/>
      <c r="L694" s="6"/>
      <c r="M694" s="6"/>
      <c r="N694" s="6">
        <f t="shared" ref="N694:P694" si="697">IF(LEN($C694)&gt;0,H694-E694,"")</f>
        <v>-107826.7761</v>
      </c>
      <c r="O694" s="6">
        <f t="shared" si="697"/>
        <v>-4.026542795</v>
      </c>
      <c r="P694" s="6">
        <f t="shared" si="697"/>
        <v>-1.449050397</v>
      </c>
      <c r="Q694" s="6"/>
      <c r="R694" s="6"/>
      <c r="S694" s="6"/>
      <c r="T694" s="6"/>
      <c r="U694" s="6"/>
      <c r="V694" s="6"/>
      <c r="W694" s="6"/>
      <c r="X694" s="6"/>
      <c r="Y694" s="6"/>
      <c r="Z694" s="6"/>
      <c r="AA694" s="6"/>
      <c r="AB694" s="6"/>
      <c r="AC694" s="6"/>
      <c r="AD694" s="6"/>
      <c r="AE694" s="6"/>
      <c r="AF694" s="6"/>
      <c r="AG694" s="6"/>
    </row>
    <row r="695" ht="14.25" customHeight="1">
      <c r="A695" s="6"/>
      <c r="B695" s="6"/>
      <c r="C695" s="6">
        <v>688.0</v>
      </c>
      <c r="D695" s="6"/>
      <c r="E695" s="6">
        <v>7894109.582233224</v>
      </c>
      <c r="F695" s="6">
        <v>449.54528715887596</v>
      </c>
      <c r="G695" s="6">
        <v>5.252382990952048</v>
      </c>
      <c r="H695" s="6">
        <v>7742386.934948104</v>
      </c>
      <c r="I695" s="6">
        <v>443.5686615254964</v>
      </c>
      <c r="J695" s="6">
        <v>3.348655856310837</v>
      </c>
      <c r="K695" s="6"/>
      <c r="L695" s="6"/>
      <c r="M695" s="6"/>
      <c r="N695" s="6">
        <f t="shared" ref="N695:P695" si="698">IF(LEN($C695)&gt;0,H695-E695,"")</f>
        <v>-151722.6473</v>
      </c>
      <c r="O695" s="6">
        <f t="shared" si="698"/>
        <v>-5.976625633</v>
      </c>
      <c r="P695" s="6">
        <f t="shared" si="698"/>
        <v>-1.903727135</v>
      </c>
      <c r="Q695" s="6"/>
      <c r="R695" s="6"/>
      <c r="S695" s="6"/>
      <c r="T695" s="6"/>
      <c r="U695" s="6"/>
      <c r="V695" s="6"/>
      <c r="W695" s="6"/>
      <c r="X695" s="6"/>
      <c r="Y695" s="6"/>
      <c r="Z695" s="6"/>
      <c r="AA695" s="6"/>
      <c r="AB695" s="6"/>
      <c r="AC695" s="6"/>
      <c r="AD695" s="6"/>
      <c r="AE695" s="6"/>
      <c r="AF695" s="6"/>
      <c r="AG695" s="6"/>
    </row>
    <row r="696" ht="14.25" customHeight="1">
      <c r="A696" s="6"/>
      <c r="B696" s="6"/>
      <c r="C696" s="6">
        <v>689.0</v>
      </c>
      <c r="D696" s="6"/>
      <c r="E696" s="6">
        <v>6426578.118569352</v>
      </c>
      <c r="F696" s="6">
        <v>431.0070764806233</v>
      </c>
      <c r="G696" s="6">
        <v>3.80265387725394</v>
      </c>
      <c r="H696" s="6">
        <v>6343557.05443889</v>
      </c>
      <c r="I696" s="6">
        <v>428.56861566038094</v>
      </c>
      <c r="J696" s="6">
        <v>2.722090356377115</v>
      </c>
      <c r="K696" s="6"/>
      <c r="L696" s="6"/>
      <c r="M696" s="6"/>
      <c r="N696" s="6">
        <f t="shared" ref="N696:P696" si="699">IF(LEN($C696)&gt;0,H696-E696,"")</f>
        <v>-83021.06413</v>
      </c>
      <c r="O696" s="6">
        <f t="shared" si="699"/>
        <v>-2.43846082</v>
      </c>
      <c r="P696" s="6">
        <f t="shared" si="699"/>
        <v>-1.080563521</v>
      </c>
      <c r="Q696" s="6"/>
      <c r="R696" s="6"/>
      <c r="S696" s="6"/>
      <c r="T696" s="6"/>
      <c r="U696" s="6"/>
      <c r="V696" s="6"/>
      <c r="W696" s="6"/>
      <c r="X696" s="6"/>
      <c r="Y696" s="6"/>
      <c r="Z696" s="6"/>
      <c r="AA696" s="6"/>
      <c r="AB696" s="6"/>
      <c r="AC696" s="6"/>
      <c r="AD696" s="6"/>
      <c r="AE696" s="6"/>
      <c r="AF696" s="6"/>
      <c r="AG696" s="6"/>
    </row>
    <row r="697" ht="14.25" customHeight="1">
      <c r="A697" s="6"/>
      <c r="B697" s="6"/>
      <c r="C697" s="6">
        <v>690.0</v>
      </c>
      <c r="D697" s="6"/>
      <c r="E697" s="6">
        <v>7208398.804491694</v>
      </c>
      <c r="F697" s="6">
        <v>486.98995665297906</v>
      </c>
      <c r="G697" s="6">
        <v>6.286453567606513</v>
      </c>
      <c r="H697" s="6">
        <v>7027984.976028557</v>
      </c>
      <c r="I697" s="6">
        <v>479.2714656270735</v>
      </c>
      <c r="J697" s="6">
        <v>4.693264153035774</v>
      </c>
      <c r="K697" s="6"/>
      <c r="L697" s="6"/>
      <c r="M697" s="6"/>
      <c r="N697" s="6">
        <f t="shared" ref="N697:P697" si="700">IF(LEN($C697)&gt;0,H697-E697,"")</f>
        <v>-180413.8285</v>
      </c>
      <c r="O697" s="6">
        <f t="shared" si="700"/>
        <v>-7.718491026</v>
      </c>
      <c r="P697" s="6">
        <f t="shared" si="700"/>
        <v>-1.593189415</v>
      </c>
      <c r="Q697" s="6"/>
      <c r="R697" s="6"/>
      <c r="S697" s="6"/>
      <c r="T697" s="6"/>
      <c r="U697" s="6"/>
      <c r="V697" s="6"/>
      <c r="W697" s="6"/>
      <c r="X697" s="6"/>
      <c r="Y697" s="6"/>
      <c r="Z697" s="6"/>
      <c r="AA697" s="6"/>
      <c r="AB697" s="6"/>
      <c r="AC697" s="6"/>
      <c r="AD697" s="6"/>
      <c r="AE697" s="6"/>
      <c r="AF697" s="6"/>
      <c r="AG697" s="6"/>
    </row>
    <row r="698" ht="14.25" customHeight="1">
      <c r="A698" s="6"/>
      <c r="B698" s="6"/>
      <c r="C698" s="6">
        <v>691.0</v>
      </c>
      <c r="D698" s="6"/>
      <c r="E698" s="6">
        <v>7374609.882105129</v>
      </c>
      <c r="F698" s="6">
        <v>469.92593172692096</v>
      </c>
      <c r="G698" s="6">
        <v>4.813117863559372</v>
      </c>
      <c r="H698" s="6">
        <v>7267554.916251666</v>
      </c>
      <c r="I698" s="6">
        <v>467.25629716296584</v>
      </c>
      <c r="J698" s="6">
        <v>3.3775187277910113</v>
      </c>
      <c r="K698" s="6"/>
      <c r="L698" s="6"/>
      <c r="M698" s="6"/>
      <c r="N698" s="6">
        <f t="shared" ref="N698:P698" si="701">IF(LEN($C698)&gt;0,H698-E698,"")</f>
        <v>-107054.9659</v>
      </c>
      <c r="O698" s="6">
        <f t="shared" si="701"/>
        <v>-2.669634564</v>
      </c>
      <c r="P698" s="6">
        <f t="shared" si="701"/>
        <v>-1.435599136</v>
      </c>
      <c r="Q698" s="6"/>
      <c r="R698" s="6"/>
      <c r="S698" s="6"/>
      <c r="T698" s="6"/>
      <c r="U698" s="6"/>
      <c r="V698" s="6"/>
      <c r="W698" s="6"/>
      <c r="X698" s="6"/>
      <c r="Y698" s="6"/>
      <c r="Z698" s="6"/>
      <c r="AA698" s="6"/>
      <c r="AB698" s="6"/>
      <c r="AC698" s="6"/>
      <c r="AD698" s="6"/>
      <c r="AE698" s="6"/>
      <c r="AF698" s="6"/>
      <c r="AG698" s="6"/>
    </row>
    <row r="699" ht="14.25" customHeight="1">
      <c r="A699" s="6"/>
      <c r="B699" s="6"/>
      <c r="C699" s="6">
        <v>692.0</v>
      </c>
      <c r="D699" s="6"/>
      <c r="E699" s="6">
        <v>5143181.106270097</v>
      </c>
      <c r="F699" s="6">
        <v>459.8355812347477</v>
      </c>
      <c r="G699" s="6">
        <v>5.25807686894215</v>
      </c>
      <c r="H699" s="6">
        <v>5024280.645241584</v>
      </c>
      <c r="I699" s="6">
        <v>455.22028293069985</v>
      </c>
      <c r="J699" s="6">
        <v>3.804124310665505</v>
      </c>
      <c r="K699" s="6"/>
      <c r="L699" s="6"/>
      <c r="M699" s="6"/>
      <c r="N699" s="6">
        <f t="shared" ref="N699:P699" si="702">IF(LEN($C699)&gt;0,H699-E699,"")</f>
        <v>-118900.461</v>
      </c>
      <c r="O699" s="6">
        <f t="shared" si="702"/>
        <v>-4.615298304</v>
      </c>
      <c r="P699" s="6">
        <f t="shared" si="702"/>
        <v>-1.453952558</v>
      </c>
      <c r="Q699" s="6"/>
      <c r="R699" s="6"/>
      <c r="S699" s="6"/>
      <c r="T699" s="6"/>
      <c r="U699" s="6"/>
      <c r="V699" s="6"/>
      <c r="W699" s="6"/>
      <c r="X699" s="6"/>
      <c r="Y699" s="6"/>
      <c r="Z699" s="6"/>
      <c r="AA699" s="6"/>
      <c r="AB699" s="6"/>
      <c r="AC699" s="6"/>
      <c r="AD699" s="6"/>
      <c r="AE699" s="6"/>
      <c r="AF699" s="6"/>
      <c r="AG699" s="6"/>
    </row>
    <row r="700" ht="14.25" customHeight="1">
      <c r="A700" s="6"/>
      <c r="B700" s="6"/>
      <c r="C700" s="6">
        <v>693.0</v>
      </c>
      <c r="D700" s="6"/>
      <c r="E700" s="6">
        <v>7861275.602608998</v>
      </c>
      <c r="F700" s="6">
        <v>451.22140843224304</v>
      </c>
      <c r="G700" s="6">
        <v>6.4167991106144395</v>
      </c>
      <c r="H700" s="6">
        <v>7727113.489458834</v>
      </c>
      <c r="I700" s="6">
        <v>445.2559971998046</v>
      </c>
      <c r="J700" s="6">
        <v>4.762449252401124</v>
      </c>
      <c r="K700" s="6"/>
      <c r="L700" s="6"/>
      <c r="M700" s="6"/>
      <c r="N700" s="6">
        <f t="shared" ref="N700:P700" si="703">IF(LEN($C700)&gt;0,H700-E700,"")</f>
        <v>-134162.1132</v>
      </c>
      <c r="O700" s="6">
        <f t="shared" si="703"/>
        <v>-5.965411232</v>
      </c>
      <c r="P700" s="6">
        <f t="shared" si="703"/>
        <v>-1.654349858</v>
      </c>
      <c r="Q700" s="6"/>
      <c r="R700" s="6"/>
      <c r="S700" s="6"/>
      <c r="T700" s="6"/>
      <c r="U700" s="6"/>
      <c r="V700" s="6"/>
      <c r="W700" s="6"/>
      <c r="X700" s="6"/>
      <c r="Y700" s="6"/>
      <c r="Z700" s="6"/>
      <c r="AA700" s="6"/>
      <c r="AB700" s="6"/>
      <c r="AC700" s="6"/>
      <c r="AD700" s="6"/>
      <c r="AE700" s="6"/>
      <c r="AF700" s="6"/>
      <c r="AG700" s="6"/>
    </row>
    <row r="701" ht="14.25" customHeight="1">
      <c r="A701" s="6"/>
      <c r="B701" s="6"/>
      <c r="C701" s="6">
        <v>694.0</v>
      </c>
      <c r="D701" s="6"/>
      <c r="E701" s="6">
        <v>5602920.096655767</v>
      </c>
      <c r="F701" s="6">
        <v>485.52663565137345</v>
      </c>
      <c r="G701" s="6">
        <v>5.067287443930209</v>
      </c>
      <c r="H701" s="6">
        <v>5499250.897913777</v>
      </c>
      <c r="I701" s="6">
        <v>481.0988412041942</v>
      </c>
      <c r="J701" s="6">
        <v>3.279798735191307</v>
      </c>
      <c r="K701" s="6"/>
      <c r="L701" s="6"/>
      <c r="M701" s="6"/>
      <c r="N701" s="6">
        <f t="shared" ref="N701:P701" si="704">IF(LEN($C701)&gt;0,H701-E701,"")</f>
        <v>-103669.1987</v>
      </c>
      <c r="O701" s="6">
        <f t="shared" si="704"/>
        <v>-4.427794447</v>
      </c>
      <c r="P701" s="6">
        <f t="shared" si="704"/>
        <v>-1.787488709</v>
      </c>
      <c r="Q701" s="6"/>
      <c r="R701" s="6"/>
      <c r="S701" s="6"/>
      <c r="T701" s="6"/>
      <c r="U701" s="6"/>
      <c r="V701" s="6"/>
      <c r="W701" s="6"/>
      <c r="X701" s="6"/>
      <c r="Y701" s="6"/>
      <c r="Z701" s="6"/>
      <c r="AA701" s="6"/>
      <c r="AB701" s="6"/>
      <c r="AC701" s="6"/>
      <c r="AD701" s="6"/>
      <c r="AE701" s="6"/>
      <c r="AF701" s="6"/>
      <c r="AG701" s="6"/>
    </row>
    <row r="702" ht="14.25" customHeight="1">
      <c r="A702" s="6"/>
      <c r="B702" s="6"/>
      <c r="C702" s="6">
        <v>695.0</v>
      </c>
      <c r="D702" s="6"/>
      <c r="E702" s="6">
        <v>7193019.336183876</v>
      </c>
      <c r="F702" s="6">
        <v>447.38843342307354</v>
      </c>
      <c r="G702" s="6">
        <v>3.7977108173178427</v>
      </c>
      <c r="H702" s="6">
        <v>7121676.222598541</v>
      </c>
      <c r="I702" s="6">
        <v>444.63435811508447</v>
      </c>
      <c r="J702" s="6">
        <v>2.8431656445338254</v>
      </c>
      <c r="K702" s="6"/>
      <c r="L702" s="6"/>
      <c r="M702" s="6"/>
      <c r="N702" s="6">
        <f t="shared" ref="N702:P702" si="705">IF(LEN($C702)&gt;0,H702-E702,"")</f>
        <v>-71343.11359</v>
      </c>
      <c r="O702" s="6">
        <f t="shared" si="705"/>
        <v>-2.754075308</v>
      </c>
      <c r="P702" s="6">
        <f t="shared" si="705"/>
        <v>-0.9545451728</v>
      </c>
      <c r="Q702" s="6"/>
      <c r="R702" s="6"/>
      <c r="S702" s="6"/>
      <c r="T702" s="6"/>
      <c r="U702" s="6"/>
      <c r="V702" s="6"/>
      <c r="W702" s="6"/>
      <c r="X702" s="6"/>
      <c r="Y702" s="6"/>
      <c r="Z702" s="6"/>
      <c r="AA702" s="6"/>
      <c r="AB702" s="6"/>
      <c r="AC702" s="6"/>
      <c r="AD702" s="6"/>
      <c r="AE702" s="6"/>
      <c r="AF702" s="6"/>
      <c r="AG702" s="6"/>
    </row>
    <row r="703" ht="14.25" customHeight="1">
      <c r="A703" s="6"/>
      <c r="B703" s="6"/>
      <c r="C703" s="6">
        <v>696.0</v>
      </c>
      <c r="D703" s="6"/>
      <c r="E703" s="6">
        <v>7709208.114825794</v>
      </c>
      <c r="F703" s="6">
        <v>504.84458122283337</v>
      </c>
      <c r="G703" s="6">
        <v>4.107922522775046</v>
      </c>
      <c r="H703" s="6">
        <v>7668198.060606092</v>
      </c>
      <c r="I703" s="6">
        <v>502.7834926029534</v>
      </c>
      <c r="J703" s="6">
        <v>3.6835534714064786</v>
      </c>
      <c r="K703" s="6"/>
      <c r="L703" s="6"/>
      <c r="M703" s="6"/>
      <c r="N703" s="6">
        <f t="shared" ref="N703:P703" si="706">IF(LEN($C703)&gt;0,H703-E703,"")</f>
        <v>-41010.05422</v>
      </c>
      <c r="O703" s="6">
        <f t="shared" si="706"/>
        <v>-2.06108862</v>
      </c>
      <c r="P703" s="6">
        <f t="shared" si="706"/>
        <v>-0.4243690514</v>
      </c>
      <c r="Q703" s="6"/>
      <c r="R703" s="6"/>
      <c r="S703" s="6"/>
      <c r="T703" s="6"/>
      <c r="U703" s="6"/>
      <c r="V703" s="6"/>
      <c r="W703" s="6"/>
      <c r="X703" s="6"/>
      <c r="Y703" s="6"/>
      <c r="Z703" s="6"/>
      <c r="AA703" s="6"/>
      <c r="AB703" s="6"/>
      <c r="AC703" s="6"/>
      <c r="AD703" s="6"/>
      <c r="AE703" s="6"/>
      <c r="AF703" s="6"/>
      <c r="AG703" s="6"/>
    </row>
    <row r="704" ht="14.25" customHeight="1">
      <c r="A704" s="6"/>
      <c r="B704" s="6"/>
      <c r="C704" s="6">
        <v>697.0</v>
      </c>
      <c r="D704" s="6"/>
      <c r="E704" s="6">
        <v>8920304.908580089</v>
      </c>
      <c r="F704" s="6">
        <v>438.05726676810536</v>
      </c>
      <c r="G704" s="6">
        <v>5.040981179106639</v>
      </c>
      <c r="H704" s="6">
        <v>8820075.361443583</v>
      </c>
      <c r="I704" s="6">
        <v>433.93409372315233</v>
      </c>
      <c r="J704" s="6">
        <v>3.8862345990286498</v>
      </c>
      <c r="K704" s="6"/>
      <c r="L704" s="6"/>
      <c r="M704" s="6"/>
      <c r="N704" s="6">
        <f t="shared" ref="N704:P704" si="707">IF(LEN($C704)&gt;0,H704-E704,"")</f>
        <v>-100229.5471</v>
      </c>
      <c r="O704" s="6">
        <f t="shared" si="707"/>
        <v>-4.123173045</v>
      </c>
      <c r="P704" s="6">
        <f t="shared" si="707"/>
        <v>-1.15474658</v>
      </c>
      <c r="Q704" s="6"/>
      <c r="R704" s="6"/>
      <c r="S704" s="6"/>
      <c r="T704" s="6"/>
      <c r="U704" s="6"/>
      <c r="V704" s="6"/>
      <c r="W704" s="6"/>
      <c r="X704" s="6"/>
      <c r="Y704" s="6"/>
      <c r="Z704" s="6"/>
      <c r="AA704" s="6"/>
      <c r="AB704" s="6"/>
      <c r="AC704" s="6"/>
      <c r="AD704" s="6"/>
      <c r="AE704" s="6"/>
      <c r="AF704" s="6"/>
      <c r="AG704" s="6"/>
    </row>
    <row r="705" ht="14.25" customHeight="1">
      <c r="A705" s="6"/>
      <c r="B705" s="6"/>
      <c r="C705" s="6">
        <v>698.0</v>
      </c>
      <c r="D705" s="6"/>
      <c r="E705" s="6">
        <v>1.0097448760423588E7</v>
      </c>
      <c r="F705" s="6">
        <v>445.2021382033644</v>
      </c>
      <c r="G705" s="6">
        <v>7.44909306632366</v>
      </c>
      <c r="H705" s="6">
        <v>9927066.056310508</v>
      </c>
      <c r="I705" s="6">
        <v>439.38741668646674</v>
      </c>
      <c r="J705" s="6">
        <v>5.042785898085384</v>
      </c>
      <c r="K705" s="6"/>
      <c r="L705" s="6"/>
      <c r="M705" s="6"/>
      <c r="N705" s="6">
        <f t="shared" ref="N705:P705" si="708">IF(LEN($C705)&gt;0,H705-E705,"")</f>
        <v>-170382.7041</v>
      </c>
      <c r="O705" s="6">
        <f t="shared" si="708"/>
        <v>-5.814721517</v>
      </c>
      <c r="P705" s="6">
        <f t="shared" si="708"/>
        <v>-2.406307168</v>
      </c>
      <c r="Q705" s="6"/>
      <c r="R705" s="6"/>
      <c r="S705" s="6"/>
      <c r="T705" s="6"/>
      <c r="U705" s="6"/>
      <c r="V705" s="6"/>
      <c r="W705" s="6"/>
      <c r="X705" s="6"/>
      <c r="Y705" s="6"/>
      <c r="Z705" s="6"/>
      <c r="AA705" s="6"/>
      <c r="AB705" s="6"/>
      <c r="AC705" s="6"/>
      <c r="AD705" s="6"/>
      <c r="AE705" s="6"/>
      <c r="AF705" s="6"/>
      <c r="AG705" s="6"/>
    </row>
    <row r="706" ht="14.25" customHeight="1">
      <c r="A706" s="6"/>
      <c r="B706" s="6"/>
      <c r="C706" s="6">
        <v>699.0</v>
      </c>
      <c r="D706" s="6"/>
      <c r="E706" s="6">
        <v>9408679.731370019</v>
      </c>
      <c r="F706" s="6">
        <v>488.6333798610563</v>
      </c>
      <c r="G706" s="6">
        <v>4.478387093089316</v>
      </c>
      <c r="H706" s="6">
        <v>9230439.035900034</v>
      </c>
      <c r="I706" s="6">
        <v>481.27275862512846</v>
      </c>
      <c r="J706" s="6">
        <v>3.2595965020218096</v>
      </c>
      <c r="K706" s="6"/>
      <c r="L706" s="6"/>
      <c r="M706" s="6"/>
      <c r="N706" s="6">
        <f t="shared" ref="N706:P706" si="709">IF(LEN($C706)&gt;0,H706-E706,"")</f>
        <v>-178240.6955</v>
      </c>
      <c r="O706" s="6">
        <f t="shared" si="709"/>
        <v>-7.360621236</v>
      </c>
      <c r="P706" s="6">
        <f t="shared" si="709"/>
        <v>-1.218790591</v>
      </c>
      <c r="Q706" s="6"/>
      <c r="R706" s="6"/>
      <c r="S706" s="6"/>
      <c r="T706" s="6"/>
      <c r="U706" s="6"/>
      <c r="V706" s="6"/>
      <c r="W706" s="6"/>
      <c r="X706" s="6"/>
      <c r="Y706" s="6"/>
      <c r="Z706" s="6"/>
      <c r="AA706" s="6"/>
      <c r="AB706" s="6"/>
      <c r="AC706" s="6"/>
      <c r="AD706" s="6"/>
      <c r="AE706" s="6"/>
      <c r="AF706" s="6"/>
      <c r="AG706" s="6"/>
    </row>
    <row r="707" ht="14.25" customHeight="1">
      <c r="A707" s="6"/>
      <c r="B707" s="6"/>
      <c r="C707" s="6">
        <v>700.0</v>
      </c>
      <c r="D707" s="6"/>
      <c r="E707" s="6">
        <v>7817450.2767415885</v>
      </c>
      <c r="F707" s="6">
        <v>451.24755465460186</v>
      </c>
      <c r="G707" s="6">
        <v>3.889371024664008</v>
      </c>
      <c r="H707" s="6">
        <v>7700799.070309301</v>
      </c>
      <c r="I707" s="6">
        <v>444.7301392089701</v>
      </c>
      <c r="J707" s="6">
        <v>2.8695436960820575</v>
      </c>
      <c r="K707" s="6"/>
      <c r="L707" s="6"/>
      <c r="M707" s="6"/>
      <c r="N707" s="6">
        <f t="shared" ref="N707:P707" si="710">IF(LEN($C707)&gt;0,H707-E707,"")</f>
        <v>-116651.2064</v>
      </c>
      <c r="O707" s="6">
        <f t="shared" si="710"/>
        <v>-6.517415446</v>
      </c>
      <c r="P707" s="6">
        <f t="shared" si="710"/>
        <v>-1.019827329</v>
      </c>
      <c r="Q707" s="6"/>
      <c r="R707" s="6"/>
      <c r="S707" s="6"/>
      <c r="T707" s="6"/>
      <c r="U707" s="6"/>
      <c r="V707" s="6"/>
      <c r="W707" s="6"/>
      <c r="X707" s="6"/>
      <c r="Y707" s="6"/>
      <c r="Z707" s="6"/>
      <c r="AA707" s="6"/>
      <c r="AB707" s="6"/>
      <c r="AC707" s="6"/>
      <c r="AD707" s="6"/>
      <c r="AE707" s="6"/>
      <c r="AF707" s="6"/>
      <c r="AG707" s="6"/>
    </row>
    <row r="708" ht="14.25" customHeight="1">
      <c r="A708" s="6"/>
      <c r="B708" s="6"/>
      <c r="C708" s="6">
        <v>701.0</v>
      </c>
      <c r="D708" s="6"/>
      <c r="E708" s="6">
        <v>8834977.405971913</v>
      </c>
      <c r="F708" s="6">
        <v>469.9277061221919</v>
      </c>
      <c r="G708" s="6">
        <v>4.546015576214978</v>
      </c>
      <c r="H708" s="6">
        <v>8612508.375124324</v>
      </c>
      <c r="I708" s="6">
        <v>460.2999184091919</v>
      </c>
      <c r="J708" s="6">
        <v>2.8645657685422075</v>
      </c>
      <c r="K708" s="6"/>
      <c r="L708" s="6"/>
      <c r="M708" s="6"/>
      <c r="N708" s="6">
        <f t="shared" ref="N708:P708" si="711">IF(LEN($C708)&gt;0,H708-E708,"")</f>
        <v>-222469.0308</v>
      </c>
      <c r="O708" s="6">
        <f t="shared" si="711"/>
        <v>-9.627787713</v>
      </c>
      <c r="P708" s="6">
        <f t="shared" si="711"/>
        <v>-1.681449808</v>
      </c>
      <c r="Q708" s="6"/>
      <c r="R708" s="6"/>
      <c r="S708" s="6"/>
      <c r="T708" s="6"/>
      <c r="U708" s="6"/>
      <c r="V708" s="6"/>
      <c r="W708" s="6"/>
      <c r="X708" s="6"/>
      <c r="Y708" s="6"/>
      <c r="Z708" s="6"/>
      <c r="AA708" s="6"/>
      <c r="AB708" s="6"/>
      <c r="AC708" s="6"/>
      <c r="AD708" s="6"/>
      <c r="AE708" s="6"/>
      <c r="AF708" s="6"/>
      <c r="AG708" s="6"/>
    </row>
    <row r="709" ht="14.25" customHeight="1">
      <c r="A709" s="6"/>
      <c r="B709" s="6"/>
      <c r="C709" s="6">
        <v>702.0</v>
      </c>
      <c r="D709" s="6"/>
      <c r="E709" s="6">
        <v>6559464.9284202065</v>
      </c>
      <c r="F709" s="6">
        <v>439.67967238172287</v>
      </c>
      <c r="G709" s="6">
        <v>5.323345209010262</v>
      </c>
      <c r="H709" s="6">
        <v>6476360.926715361</v>
      </c>
      <c r="I709" s="6">
        <v>436.17239169938483</v>
      </c>
      <c r="J709" s="6">
        <v>3.924682433959262</v>
      </c>
      <c r="K709" s="6"/>
      <c r="L709" s="6"/>
      <c r="M709" s="6"/>
      <c r="N709" s="6">
        <f t="shared" ref="N709:P709" si="712">IF(LEN($C709)&gt;0,H709-E709,"")</f>
        <v>-83104.0017</v>
      </c>
      <c r="O709" s="6">
        <f t="shared" si="712"/>
        <v>-3.507280682</v>
      </c>
      <c r="P709" s="6">
        <f t="shared" si="712"/>
        <v>-1.398662775</v>
      </c>
      <c r="Q709" s="6"/>
      <c r="R709" s="6"/>
      <c r="S709" s="6"/>
      <c r="T709" s="6"/>
      <c r="U709" s="6"/>
      <c r="V709" s="6"/>
      <c r="W709" s="6"/>
      <c r="X709" s="6"/>
      <c r="Y709" s="6"/>
      <c r="Z709" s="6"/>
      <c r="AA709" s="6"/>
      <c r="AB709" s="6"/>
      <c r="AC709" s="6"/>
      <c r="AD709" s="6"/>
      <c r="AE709" s="6"/>
      <c r="AF709" s="6"/>
      <c r="AG709" s="6"/>
    </row>
    <row r="710" ht="14.25" customHeight="1">
      <c r="A710" s="6"/>
      <c r="B710" s="6"/>
      <c r="C710" s="6">
        <v>703.0</v>
      </c>
      <c r="D710" s="6"/>
      <c r="E710" s="6">
        <v>6140009.806419585</v>
      </c>
      <c r="F710" s="6">
        <v>492.32082078203615</v>
      </c>
      <c r="G710" s="6">
        <v>4.759897908604704</v>
      </c>
      <c r="H710" s="6">
        <v>6042639.875629036</v>
      </c>
      <c r="I710" s="6">
        <v>487.8968556741434</v>
      </c>
      <c r="J710" s="6">
        <v>3.1811113851902864</v>
      </c>
      <c r="K710" s="6"/>
      <c r="L710" s="6"/>
      <c r="M710" s="6"/>
      <c r="N710" s="6">
        <f t="shared" ref="N710:P710" si="713">IF(LEN($C710)&gt;0,H710-E710,"")</f>
        <v>-97369.93079</v>
      </c>
      <c r="O710" s="6">
        <f t="shared" si="713"/>
        <v>-4.423965108</v>
      </c>
      <c r="P710" s="6">
        <f t="shared" si="713"/>
        <v>-1.578786523</v>
      </c>
      <c r="Q710" s="6"/>
      <c r="R710" s="6"/>
      <c r="S710" s="6"/>
      <c r="T710" s="6"/>
      <c r="U710" s="6"/>
      <c r="V710" s="6"/>
      <c r="W710" s="6"/>
      <c r="X710" s="6"/>
      <c r="Y710" s="6"/>
      <c r="Z710" s="6"/>
      <c r="AA710" s="6"/>
      <c r="AB710" s="6"/>
      <c r="AC710" s="6"/>
      <c r="AD710" s="6"/>
      <c r="AE710" s="6"/>
      <c r="AF710" s="6"/>
      <c r="AG710" s="6"/>
    </row>
    <row r="711" ht="14.25" customHeight="1">
      <c r="A711" s="6"/>
      <c r="B711" s="6"/>
      <c r="C711" s="6">
        <v>704.0</v>
      </c>
      <c r="D711" s="6"/>
      <c r="E711" s="6">
        <v>5202878.008138507</v>
      </c>
      <c r="F711" s="6">
        <v>486.9724218648656</v>
      </c>
      <c r="G711" s="6">
        <v>6.627219778250382</v>
      </c>
      <c r="H711" s="6">
        <v>5100090.506208162</v>
      </c>
      <c r="I711" s="6">
        <v>481.9676604143576</v>
      </c>
      <c r="J711" s="6">
        <v>5.08563951609926</v>
      </c>
      <c r="K711" s="6"/>
      <c r="L711" s="6"/>
      <c r="M711" s="6"/>
      <c r="N711" s="6">
        <f t="shared" ref="N711:P711" si="714">IF(LEN($C711)&gt;0,H711-E711,"")</f>
        <v>-102787.5019</v>
      </c>
      <c r="O711" s="6">
        <f t="shared" si="714"/>
        <v>-5.004761451</v>
      </c>
      <c r="P711" s="6">
        <f t="shared" si="714"/>
        <v>-1.541580262</v>
      </c>
      <c r="Q711" s="6"/>
      <c r="R711" s="6"/>
      <c r="S711" s="6"/>
      <c r="T711" s="6"/>
      <c r="U711" s="6"/>
      <c r="V711" s="6"/>
      <c r="W711" s="6"/>
      <c r="X711" s="6"/>
      <c r="Y711" s="6"/>
      <c r="Z711" s="6"/>
      <c r="AA711" s="6"/>
      <c r="AB711" s="6"/>
      <c r="AC711" s="6"/>
      <c r="AD711" s="6"/>
      <c r="AE711" s="6"/>
      <c r="AF711" s="6"/>
      <c r="AG711" s="6"/>
    </row>
    <row r="712" ht="14.25" customHeight="1">
      <c r="A712" s="6"/>
      <c r="B712" s="6"/>
      <c r="C712" s="6">
        <v>705.0</v>
      </c>
      <c r="D712" s="6"/>
      <c r="E712" s="6">
        <v>7723143.7665853975</v>
      </c>
      <c r="F712" s="6">
        <v>485.4924953936718</v>
      </c>
      <c r="G712" s="6">
        <v>5.446353641995657</v>
      </c>
      <c r="H712" s="6">
        <v>7669163.425237787</v>
      </c>
      <c r="I712" s="6">
        <v>484.08103764878075</v>
      </c>
      <c r="J712" s="6">
        <v>4.675730005870127</v>
      </c>
      <c r="K712" s="6"/>
      <c r="L712" s="6"/>
      <c r="M712" s="6"/>
      <c r="N712" s="6">
        <f t="shared" ref="N712:P712" si="715">IF(LEN($C712)&gt;0,H712-E712,"")</f>
        <v>-53980.34135</v>
      </c>
      <c r="O712" s="6">
        <f t="shared" si="715"/>
        <v>-1.411457745</v>
      </c>
      <c r="P712" s="6">
        <f t="shared" si="715"/>
        <v>-0.7706236361</v>
      </c>
      <c r="Q712" s="6"/>
      <c r="R712" s="6"/>
      <c r="S712" s="6"/>
      <c r="T712" s="6"/>
      <c r="U712" s="6"/>
      <c r="V712" s="6"/>
      <c r="W712" s="6"/>
      <c r="X712" s="6"/>
      <c r="Y712" s="6"/>
      <c r="Z712" s="6"/>
      <c r="AA712" s="6"/>
      <c r="AB712" s="6"/>
      <c r="AC712" s="6"/>
      <c r="AD712" s="6"/>
      <c r="AE712" s="6"/>
      <c r="AF712" s="6"/>
      <c r="AG712" s="6"/>
    </row>
    <row r="713" ht="14.25" customHeight="1">
      <c r="A713" s="6"/>
      <c r="B713" s="6"/>
      <c r="C713" s="6">
        <v>706.0</v>
      </c>
      <c r="D713" s="6"/>
      <c r="E713" s="6">
        <v>6191475.5081364075</v>
      </c>
      <c r="F713" s="6">
        <v>453.2288500487083</v>
      </c>
      <c r="G713" s="6">
        <v>5.780088042317245</v>
      </c>
      <c r="H713" s="6">
        <v>6002130.860851571</v>
      </c>
      <c r="I713" s="6">
        <v>447.26020411229297</v>
      </c>
      <c r="J713" s="6">
        <v>3.6162512485409875</v>
      </c>
      <c r="K713" s="6"/>
      <c r="L713" s="6"/>
      <c r="M713" s="6"/>
      <c r="N713" s="6">
        <f t="shared" ref="N713:P713" si="716">IF(LEN($C713)&gt;0,H713-E713,"")</f>
        <v>-189344.6473</v>
      </c>
      <c r="O713" s="6">
        <f t="shared" si="716"/>
        <v>-5.968645936</v>
      </c>
      <c r="P713" s="6">
        <f t="shared" si="716"/>
        <v>-2.163836794</v>
      </c>
      <c r="Q713" s="6"/>
      <c r="R713" s="6"/>
      <c r="S713" s="6"/>
      <c r="T713" s="6"/>
      <c r="U713" s="6"/>
      <c r="V713" s="6"/>
      <c r="W713" s="6"/>
      <c r="X713" s="6"/>
      <c r="Y713" s="6"/>
      <c r="Z713" s="6"/>
      <c r="AA713" s="6"/>
      <c r="AB713" s="6"/>
      <c r="AC713" s="6"/>
      <c r="AD713" s="6"/>
      <c r="AE713" s="6"/>
      <c r="AF713" s="6"/>
      <c r="AG713" s="6"/>
    </row>
    <row r="714" ht="14.25" customHeight="1">
      <c r="A714" s="6"/>
      <c r="B714" s="6"/>
      <c r="C714" s="6">
        <v>707.0</v>
      </c>
      <c r="D714" s="6"/>
      <c r="E714" s="6">
        <v>7138311.23298904</v>
      </c>
      <c r="F714" s="6">
        <v>467.70236491020506</v>
      </c>
      <c r="G714" s="6">
        <v>6.323641755295219</v>
      </c>
      <c r="H714" s="6">
        <v>6973793.668252924</v>
      </c>
      <c r="I714" s="6">
        <v>463.05146316485167</v>
      </c>
      <c r="J714" s="6">
        <v>4.350673974285905</v>
      </c>
      <c r="K714" s="6"/>
      <c r="L714" s="6"/>
      <c r="M714" s="6"/>
      <c r="N714" s="6">
        <f t="shared" ref="N714:P714" si="717">IF(LEN($C714)&gt;0,H714-E714,"")</f>
        <v>-164517.5647</v>
      </c>
      <c r="O714" s="6">
        <f t="shared" si="717"/>
        <v>-4.650901745</v>
      </c>
      <c r="P714" s="6">
        <f t="shared" si="717"/>
        <v>-1.972967781</v>
      </c>
      <c r="Q714" s="6"/>
      <c r="R714" s="6"/>
      <c r="S714" s="6"/>
      <c r="T714" s="6"/>
      <c r="U714" s="6"/>
      <c r="V714" s="6"/>
      <c r="W714" s="6"/>
      <c r="X714" s="6"/>
      <c r="Y714" s="6"/>
      <c r="Z714" s="6"/>
      <c r="AA714" s="6"/>
      <c r="AB714" s="6"/>
      <c r="AC714" s="6"/>
      <c r="AD714" s="6"/>
      <c r="AE714" s="6"/>
      <c r="AF714" s="6"/>
      <c r="AG714" s="6"/>
    </row>
    <row r="715" ht="14.25" customHeight="1">
      <c r="A715" s="6"/>
      <c r="B715" s="6"/>
      <c r="C715" s="6">
        <v>708.0</v>
      </c>
      <c r="D715" s="6"/>
      <c r="E715" s="6">
        <v>7984853.354541989</v>
      </c>
      <c r="F715" s="6">
        <v>487.7753750572583</v>
      </c>
      <c r="G715" s="6">
        <v>4.196492968181916</v>
      </c>
      <c r="H715" s="6">
        <v>7900715.9208748555</v>
      </c>
      <c r="I715" s="6">
        <v>484.23646009183375</v>
      </c>
      <c r="J715" s="6">
        <v>3.1988009304374554</v>
      </c>
      <c r="K715" s="6"/>
      <c r="L715" s="6"/>
      <c r="M715" s="6"/>
      <c r="N715" s="6">
        <f t="shared" ref="N715:P715" si="718">IF(LEN($C715)&gt;0,H715-E715,"")</f>
        <v>-84137.43367</v>
      </c>
      <c r="O715" s="6">
        <f t="shared" si="718"/>
        <v>-3.538914965</v>
      </c>
      <c r="P715" s="6">
        <f t="shared" si="718"/>
        <v>-0.9976920377</v>
      </c>
      <c r="Q715" s="6"/>
      <c r="R715" s="6"/>
      <c r="S715" s="6"/>
      <c r="T715" s="6"/>
      <c r="U715" s="6"/>
      <c r="V715" s="6"/>
      <c r="W715" s="6"/>
      <c r="X715" s="6"/>
      <c r="Y715" s="6"/>
      <c r="Z715" s="6"/>
      <c r="AA715" s="6"/>
      <c r="AB715" s="6"/>
      <c r="AC715" s="6"/>
      <c r="AD715" s="6"/>
      <c r="AE715" s="6"/>
      <c r="AF715" s="6"/>
      <c r="AG715" s="6"/>
    </row>
    <row r="716" ht="14.25" customHeight="1">
      <c r="A716" s="6"/>
      <c r="B716" s="6"/>
      <c r="C716" s="6">
        <v>709.0</v>
      </c>
      <c r="D716" s="6"/>
      <c r="E716" s="6">
        <v>7620302.092253828</v>
      </c>
      <c r="F716" s="6">
        <v>450.828894784079</v>
      </c>
      <c r="G716" s="6">
        <v>3.8466226938969905</v>
      </c>
      <c r="H716" s="6">
        <v>7470328.609251442</v>
      </c>
      <c r="I716" s="6">
        <v>444.6581802964461</v>
      </c>
      <c r="J716" s="6">
        <v>2.586404414931877</v>
      </c>
      <c r="K716" s="6"/>
      <c r="L716" s="6"/>
      <c r="M716" s="6"/>
      <c r="N716" s="6">
        <f t="shared" ref="N716:P716" si="719">IF(LEN($C716)&gt;0,H716-E716,"")</f>
        <v>-149973.483</v>
      </c>
      <c r="O716" s="6">
        <f t="shared" si="719"/>
        <v>-6.170714488</v>
      </c>
      <c r="P716" s="6">
        <f t="shared" si="719"/>
        <v>-1.260218279</v>
      </c>
      <c r="Q716" s="6"/>
      <c r="R716" s="6"/>
      <c r="S716" s="6"/>
      <c r="T716" s="6"/>
      <c r="U716" s="6"/>
      <c r="V716" s="6"/>
      <c r="W716" s="6"/>
      <c r="X716" s="6"/>
      <c r="Y716" s="6"/>
      <c r="Z716" s="6"/>
      <c r="AA716" s="6"/>
      <c r="AB716" s="6"/>
      <c r="AC716" s="6"/>
      <c r="AD716" s="6"/>
      <c r="AE716" s="6"/>
      <c r="AF716" s="6"/>
      <c r="AG716" s="6"/>
    </row>
    <row r="717" ht="14.25" customHeight="1">
      <c r="A717" s="6"/>
      <c r="B717" s="6"/>
      <c r="C717" s="6">
        <v>710.0</v>
      </c>
      <c r="D717" s="6"/>
      <c r="E717" s="6">
        <v>7435448.412093965</v>
      </c>
      <c r="F717" s="6">
        <v>455.6115231176853</v>
      </c>
      <c r="G717" s="6">
        <v>5.513925961532892</v>
      </c>
      <c r="H717" s="6">
        <v>7303464.509272782</v>
      </c>
      <c r="I717" s="6">
        <v>449.43167294888065</v>
      </c>
      <c r="J717" s="6">
        <v>3.2869508977515594</v>
      </c>
      <c r="K717" s="6"/>
      <c r="L717" s="6"/>
      <c r="M717" s="6"/>
      <c r="N717" s="6">
        <f t="shared" ref="N717:P717" si="720">IF(LEN($C717)&gt;0,H717-E717,"")</f>
        <v>-131983.9028</v>
      </c>
      <c r="O717" s="6">
        <f t="shared" si="720"/>
        <v>-6.179850169</v>
      </c>
      <c r="P717" s="6">
        <f t="shared" si="720"/>
        <v>-2.226975064</v>
      </c>
      <c r="Q717" s="6"/>
      <c r="R717" s="6"/>
      <c r="S717" s="6"/>
      <c r="T717" s="6"/>
      <c r="U717" s="6"/>
      <c r="V717" s="6"/>
      <c r="W717" s="6"/>
      <c r="X717" s="6"/>
      <c r="Y717" s="6"/>
      <c r="Z717" s="6"/>
      <c r="AA717" s="6"/>
      <c r="AB717" s="6"/>
      <c r="AC717" s="6"/>
      <c r="AD717" s="6"/>
      <c r="AE717" s="6"/>
      <c r="AF717" s="6"/>
      <c r="AG717" s="6"/>
    </row>
    <row r="718" ht="14.25" customHeight="1">
      <c r="A718" s="6"/>
      <c r="B718" s="6"/>
      <c r="C718" s="6">
        <v>711.0</v>
      </c>
      <c r="D718" s="6"/>
      <c r="E718" s="6">
        <v>6208354.323701691</v>
      </c>
      <c r="F718" s="6">
        <v>496.16710281702535</v>
      </c>
      <c r="G718" s="6">
        <v>5.290863104521252</v>
      </c>
      <c r="H718" s="6">
        <v>6083746.0982363885</v>
      </c>
      <c r="I718" s="6">
        <v>490.6364570111638</v>
      </c>
      <c r="J718" s="6">
        <v>3.8546257734011986</v>
      </c>
      <c r="K718" s="6"/>
      <c r="L718" s="6"/>
      <c r="M718" s="6"/>
      <c r="N718" s="6">
        <f t="shared" ref="N718:P718" si="721">IF(LEN($C718)&gt;0,H718-E718,"")</f>
        <v>-124608.2255</v>
      </c>
      <c r="O718" s="6">
        <f t="shared" si="721"/>
        <v>-5.530645806</v>
      </c>
      <c r="P718" s="6">
        <f t="shared" si="721"/>
        <v>-1.436237331</v>
      </c>
      <c r="Q718" s="6"/>
      <c r="R718" s="6"/>
      <c r="S718" s="6"/>
      <c r="T718" s="6"/>
      <c r="U718" s="6"/>
      <c r="V718" s="6"/>
      <c r="W718" s="6"/>
      <c r="X718" s="6"/>
      <c r="Y718" s="6"/>
      <c r="Z718" s="6"/>
      <c r="AA718" s="6"/>
      <c r="AB718" s="6"/>
      <c r="AC718" s="6"/>
      <c r="AD718" s="6"/>
      <c r="AE718" s="6"/>
      <c r="AF718" s="6"/>
      <c r="AG718" s="6"/>
    </row>
    <row r="719" ht="14.25" customHeight="1">
      <c r="A719" s="6"/>
      <c r="B719" s="6"/>
      <c r="C719" s="6">
        <v>712.0</v>
      </c>
      <c r="D719" s="6"/>
      <c r="E719" s="6">
        <v>5516317.292485181</v>
      </c>
      <c r="F719" s="6">
        <v>459.7789099179857</v>
      </c>
      <c r="G719" s="6">
        <v>5.051817296049265</v>
      </c>
      <c r="H719" s="6">
        <v>5441217.017959763</v>
      </c>
      <c r="I719" s="6">
        <v>456.38406279655186</v>
      </c>
      <c r="J719" s="6">
        <v>3.9524511017865</v>
      </c>
      <c r="K719" s="6"/>
      <c r="L719" s="6"/>
      <c r="M719" s="6"/>
      <c r="N719" s="6">
        <f t="shared" ref="N719:P719" si="722">IF(LEN($C719)&gt;0,H719-E719,"")</f>
        <v>-75100.27453</v>
      </c>
      <c r="O719" s="6">
        <f t="shared" si="722"/>
        <v>-3.394847121</v>
      </c>
      <c r="P719" s="6">
        <f t="shared" si="722"/>
        <v>-1.099366194</v>
      </c>
      <c r="Q719" s="6"/>
      <c r="R719" s="6"/>
      <c r="S719" s="6"/>
      <c r="T719" s="6"/>
      <c r="U719" s="6"/>
      <c r="V719" s="6"/>
      <c r="W719" s="6"/>
      <c r="X719" s="6"/>
      <c r="Y719" s="6"/>
      <c r="Z719" s="6"/>
      <c r="AA719" s="6"/>
      <c r="AB719" s="6"/>
      <c r="AC719" s="6"/>
      <c r="AD719" s="6"/>
      <c r="AE719" s="6"/>
      <c r="AF719" s="6"/>
      <c r="AG719" s="6"/>
    </row>
    <row r="720" ht="14.25" customHeight="1">
      <c r="A720" s="6"/>
      <c r="B720" s="6"/>
      <c r="C720" s="6">
        <v>713.0</v>
      </c>
      <c r="D720" s="6"/>
      <c r="E720" s="6">
        <v>6740474.846359518</v>
      </c>
      <c r="F720" s="6">
        <v>468.08874978646185</v>
      </c>
      <c r="G720" s="6">
        <v>3.793898621491299</v>
      </c>
      <c r="H720" s="6">
        <v>6677549.959408707</v>
      </c>
      <c r="I720" s="6">
        <v>465.5410351049054</v>
      </c>
      <c r="J720" s="6">
        <v>2.765705041926136</v>
      </c>
      <c r="K720" s="6"/>
      <c r="L720" s="6"/>
      <c r="M720" s="6"/>
      <c r="N720" s="6">
        <f t="shared" ref="N720:P720" si="723">IF(LEN($C720)&gt;0,H720-E720,"")</f>
        <v>-62924.88695</v>
      </c>
      <c r="O720" s="6">
        <f t="shared" si="723"/>
        <v>-2.547714682</v>
      </c>
      <c r="P720" s="6">
        <f t="shared" si="723"/>
        <v>-1.02819358</v>
      </c>
      <c r="Q720" s="6"/>
      <c r="R720" s="6"/>
      <c r="S720" s="6"/>
      <c r="T720" s="6"/>
      <c r="U720" s="6"/>
      <c r="V720" s="6"/>
      <c r="W720" s="6"/>
      <c r="X720" s="6"/>
      <c r="Y720" s="6"/>
      <c r="Z720" s="6"/>
      <c r="AA720" s="6"/>
      <c r="AB720" s="6"/>
      <c r="AC720" s="6"/>
      <c r="AD720" s="6"/>
      <c r="AE720" s="6"/>
      <c r="AF720" s="6"/>
      <c r="AG720" s="6"/>
    </row>
    <row r="721" ht="14.25" customHeight="1">
      <c r="A721" s="6"/>
      <c r="B721" s="6"/>
      <c r="C721" s="6">
        <v>714.0</v>
      </c>
      <c r="D721" s="6"/>
      <c r="E721" s="6">
        <v>7904183.054382077</v>
      </c>
      <c r="F721" s="6">
        <v>493.3234300933357</v>
      </c>
      <c r="G721" s="6">
        <v>5.563342863009812</v>
      </c>
      <c r="H721" s="6">
        <v>7828799.482905888</v>
      </c>
      <c r="I721" s="6">
        <v>490.5228042419318</v>
      </c>
      <c r="J721" s="6">
        <v>4.576088747305986</v>
      </c>
      <c r="K721" s="6"/>
      <c r="L721" s="6"/>
      <c r="M721" s="6"/>
      <c r="N721" s="6">
        <f t="shared" ref="N721:P721" si="724">IF(LEN($C721)&gt;0,H721-E721,"")</f>
        <v>-75383.57148</v>
      </c>
      <c r="O721" s="6">
        <f t="shared" si="724"/>
        <v>-2.800625851</v>
      </c>
      <c r="P721" s="6">
        <f t="shared" si="724"/>
        <v>-0.9872541157</v>
      </c>
      <c r="Q721" s="6"/>
      <c r="R721" s="6"/>
      <c r="S721" s="6"/>
      <c r="T721" s="6"/>
      <c r="U721" s="6"/>
      <c r="V721" s="6"/>
      <c r="W721" s="6"/>
      <c r="X721" s="6"/>
      <c r="Y721" s="6"/>
      <c r="Z721" s="6"/>
      <c r="AA721" s="6"/>
      <c r="AB721" s="6"/>
      <c r="AC721" s="6"/>
      <c r="AD721" s="6"/>
      <c r="AE721" s="6"/>
      <c r="AF721" s="6"/>
      <c r="AG721" s="6"/>
    </row>
    <row r="722" ht="14.25" customHeight="1">
      <c r="A722" s="6"/>
      <c r="B722" s="6"/>
      <c r="C722" s="6">
        <v>715.0</v>
      </c>
      <c r="D722" s="6"/>
      <c r="E722" s="6">
        <v>8142871.700906096</v>
      </c>
      <c r="F722" s="6">
        <v>478.855289117461</v>
      </c>
      <c r="G722" s="6">
        <v>4.959446057960095</v>
      </c>
      <c r="H722" s="6">
        <v>8018255.956284043</v>
      </c>
      <c r="I722" s="6">
        <v>474.23071703633656</v>
      </c>
      <c r="J722" s="6">
        <v>3.9672516323961244</v>
      </c>
      <c r="K722" s="6"/>
      <c r="L722" s="6"/>
      <c r="M722" s="6"/>
      <c r="N722" s="6">
        <f t="shared" ref="N722:P722" si="725">IF(LEN($C722)&gt;0,H722-E722,"")</f>
        <v>-124615.7446</v>
      </c>
      <c r="O722" s="6">
        <f t="shared" si="725"/>
        <v>-4.624572081</v>
      </c>
      <c r="P722" s="6">
        <f t="shared" si="725"/>
        <v>-0.9921944256</v>
      </c>
      <c r="Q722" s="6"/>
      <c r="R722" s="6"/>
      <c r="S722" s="6"/>
      <c r="T722" s="6"/>
      <c r="U722" s="6"/>
      <c r="V722" s="6"/>
      <c r="W722" s="6"/>
      <c r="X722" s="6"/>
      <c r="Y722" s="6"/>
      <c r="Z722" s="6"/>
      <c r="AA722" s="6"/>
      <c r="AB722" s="6"/>
      <c r="AC722" s="6"/>
      <c r="AD722" s="6"/>
      <c r="AE722" s="6"/>
      <c r="AF722" s="6"/>
      <c r="AG722" s="6"/>
    </row>
    <row r="723" ht="14.25" customHeight="1">
      <c r="A723" s="6"/>
      <c r="B723" s="6"/>
      <c r="C723" s="6">
        <v>716.0</v>
      </c>
      <c r="D723" s="6"/>
      <c r="E723" s="6">
        <v>7345284.801321557</v>
      </c>
      <c r="F723" s="6">
        <v>432.3549861203472</v>
      </c>
      <c r="G723" s="6">
        <v>5.922995071091931</v>
      </c>
      <c r="H723" s="6">
        <v>7251465.932113203</v>
      </c>
      <c r="I723" s="6">
        <v>429.9937466022234</v>
      </c>
      <c r="J723" s="6">
        <v>4.460710439456089</v>
      </c>
      <c r="K723" s="6"/>
      <c r="L723" s="6"/>
      <c r="M723" s="6"/>
      <c r="N723" s="6">
        <f t="shared" ref="N723:P723" si="726">IF(LEN($C723)&gt;0,H723-E723,"")</f>
        <v>-93818.86921</v>
      </c>
      <c r="O723" s="6">
        <f t="shared" si="726"/>
        <v>-2.361239518</v>
      </c>
      <c r="P723" s="6">
        <f t="shared" si="726"/>
        <v>-1.462284632</v>
      </c>
      <c r="Q723" s="6"/>
      <c r="R723" s="6"/>
      <c r="S723" s="6"/>
      <c r="T723" s="6"/>
      <c r="U723" s="6"/>
      <c r="V723" s="6"/>
      <c r="W723" s="6"/>
      <c r="X723" s="6"/>
      <c r="Y723" s="6"/>
      <c r="Z723" s="6"/>
      <c r="AA723" s="6"/>
      <c r="AB723" s="6"/>
      <c r="AC723" s="6"/>
      <c r="AD723" s="6"/>
      <c r="AE723" s="6"/>
      <c r="AF723" s="6"/>
      <c r="AG723" s="6"/>
    </row>
    <row r="724" ht="14.25" customHeight="1">
      <c r="A724" s="6"/>
      <c r="B724" s="6"/>
      <c r="C724" s="6">
        <v>717.0</v>
      </c>
      <c r="D724" s="6"/>
      <c r="E724" s="6">
        <v>6559537.295580361</v>
      </c>
      <c r="F724" s="6">
        <v>439.4591748100183</v>
      </c>
      <c r="G724" s="6">
        <v>4.504901210481144</v>
      </c>
      <c r="H724" s="6">
        <v>6545201.059535732</v>
      </c>
      <c r="I724" s="6">
        <v>438.72297038929355</v>
      </c>
      <c r="J724" s="6">
        <v>4.244271406951133</v>
      </c>
      <c r="K724" s="6"/>
      <c r="L724" s="6"/>
      <c r="M724" s="6"/>
      <c r="N724" s="6">
        <f t="shared" ref="N724:P724" si="727">IF(LEN($C724)&gt;0,H724-E724,"")</f>
        <v>-14336.23604</v>
      </c>
      <c r="O724" s="6">
        <f t="shared" si="727"/>
        <v>-0.7362044207</v>
      </c>
      <c r="P724" s="6">
        <f t="shared" si="727"/>
        <v>-0.2606298035</v>
      </c>
      <c r="Q724" s="6"/>
      <c r="R724" s="6"/>
      <c r="S724" s="6"/>
      <c r="T724" s="6"/>
      <c r="U724" s="6"/>
      <c r="V724" s="6"/>
      <c r="W724" s="6"/>
      <c r="X724" s="6"/>
      <c r="Y724" s="6"/>
      <c r="Z724" s="6"/>
      <c r="AA724" s="6"/>
      <c r="AB724" s="6"/>
      <c r="AC724" s="6"/>
      <c r="AD724" s="6"/>
      <c r="AE724" s="6"/>
      <c r="AF724" s="6"/>
      <c r="AG724" s="6"/>
    </row>
    <row r="725" ht="14.25" customHeight="1">
      <c r="A725" s="6"/>
      <c r="B725" s="6"/>
      <c r="C725" s="6">
        <v>718.0</v>
      </c>
      <c r="D725" s="6"/>
      <c r="E725" s="6">
        <v>1.023565009640785E7</v>
      </c>
      <c r="F725" s="6">
        <v>466.9020594764796</v>
      </c>
      <c r="G725" s="6">
        <v>3.464437994673018</v>
      </c>
      <c r="H725" s="6">
        <v>1.0027142005224077E7</v>
      </c>
      <c r="I725" s="6">
        <v>459.88210872867415</v>
      </c>
      <c r="J725" s="6">
        <v>2.510231623840454</v>
      </c>
      <c r="K725" s="6"/>
      <c r="L725" s="6"/>
      <c r="M725" s="6"/>
      <c r="N725" s="6">
        <f t="shared" ref="N725:P725" si="728">IF(LEN($C725)&gt;0,H725-E725,"")</f>
        <v>-208508.0912</v>
      </c>
      <c r="O725" s="6">
        <f t="shared" si="728"/>
        <v>-7.019950748</v>
      </c>
      <c r="P725" s="6">
        <f t="shared" si="728"/>
        <v>-0.9542063708</v>
      </c>
      <c r="Q725" s="6"/>
      <c r="R725" s="6"/>
      <c r="S725" s="6"/>
      <c r="T725" s="6"/>
      <c r="U725" s="6"/>
      <c r="V725" s="6"/>
      <c r="W725" s="6"/>
      <c r="X725" s="6"/>
      <c r="Y725" s="6"/>
      <c r="Z725" s="6"/>
      <c r="AA725" s="6"/>
      <c r="AB725" s="6"/>
      <c r="AC725" s="6"/>
      <c r="AD725" s="6"/>
      <c r="AE725" s="6"/>
      <c r="AF725" s="6"/>
      <c r="AG725" s="6"/>
    </row>
    <row r="726" ht="14.25" customHeight="1">
      <c r="A726" s="6"/>
      <c r="B726" s="6"/>
      <c r="C726" s="6">
        <v>719.0</v>
      </c>
      <c r="D726" s="6"/>
      <c r="E726" s="6">
        <v>7458512.907100184</v>
      </c>
      <c r="F726" s="6">
        <v>458.66601879439884</v>
      </c>
      <c r="G726" s="6">
        <v>3.693542588714254</v>
      </c>
      <c r="H726" s="6">
        <v>7353707.648080475</v>
      </c>
      <c r="I726" s="6">
        <v>454.32951689154066</v>
      </c>
      <c r="J726" s="6">
        <v>2.8464270458543335</v>
      </c>
      <c r="K726" s="6"/>
      <c r="L726" s="6"/>
      <c r="M726" s="6"/>
      <c r="N726" s="6">
        <f t="shared" ref="N726:P726" si="729">IF(LEN($C726)&gt;0,H726-E726,"")</f>
        <v>-104805.259</v>
      </c>
      <c r="O726" s="6">
        <f t="shared" si="729"/>
        <v>-4.336501903</v>
      </c>
      <c r="P726" s="6">
        <f t="shared" si="729"/>
        <v>-0.8471155429</v>
      </c>
      <c r="Q726" s="6"/>
      <c r="R726" s="6"/>
      <c r="S726" s="6"/>
      <c r="T726" s="6"/>
      <c r="U726" s="6"/>
      <c r="V726" s="6"/>
      <c r="W726" s="6"/>
      <c r="X726" s="6"/>
      <c r="Y726" s="6"/>
      <c r="Z726" s="6"/>
      <c r="AA726" s="6"/>
      <c r="AB726" s="6"/>
      <c r="AC726" s="6"/>
      <c r="AD726" s="6"/>
      <c r="AE726" s="6"/>
      <c r="AF726" s="6"/>
      <c r="AG726" s="6"/>
    </row>
    <row r="727" ht="14.25" customHeight="1">
      <c r="A727" s="6"/>
      <c r="B727" s="6"/>
      <c r="C727" s="6">
        <v>720.0</v>
      </c>
      <c r="D727" s="6"/>
      <c r="E727" s="6">
        <v>6718798.768197382</v>
      </c>
      <c r="F727" s="6">
        <v>434.3101011746567</v>
      </c>
      <c r="G727" s="6">
        <v>5.434416770096983</v>
      </c>
      <c r="H727" s="6">
        <v>6676354.209080416</v>
      </c>
      <c r="I727" s="6">
        <v>433.3819698297578</v>
      </c>
      <c r="J727" s="6">
        <v>4.686330588610378</v>
      </c>
      <c r="K727" s="6"/>
      <c r="L727" s="6"/>
      <c r="M727" s="6"/>
      <c r="N727" s="6">
        <f t="shared" ref="N727:P727" si="730">IF(LEN($C727)&gt;0,H727-E727,"")</f>
        <v>-42444.55912</v>
      </c>
      <c r="O727" s="6">
        <f t="shared" si="730"/>
        <v>-0.9281313449</v>
      </c>
      <c r="P727" s="6">
        <f t="shared" si="730"/>
        <v>-0.7480861815</v>
      </c>
      <c r="Q727" s="6"/>
      <c r="R727" s="6"/>
      <c r="S727" s="6"/>
      <c r="T727" s="6"/>
      <c r="U727" s="6"/>
      <c r="V727" s="6"/>
      <c r="W727" s="6"/>
      <c r="X727" s="6"/>
      <c r="Y727" s="6"/>
      <c r="Z727" s="6"/>
      <c r="AA727" s="6"/>
      <c r="AB727" s="6"/>
      <c r="AC727" s="6"/>
      <c r="AD727" s="6"/>
      <c r="AE727" s="6"/>
      <c r="AF727" s="6"/>
      <c r="AG727" s="6"/>
    </row>
    <row r="728" ht="14.25" customHeight="1">
      <c r="A728" s="6"/>
      <c r="B728" s="6"/>
      <c r="C728" s="6">
        <v>721.0</v>
      </c>
      <c r="D728" s="6"/>
      <c r="E728" s="6">
        <v>7524731.735389341</v>
      </c>
      <c r="F728" s="6">
        <v>437.5241720906424</v>
      </c>
      <c r="G728" s="6">
        <v>4.230089049091682</v>
      </c>
      <c r="H728" s="6">
        <v>7442823.332491325</v>
      </c>
      <c r="I728" s="6">
        <v>434.088913825604</v>
      </c>
      <c r="J728" s="6">
        <v>2.9808610663837376</v>
      </c>
      <c r="K728" s="6"/>
      <c r="L728" s="6"/>
      <c r="M728" s="6"/>
      <c r="N728" s="6">
        <f t="shared" ref="N728:P728" si="731">IF(LEN($C728)&gt;0,H728-E728,"")</f>
        <v>-81908.4029</v>
      </c>
      <c r="O728" s="6">
        <f t="shared" si="731"/>
        <v>-3.435258265</v>
      </c>
      <c r="P728" s="6">
        <f t="shared" si="731"/>
        <v>-1.249227983</v>
      </c>
      <c r="Q728" s="6"/>
      <c r="R728" s="6"/>
      <c r="S728" s="6"/>
      <c r="T728" s="6"/>
      <c r="U728" s="6"/>
      <c r="V728" s="6"/>
      <c r="W728" s="6"/>
      <c r="X728" s="6"/>
      <c r="Y728" s="6"/>
      <c r="Z728" s="6"/>
      <c r="AA728" s="6"/>
      <c r="AB728" s="6"/>
      <c r="AC728" s="6"/>
      <c r="AD728" s="6"/>
      <c r="AE728" s="6"/>
      <c r="AF728" s="6"/>
      <c r="AG728" s="6"/>
    </row>
    <row r="729" ht="14.25" customHeight="1">
      <c r="A729" s="6"/>
      <c r="B729" s="6"/>
      <c r="C729" s="6">
        <v>722.0</v>
      </c>
      <c r="D729" s="6"/>
      <c r="E729" s="6">
        <v>6800182.258054018</v>
      </c>
      <c r="F729" s="6">
        <v>449.12276545837403</v>
      </c>
      <c r="G729" s="6">
        <v>5.061444797659413</v>
      </c>
      <c r="H729" s="6">
        <v>6674731.876793062</v>
      </c>
      <c r="I729" s="6">
        <v>443.4844479134848</v>
      </c>
      <c r="J729" s="6">
        <v>3.7241894973602534</v>
      </c>
      <c r="K729" s="6"/>
      <c r="L729" s="6"/>
      <c r="M729" s="6"/>
      <c r="N729" s="6">
        <f t="shared" ref="N729:P729" si="732">IF(LEN($C729)&gt;0,H729-E729,"")</f>
        <v>-125450.3813</v>
      </c>
      <c r="O729" s="6">
        <f t="shared" si="732"/>
        <v>-5.638317545</v>
      </c>
      <c r="P729" s="6">
        <f t="shared" si="732"/>
        <v>-1.3372553</v>
      </c>
      <c r="Q729" s="6"/>
      <c r="R729" s="6"/>
      <c r="S729" s="6"/>
      <c r="T729" s="6"/>
      <c r="U729" s="6"/>
      <c r="V729" s="6"/>
      <c r="W729" s="6"/>
      <c r="X729" s="6"/>
      <c r="Y729" s="6"/>
      <c r="Z729" s="6"/>
      <c r="AA729" s="6"/>
      <c r="AB729" s="6"/>
      <c r="AC729" s="6"/>
      <c r="AD729" s="6"/>
      <c r="AE729" s="6"/>
      <c r="AF729" s="6"/>
      <c r="AG729" s="6"/>
    </row>
    <row r="730" ht="14.25" customHeight="1">
      <c r="A730" s="6"/>
      <c r="B730" s="6"/>
      <c r="C730" s="6">
        <v>723.0</v>
      </c>
      <c r="D730" s="6"/>
      <c r="E730" s="6">
        <v>6259718.229102789</v>
      </c>
      <c r="F730" s="6">
        <v>446.68853471177437</v>
      </c>
      <c r="G730" s="6">
        <v>5.677256818996585</v>
      </c>
      <c r="H730" s="6">
        <v>6177292.040220125</v>
      </c>
      <c r="I730" s="6">
        <v>444.46256016742416</v>
      </c>
      <c r="J730" s="6">
        <v>4.220816598672945</v>
      </c>
      <c r="K730" s="6"/>
      <c r="L730" s="6"/>
      <c r="M730" s="6"/>
      <c r="N730" s="6">
        <f t="shared" ref="N730:P730" si="733">IF(LEN($C730)&gt;0,H730-E730,"")</f>
        <v>-82426.18888</v>
      </c>
      <c r="O730" s="6">
        <f t="shared" si="733"/>
        <v>-2.225974544</v>
      </c>
      <c r="P730" s="6">
        <f t="shared" si="733"/>
        <v>-1.45644022</v>
      </c>
      <c r="Q730" s="6"/>
      <c r="R730" s="6"/>
      <c r="S730" s="6"/>
      <c r="T730" s="6"/>
      <c r="U730" s="6"/>
      <c r="V730" s="6"/>
      <c r="W730" s="6"/>
      <c r="X730" s="6"/>
      <c r="Y730" s="6"/>
      <c r="Z730" s="6"/>
      <c r="AA730" s="6"/>
      <c r="AB730" s="6"/>
      <c r="AC730" s="6"/>
      <c r="AD730" s="6"/>
      <c r="AE730" s="6"/>
      <c r="AF730" s="6"/>
      <c r="AG730" s="6"/>
    </row>
    <row r="731" ht="14.25" customHeight="1">
      <c r="A731" s="6"/>
      <c r="B731" s="6"/>
      <c r="C731" s="6">
        <v>724.0</v>
      </c>
      <c r="D731" s="6"/>
      <c r="E731" s="6">
        <v>6708932.957082456</v>
      </c>
      <c r="F731" s="6">
        <v>473.0124910277318</v>
      </c>
      <c r="G731" s="6">
        <v>6.36977975138833</v>
      </c>
      <c r="H731" s="6">
        <v>6540146.668576627</v>
      </c>
      <c r="I731" s="6">
        <v>466.6191921730224</v>
      </c>
      <c r="J731" s="6">
        <v>3.9209872449597825</v>
      </c>
      <c r="K731" s="6"/>
      <c r="L731" s="6"/>
      <c r="M731" s="6"/>
      <c r="N731" s="6">
        <f t="shared" ref="N731:P731" si="734">IF(LEN($C731)&gt;0,H731-E731,"")</f>
        <v>-168786.2885</v>
      </c>
      <c r="O731" s="6">
        <f t="shared" si="734"/>
        <v>-6.393298855</v>
      </c>
      <c r="P731" s="6">
        <f t="shared" si="734"/>
        <v>-2.448792506</v>
      </c>
      <c r="Q731" s="6"/>
      <c r="R731" s="6"/>
      <c r="S731" s="6"/>
      <c r="T731" s="6"/>
      <c r="U731" s="6"/>
      <c r="V731" s="6"/>
      <c r="W731" s="6"/>
      <c r="X731" s="6"/>
      <c r="Y731" s="6"/>
      <c r="Z731" s="6"/>
      <c r="AA731" s="6"/>
      <c r="AB731" s="6"/>
      <c r="AC731" s="6"/>
      <c r="AD731" s="6"/>
      <c r="AE731" s="6"/>
      <c r="AF731" s="6"/>
      <c r="AG731" s="6"/>
    </row>
    <row r="732" ht="14.25" customHeight="1">
      <c r="A732" s="6"/>
      <c r="B732" s="6"/>
      <c r="C732" s="6">
        <v>725.0</v>
      </c>
      <c r="D732" s="6"/>
      <c r="E732" s="6">
        <v>8554659.852637274</v>
      </c>
      <c r="F732" s="6">
        <v>463.7369341481404</v>
      </c>
      <c r="G732" s="6">
        <v>4.207398690273542</v>
      </c>
      <c r="H732" s="6">
        <v>8439451.722129878</v>
      </c>
      <c r="I732" s="6">
        <v>458.9381828209802</v>
      </c>
      <c r="J732" s="6">
        <v>3.4442165635138924</v>
      </c>
      <c r="K732" s="6"/>
      <c r="L732" s="6"/>
      <c r="M732" s="6"/>
      <c r="N732" s="6">
        <f t="shared" ref="N732:P732" si="735">IF(LEN($C732)&gt;0,H732-E732,"")</f>
        <v>-115208.1305</v>
      </c>
      <c r="O732" s="6">
        <f t="shared" si="735"/>
        <v>-4.798751327</v>
      </c>
      <c r="P732" s="6">
        <f t="shared" si="735"/>
        <v>-0.7631821268</v>
      </c>
      <c r="Q732" s="6"/>
      <c r="R732" s="6"/>
      <c r="S732" s="6"/>
      <c r="T732" s="6"/>
      <c r="U732" s="6"/>
      <c r="V732" s="6"/>
      <c r="W732" s="6"/>
      <c r="X732" s="6"/>
      <c r="Y732" s="6"/>
      <c r="Z732" s="6"/>
      <c r="AA732" s="6"/>
      <c r="AB732" s="6"/>
      <c r="AC732" s="6"/>
      <c r="AD732" s="6"/>
      <c r="AE732" s="6"/>
      <c r="AF732" s="6"/>
      <c r="AG732" s="6"/>
    </row>
    <row r="733" ht="14.25" customHeight="1">
      <c r="A733" s="6"/>
      <c r="B733" s="6"/>
      <c r="C733" s="6">
        <v>726.0</v>
      </c>
      <c r="D733" s="6"/>
      <c r="E733" s="6">
        <v>7928374.968163493</v>
      </c>
      <c r="F733" s="6">
        <v>467.7743900547592</v>
      </c>
      <c r="G733" s="6">
        <v>4.117619760819634</v>
      </c>
      <c r="H733" s="6">
        <v>7818760.402965072</v>
      </c>
      <c r="I733" s="6">
        <v>464.0339549473198</v>
      </c>
      <c r="J733" s="6">
        <v>2.934678527170709</v>
      </c>
      <c r="K733" s="6"/>
      <c r="L733" s="6"/>
      <c r="M733" s="6"/>
      <c r="N733" s="6">
        <f t="shared" ref="N733:P733" si="736">IF(LEN($C733)&gt;0,H733-E733,"")</f>
        <v>-109614.5652</v>
      </c>
      <c r="O733" s="6">
        <f t="shared" si="736"/>
        <v>-3.740435107</v>
      </c>
      <c r="P733" s="6">
        <f t="shared" si="736"/>
        <v>-1.182941234</v>
      </c>
      <c r="Q733" s="6"/>
      <c r="R733" s="6"/>
      <c r="S733" s="6"/>
      <c r="T733" s="6"/>
      <c r="U733" s="6"/>
      <c r="V733" s="6"/>
      <c r="W733" s="6"/>
      <c r="X733" s="6"/>
      <c r="Y733" s="6"/>
      <c r="Z733" s="6"/>
      <c r="AA733" s="6"/>
      <c r="AB733" s="6"/>
      <c r="AC733" s="6"/>
      <c r="AD733" s="6"/>
      <c r="AE733" s="6"/>
      <c r="AF733" s="6"/>
      <c r="AG733" s="6"/>
    </row>
    <row r="734" ht="14.25" customHeight="1">
      <c r="A734" s="6"/>
      <c r="B734" s="6"/>
      <c r="C734" s="6">
        <v>727.0</v>
      </c>
      <c r="D734" s="6"/>
      <c r="E734" s="6">
        <v>7354313.844539627</v>
      </c>
      <c r="F734" s="6">
        <v>484.505442647745</v>
      </c>
      <c r="G734" s="6">
        <v>5.960094164369997</v>
      </c>
      <c r="H734" s="6">
        <v>7209933.824541774</v>
      </c>
      <c r="I734" s="6">
        <v>479.911507705161</v>
      </c>
      <c r="J734" s="6">
        <v>3.990040185260442</v>
      </c>
      <c r="K734" s="6"/>
      <c r="L734" s="6"/>
      <c r="M734" s="6"/>
      <c r="N734" s="6">
        <f t="shared" ref="N734:P734" si="737">IF(LEN($C734)&gt;0,H734-E734,"")</f>
        <v>-144380.02</v>
      </c>
      <c r="O734" s="6">
        <f t="shared" si="737"/>
        <v>-4.593934943</v>
      </c>
      <c r="P734" s="6">
        <f t="shared" si="737"/>
        <v>-1.970053979</v>
      </c>
      <c r="Q734" s="6"/>
      <c r="R734" s="6"/>
      <c r="S734" s="6"/>
      <c r="T734" s="6"/>
      <c r="U734" s="6"/>
      <c r="V734" s="6"/>
      <c r="W734" s="6"/>
      <c r="X734" s="6"/>
      <c r="Y734" s="6"/>
      <c r="Z734" s="6"/>
      <c r="AA734" s="6"/>
      <c r="AB734" s="6"/>
      <c r="AC734" s="6"/>
      <c r="AD734" s="6"/>
      <c r="AE734" s="6"/>
      <c r="AF734" s="6"/>
      <c r="AG734" s="6"/>
    </row>
    <row r="735" ht="14.25" customHeight="1">
      <c r="A735" s="6"/>
      <c r="B735" s="6"/>
      <c r="C735" s="6">
        <v>728.0</v>
      </c>
      <c r="D735" s="6"/>
      <c r="E735" s="6">
        <v>7161857.564990007</v>
      </c>
      <c r="F735" s="6">
        <v>434.1910273121029</v>
      </c>
      <c r="G735" s="6">
        <v>4.834024612026788</v>
      </c>
      <c r="H735" s="6">
        <v>7007621.823688599</v>
      </c>
      <c r="I735" s="6">
        <v>428.40707870355266</v>
      </c>
      <c r="J735" s="6">
        <v>3.139501018050141</v>
      </c>
      <c r="K735" s="6"/>
      <c r="L735" s="6"/>
      <c r="M735" s="6"/>
      <c r="N735" s="6">
        <f t="shared" ref="N735:P735" si="738">IF(LEN($C735)&gt;0,H735-E735,"")</f>
        <v>-154235.7413</v>
      </c>
      <c r="O735" s="6">
        <f t="shared" si="738"/>
        <v>-5.783948609</v>
      </c>
      <c r="P735" s="6">
        <f t="shared" si="738"/>
        <v>-1.694523594</v>
      </c>
      <c r="Q735" s="6"/>
      <c r="R735" s="6"/>
      <c r="S735" s="6"/>
      <c r="T735" s="6"/>
      <c r="U735" s="6"/>
      <c r="V735" s="6"/>
      <c r="W735" s="6"/>
      <c r="X735" s="6"/>
      <c r="Y735" s="6"/>
      <c r="Z735" s="6"/>
      <c r="AA735" s="6"/>
      <c r="AB735" s="6"/>
      <c r="AC735" s="6"/>
      <c r="AD735" s="6"/>
      <c r="AE735" s="6"/>
      <c r="AF735" s="6"/>
      <c r="AG735" s="6"/>
    </row>
    <row r="736" ht="14.25" customHeight="1">
      <c r="A736" s="6"/>
      <c r="B736" s="6"/>
      <c r="C736" s="6">
        <v>729.0</v>
      </c>
      <c r="D736" s="6"/>
      <c r="E736" s="6">
        <v>7848918.517814051</v>
      </c>
      <c r="F736" s="6">
        <v>447.06235317899495</v>
      </c>
      <c r="G736" s="6">
        <v>5.363290158541394</v>
      </c>
      <c r="H736" s="6">
        <v>7769009.498949648</v>
      </c>
      <c r="I736" s="6">
        <v>443.8462711917727</v>
      </c>
      <c r="J736" s="6">
        <v>4.187541563329249</v>
      </c>
      <c r="K736" s="6"/>
      <c r="L736" s="6"/>
      <c r="M736" s="6"/>
      <c r="N736" s="6">
        <f t="shared" ref="N736:P736" si="739">IF(LEN($C736)&gt;0,H736-E736,"")</f>
        <v>-79909.01886</v>
      </c>
      <c r="O736" s="6">
        <f t="shared" si="739"/>
        <v>-3.216081987</v>
      </c>
      <c r="P736" s="6">
        <f t="shared" si="739"/>
        <v>-1.175748595</v>
      </c>
      <c r="Q736" s="6"/>
      <c r="R736" s="6"/>
      <c r="S736" s="6"/>
      <c r="T736" s="6"/>
      <c r="U736" s="6"/>
      <c r="V736" s="6"/>
      <c r="W736" s="6"/>
      <c r="X736" s="6"/>
      <c r="Y736" s="6"/>
      <c r="Z736" s="6"/>
      <c r="AA736" s="6"/>
      <c r="AB736" s="6"/>
      <c r="AC736" s="6"/>
      <c r="AD736" s="6"/>
      <c r="AE736" s="6"/>
      <c r="AF736" s="6"/>
      <c r="AG736" s="6"/>
    </row>
    <row r="737" ht="14.25" customHeight="1">
      <c r="A737" s="6"/>
      <c r="B737" s="6"/>
      <c r="C737" s="6">
        <v>730.0</v>
      </c>
      <c r="D737" s="6"/>
      <c r="E737" s="6">
        <v>6105947.484735087</v>
      </c>
      <c r="F737" s="6">
        <v>436.17409998860876</v>
      </c>
      <c r="G737" s="6">
        <v>5.17522402972898</v>
      </c>
      <c r="H737" s="6">
        <v>6020858.9877876565</v>
      </c>
      <c r="I737" s="6">
        <v>432.72403416115463</v>
      </c>
      <c r="J737" s="6">
        <v>3.7909898783154756</v>
      </c>
      <c r="K737" s="6"/>
      <c r="L737" s="6"/>
      <c r="M737" s="6"/>
      <c r="N737" s="6">
        <f t="shared" ref="N737:P737" si="740">IF(LEN($C737)&gt;0,H737-E737,"")</f>
        <v>-85088.49695</v>
      </c>
      <c r="O737" s="6">
        <f t="shared" si="740"/>
        <v>-3.450065827</v>
      </c>
      <c r="P737" s="6">
        <f t="shared" si="740"/>
        <v>-1.384234151</v>
      </c>
      <c r="Q737" s="6"/>
      <c r="R737" s="6"/>
      <c r="S737" s="6"/>
      <c r="T737" s="6"/>
      <c r="U737" s="6"/>
      <c r="V737" s="6"/>
      <c r="W737" s="6"/>
      <c r="X737" s="6"/>
      <c r="Y737" s="6"/>
      <c r="Z737" s="6"/>
      <c r="AA737" s="6"/>
      <c r="AB737" s="6"/>
      <c r="AC737" s="6"/>
      <c r="AD737" s="6"/>
      <c r="AE737" s="6"/>
      <c r="AF737" s="6"/>
      <c r="AG737" s="6"/>
    </row>
    <row r="738" ht="14.25" customHeight="1">
      <c r="A738" s="6"/>
      <c r="B738" s="6"/>
      <c r="C738" s="6">
        <v>731.0</v>
      </c>
      <c r="D738" s="6"/>
      <c r="E738" s="6">
        <v>8680681.85380451</v>
      </c>
      <c r="F738" s="6">
        <v>495.8604225593739</v>
      </c>
      <c r="G738" s="6">
        <v>4.561687643738861</v>
      </c>
      <c r="H738" s="6">
        <v>8567077.647019444</v>
      </c>
      <c r="I738" s="6">
        <v>490.35840837528417</v>
      </c>
      <c r="J738" s="6">
        <v>3.38806763295475</v>
      </c>
      <c r="K738" s="6"/>
      <c r="L738" s="6"/>
      <c r="M738" s="6"/>
      <c r="N738" s="6">
        <f t="shared" ref="N738:P738" si="741">IF(LEN($C738)&gt;0,H738-E738,"")</f>
        <v>-113604.2068</v>
      </c>
      <c r="O738" s="6">
        <f t="shared" si="741"/>
        <v>-5.502014184</v>
      </c>
      <c r="P738" s="6">
        <f t="shared" si="741"/>
        <v>-1.173620011</v>
      </c>
      <c r="Q738" s="6"/>
      <c r="R738" s="6"/>
      <c r="S738" s="6"/>
      <c r="T738" s="6"/>
      <c r="U738" s="6"/>
      <c r="V738" s="6"/>
      <c r="W738" s="6"/>
      <c r="X738" s="6"/>
      <c r="Y738" s="6"/>
      <c r="Z738" s="6"/>
      <c r="AA738" s="6"/>
      <c r="AB738" s="6"/>
      <c r="AC738" s="6"/>
      <c r="AD738" s="6"/>
      <c r="AE738" s="6"/>
      <c r="AF738" s="6"/>
      <c r="AG738" s="6"/>
    </row>
    <row r="739" ht="14.25" customHeight="1">
      <c r="A739" s="6"/>
      <c r="B739" s="6"/>
      <c r="C739" s="6">
        <v>732.0</v>
      </c>
      <c r="D739" s="6"/>
      <c r="E739" s="6">
        <v>6572862.775535113</v>
      </c>
      <c r="F739" s="6">
        <v>505.02972979041215</v>
      </c>
      <c r="G739" s="6">
        <v>5.676660983066305</v>
      </c>
      <c r="H739" s="6">
        <v>6442097.614192743</v>
      </c>
      <c r="I739" s="6">
        <v>499.19577026057976</v>
      </c>
      <c r="J739" s="6">
        <v>4.394323747610847</v>
      </c>
      <c r="K739" s="6"/>
      <c r="L739" s="6"/>
      <c r="M739" s="6"/>
      <c r="N739" s="6">
        <f t="shared" ref="N739:P739" si="742">IF(LEN($C739)&gt;0,H739-E739,"")</f>
        <v>-130765.1613</v>
      </c>
      <c r="O739" s="6">
        <f t="shared" si="742"/>
        <v>-5.83395953</v>
      </c>
      <c r="P739" s="6">
        <f t="shared" si="742"/>
        <v>-1.282337235</v>
      </c>
      <c r="Q739" s="6"/>
      <c r="R739" s="6"/>
      <c r="S739" s="6"/>
      <c r="T739" s="6"/>
      <c r="U739" s="6"/>
      <c r="V739" s="6"/>
      <c r="W739" s="6"/>
      <c r="X739" s="6"/>
      <c r="Y739" s="6"/>
      <c r="Z739" s="6"/>
      <c r="AA739" s="6"/>
      <c r="AB739" s="6"/>
      <c r="AC739" s="6"/>
      <c r="AD739" s="6"/>
      <c r="AE739" s="6"/>
      <c r="AF739" s="6"/>
      <c r="AG739" s="6"/>
    </row>
    <row r="740" ht="14.25" customHeight="1">
      <c r="A740" s="6"/>
      <c r="B740" s="6"/>
      <c r="C740" s="6">
        <v>733.0</v>
      </c>
      <c r="D740" s="6"/>
      <c r="E740" s="6">
        <v>7523810.7714006575</v>
      </c>
      <c r="F740" s="6">
        <v>446.83310842439073</v>
      </c>
      <c r="G740" s="6">
        <v>5.942971083322346</v>
      </c>
      <c r="H740" s="6">
        <v>7435491.521386208</v>
      </c>
      <c r="I740" s="6">
        <v>443.6518027835022</v>
      </c>
      <c r="J740" s="6">
        <v>5.182186382921575</v>
      </c>
      <c r="K740" s="6"/>
      <c r="L740" s="6"/>
      <c r="M740" s="6"/>
      <c r="N740" s="6">
        <f t="shared" ref="N740:P740" si="743">IF(LEN($C740)&gt;0,H740-E740,"")</f>
        <v>-88319.25001</v>
      </c>
      <c r="O740" s="6">
        <f t="shared" si="743"/>
        <v>-3.181305641</v>
      </c>
      <c r="P740" s="6">
        <f t="shared" si="743"/>
        <v>-0.7607847004</v>
      </c>
      <c r="Q740" s="6"/>
      <c r="R740" s="6"/>
      <c r="S740" s="6"/>
      <c r="T740" s="6"/>
      <c r="U740" s="6"/>
      <c r="V740" s="6"/>
      <c r="W740" s="6"/>
      <c r="X740" s="6"/>
      <c r="Y740" s="6"/>
      <c r="Z740" s="6"/>
      <c r="AA740" s="6"/>
      <c r="AB740" s="6"/>
      <c r="AC740" s="6"/>
      <c r="AD740" s="6"/>
      <c r="AE740" s="6"/>
      <c r="AF740" s="6"/>
      <c r="AG740" s="6"/>
    </row>
    <row r="741" ht="14.25" customHeight="1">
      <c r="A741" s="6"/>
      <c r="B741" s="6"/>
      <c r="C741" s="6">
        <v>734.0</v>
      </c>
      <c r="D741" s="6"/>
      <c r="E741" s="6">
        <v>6322920.127293726</v>
      </c>
      <c r="F741" s="6">
        <v>443.3908918338239</v>
      </c>
      <c r="G741" s="6">
        <v>6.393457620742736</v>
      </c>
      <c r="H741" s="6">
        <v>6232364.080358092</v>
      </c>
      <c r="I741" s="6">
        <v>440.40595979551284</v>
      </c>
      <c r="J741" s="6">
        <v>4.776840094738581</v>
      </c>
      <c r="K741" s="6"/>
      <c r="L741" s="6"/>
      <c r="M741" s="6"/>
      <c r="N741" s="6">
        <f t="shared" ref="N741:P741" si="744">IF(LEN($C741)&gt;0,H741-E741,"")</f>
        <v>-90556.04694</v>
      </c>
      <c r="O741" s="6">
        <f t="shared" si="744"/>
        <v>-2.984932038</v>
      </c>
      <c r="P741" s="6">
        <f t="shared" si="744"/>
        <v>-1.616617526</v>
      </c>
      <c r="Q741" s="6"/>
      <c r="R741" s="6"/>
      <c r="S741" s="6"/>
      <c r="T741" s="6"/>
      <c r="U741" s="6"/>
      <c r="V741" s="6"/>
      <c r="W741" s="6"/>
      <c r="X741" s="6"/>
      <c r="Y741" s="6"/>
      <c r="Z741" s="6"/>
      <c r="AA741" s="6"/>
      <c r="AB741" s="6"/>
      <c r="AC741" s="6"/>
      <c r="AD741" s="6"/>
      <c r="AE741" s="6"/>
      <c r="AF741" s="6"/>
      <c r="AG741" s="6"/>
    </row>
    <row r="742" ht="14.25" customHeight="1">
      <c r="A742" s="6"/>
      <c r="B742" s="6"/>
      <c r="C742" s="6">
        <v>735.0</v>
      </c>
      <c r="D742" s="6"/>
      <c r="E742" s="6">
        <v>8165898.244084378</v>
      </c>
      <c r="F742" s="6">
        <v>470.92658856504215</v>
      </c>
      <c r="G742" s="6">
        <v>3.8510393425114846</v>
      </c>
      <c r="H742" s="6">
        <v>8119077.897598136</v>
      </c>
      <c r="I742" s="6">
        <v>469.30561340508683</v>
      </c>
      <c r="J742" s="6">
        <v>3.286745542537547</v>
      </c>
      <c r="K742" s="6"/>
      <c r="L742" s="6"/>
      <c r="M742" s="6"/>
      <c r="N742" s="6">
        <f t="shared" ref="N742:P742" si="745">IF(LEN($C742)&gt;0,H742-E742,"")</f>
        <v>-46820.34649</v>
      </c>
      <c r="O742" s="6">
        <f t="shared" si="745"/>
        <v>-1.62097516</v>
      </c>
      <c r="P742" s="6">
        <f t="shared" si="745"/>
        <v>-0.5642938</v>
      </c>
      <c r="Q742" s="6"/>
      <c r="R742" s="6"/>
      <c r="S742" s="6"/>
      <c r="T742" s="6"/>
      <c r="U742" s="6"/>
      <c r="V742" s="6"/>
      <c r="W742" s="6"/>
      <c r="X742" s="6"/>
      <c r="Y742" s="6"/>
      <c r="Z742" s="6"/>
      <c r="AA742" s="6"/>
      <c r="AB742" s="6"/>
      <c r="AC742" s="6"/>
      <c r="AD742" s="6"/>
      <c r="AE742" s="6"/>
      <c r="AF742" s="6"/>
      <c r="AG742" s="6"/>
    </row>
    <row r="743" ht="14.25" customHeight="1">
      <c r="A743" s="6"/>
      <c r="B743" s="6"/>
      <c r="C743" s="6">
        <v>736.0</v>
      </c>
      <c r="D743" s="6"/>
      <c r="E743" s="6">
        <v>6186039.248205236</v>
      </c>
      <c r="F743" s="6">
        <v>465.419404003357</v>
      </c>
      <c r="G743" s="6">
        <v>5.4741255623795295</v>
      </c>
      <c r="H743" s="6">
        <v>6085306.204380191</v>
      </c>
      <c r="I743" s="6">
        <v>461.88644196841517</v>
      </c>
      <c r="J743" s="6">
        <v>4.2833240905968335</v>
      </c>
      <c r="K743" s="6"/>
      <c r="L743" s="6"/>
      <c r="M743" s="6"/>
      <c r="N743" s="6">
        <f t="shared" ref="N743:P743" si="746">IF(LEN($C743)&gt;0,H743-E743,"")</f>
        <v>-100733.0438</v>
      </c>
      <c r="O743" s="6">
        <f t="shared" si="746"/>
        <v>-3.532962035</v>
      </c>
      <c r="P743" s="6">
        <f t="shared" si="746"/>
        <v>-1.190801472</v>
      </c>
      <c r="Q743" s="6"/>
      <c r="R743" s="6"/>
      <c r="S743" s="6"/>
      <c r="T743" s="6"/>
      <c r="U743" s="6"/>
      <c r="V743" s="6"/>
      <c r="W743" s="6"/>
      <c r="X743" s="6"/>
      <c r="Y743" s="6"/>
      <c r="Z743" s="6"/>
      <c r="AA743" s="6"/>
      <c r="AB743" s="6"/>
      <c r="AC743" s="6"/>
      <c r="AD743" s="6"/>
      <c r="AE743" s="6"/>
      <c r="AF743" s="6"/>
      <c r="AG743" s="6"/>
    </row>
    <row r="744" ht="14.25" customHeight="1">
      <c r="A744" s="6"/>
      <c r="B744" s="6"/>
      <c r="C744" s="6">
        <v>737.0</v>
      </c>
      <c r="D744" s="6"/>
      <c r="E744" s="6">
        <v>6438428.658447204</v>
      </c>
      <c r="F744" s="6">
        <v>490.2740430776122</v>
      </c>
      <c r="G744" s="6">
        <v>5.855338468670043</v>
      </c>
      <c r="H744" s="6">
        <v>6294051.74361637</v>
      </c>
      <c r="I744" s="6">
        <v>485.0712341226545</v>
      </c>
      <c r="J744" s="6">
        <v>3.6110503203642845</v>
      </c>
      <c r="K744" s="6"/>
      <c r="L744" s="6"/>
      <c r="M744" s="6"/>
      <c r="N744" s="6">
        <f t="shared" ref="N744:P744" si="747">IF(LEN($C744)&gt;0,H744-E744,"")</f>
        <v>-144376.9148</v>
      </c>
      <c r="O744" s="6">
        <f t="shared" si="747"/>
        <v>-5.202808955</v>
      </c>
      <c r="P744" s="6">
        <f t="shared" si="747"/>
        <v>-2.244288148</v>
      </c>
      <c r="Q744" s="6"/>
      <c r="R744" s="6"/>
      <c r="S744" s="6"/>
      <c r="T744" s="6"/>
      <c r="U744" s="6"/>
      <c r="V744" s="6"/>
      <c r="W744" s="6"/>
      <c r="X744" s="6"/>
      <c r="Y744" s="6"/>
      <c r="Z744" s="6"/>
      <c r="AA744" s="6"/>
      <c r="AB744" s="6"/>
      <c r="AC744" s="6"/>
      <c r="AD744" s="6"/>
      <c r="AE744" s="6"/>
      <c r="AF744" s="6"/>
      <c r="AG744" s="6"/>
    </row>
    <row r="745" ht="14.25" customHeight="1">
      <c r="A745" s="6"/>
      <c r="B745" s="6"/>
      <c r="C745" s="6">
        <v>738.0</v>
      </c>
      <c r="D745" s="6"/>
      <c r="E745" s="6">
        <v>6720428.793163159</v>
      </c>
      <c r="F745" s="6">
        <v>474.607413007296</v>
      </c>
      <c r="G745" s="6">
        <v>5.550549428439671</v>
      </c>
      <c r="H745" s="6">
        <v>6629362.712326644</v>
      </c>
      <c r="I745" s="6">
        <v>472.19105146708915</v>
      </c>
      <c r="J745" s="6">
        <v>4.174516298404761</v>
      </c>
      <c r="K745" s="6"/>
      <c r="L745" s="6"/>
      <c r="M745" s="6"/>
      <c r="N745" s="6">
        <f t="shared" ref="N745:P745" si="748">IF(LEN($C745)&gt;0,H745-E745,"")</f>
        <v>-91066.08084</v>
      </c>
      <c r="O745" s="6">
        <f t="shared" si="748"/>
        <v>-2.41636154</v>
      </c>
      <c r="P745" s="6">
        <f t="shared" si="748"/>
        <v>-1.37603313</v>
      </c>
      <c r="Q745" s="6"/>
      <c r="R745" s="6"/>
      <c r="S745" s="6"/>
      <c r="T745" s="6"/>
      <c r="U745" s="6"/>
      <c r="V745" s="6"/>
      <c r="W745" s="6"/>
      <c r="X745" s="6"/>
      <c r="Y745" s="6"/>
      <c r="Z745" s="6"/>
      <c r="AA745" s="6"/>
      <c r="AB745" s="6"/>
      <c r="AC745" s="6"/>
      <c r="AD745" s="6"/>
      <c r="AE745" s="6"/>
      <c r="AF745" s="6"/>
      <c r="AG745" s="6"/>
    </row>
    <row r="746" ht="14.25" customHeight="1">
      <c r="A746" s="6"/>
      <c r="B746" s="6"/>
      <c r="C746" s="6">
        <v>739.0</v>
      </c>
      <c r="D746" s="6"/>
      <c r="E746" s="6">
        <v>1.0165735386094447E7</v>
      </c>
      <c r="F746" s="6">
        <v>443.5479894856734</v>
      </c>
      <c r="G746" s="6">
        <v>4.6698463300947335</v>
      </c>
      <c r="H746" s="6">
        <v>1.0143991978754375E7</v>
      </c>
      <c r="I746" s="6">
        <v>443.0166327829386</v>
      </c>
      <c r="J746" s="6">
        <v>4.340518688312031</v>
      </c>
      <c r="K746" s="6"/>
      <c r="L746" s="6"/>
      <c r="M746" s="6"/>
      <c r="N746" s="6">
        <f t="shared" ref="N746:P746" si="749">IF(LEN($C746)&gt;0,H746-E746,"")</f>
        <v>-21743.40734</v>
      </c>
      <c r="O746" s="6">
        <f t="shared" si="749"/>
        <v>-0.5313567027</v>
      </c>
      <c r="P746" s="6">
        <f t="shared" si="749"/>
        <v>-0.3293276418</v>
      </c>
      <c r="Q746" s="6"/>
      <c r="R746" s="6"/>
      <c r="S746" s="6"/>
      <c r="T746" s="6"/>
      <c r="U746" s="6"/>
      <c r="V746" s="6"/>
      <c r="W746" s="6"/>
      <c r="X746" s="6"/>
      <c r="Y746" s="6"/>
      <c r="Z746" s="6"/>
      <c r="AA746" s="6"/>
      <c r="AB746" s="6"/>
      <c r="AC746" s="6"/>
      <c r="AD746" s="6"/>
      <c r="AE746" s="6"/>
      <c r="AF746" s="6"/>
      <c r="AG746" s="6"/>
    </row>
    <row r="747" ht="14.25" customHeight="1">
      <c r="A747" s="6"/>
      <c r="B747" s="6"/>
      <c r="C747" s="6">
        <v>740.0</v>
      </c>
      <c r="D747" s="6"/>
      <c r="E747" s="6">
        <v>8644358.131548118</v>
      </c>
      <c r="F747" s="6">
        <v>477.7173052515484</v>
      </c>
      <c r="G747" s="6">
        <v>5.5467109566840165</v>
      </c>
      <c r="H747" s="6">
        <v>8531112.967881357</v>
      </c>
      <c r="I747" s="6">
        <v>474.92837742882097</v>
      </c>
      <c r="J747" s="6">
        <v>3.9341943955988494</v>
      </c>
      <c r="K747" s="6"/>
      <c r="L747" s="6"/>
      <c r="M747" s="6"/>
      <c r="N747" s="6">
        <f t="shared" ref="N747:P747" si="750">IF(LEN($C747)&gt;0,H747-E747,"")</f>
        <v>-113245.1637</v>
      </c>
      <c r="O747" s="6">
        <f t="shared" si="750"/>
        <v>-2.788927823</v>
      </c>
      <c r="P747" s="6">
        <f t="shared" si="750"/>
        <v>-1.612516561</v>
      </c>
      <c r="Q747" s="6"/>
      <c r="R747" s="6"/>
      <c r="S747" s="6"/>
      <c r="T747" s="6"/>
      <c r="U747" s="6"/>
      <c r="V747" s="6"/>
      <c r="W747" s="6"/>
      <c r="X747" s="6"/>
      <c r="Y747" s="6"/>
      <c r="Z747" s="6"/>
      <c r="AA747" s="6"/>
      <c r="AB747" s="6"/>
      <c r="AC747" s="6"/>
      <c r="AD747" s="6"/>
      <c r="AE747" s="6"/>
      <c r="AF747" s="6"/>
      <c r="AG747" s="6"/>
    </row>
    <row r="748" ht="14.25" customHeight="1">
      <c r="A748" s="6"/>
      <c r="B748" s="6"/>
      <c r="C748" s="6">
        <v>741.0</v>
      </c>
      <c r="D748" s="6"/>
      <c r="E748" s="6">
        <v>8033268.372495192</v>
      </c>
      <c r="F748" s="6">
        <v>482.4435929880451</v>
      </c>
      <c r="G748" s="6">
        <v>4.418463456758881</v>
      </c>
      <c r="H748" s="6">
        <v>7929827.282881608</v>
      </c>
      <c r="I748" s="6">
        <v>478.5661442753952</v>
      </c>
      <c r="J748" s="6">
        <v>3.2838288103496147</v>
      </c>
      <c r="K748" s="6"/>
      <c r="L748" s="6"/>
      <c r="M748" s="6"/>
      <c r="N748" s="6">
        <f t="shared" ref="N748:P748" si="751">IF(LEN($C748)&gt;0,H748-E748,"")</f>
        <v>-103441.0896</v>
      </c>
      <c r="O748" s="6">
        <f t="shared" si="751"/>
        <v>-3.877448713</v>
      </c>
      <c r="P748" s="6">
        <f t="shared" si="751"/>
        <v>-1.134634646</v>
      </c>
      <c r="Q748" s="6"/>
      <c r="R748" s="6"/>
      <c r="S748" s="6"/>
      <c r="T748" s="6"/>
      <c r="U748" s="6"/>
      <c r="V748" s="6"/>
      <c r="W748" s="6"/>
      <c r="X748" s="6"/>
      <c r="Y748" s="6"/>
      <c r="Z748" s="6"/>
      <c r="AA748" s="6"/>
      <c r="AB748" s="6"/>
      <c r="AC748" s="6"/>
      <c r="AD748" s="6"/>
      <c r="AE748" s="6"/>
      <c r="AF748" s="6"/>
      <c r="AG748" s="6"/>
    </row>
    <row r="749" ht="14.25" customHeight="1">
      <c r="A749" s="6"/>
      <c r="B749" s="6"/>
      <c r="C749" s="6">
        <v>742.0</v>
      </c>
      <c r="D749" s="6"/>
      <c r="E749" s="6">
        <v>6110429.159659265</v>
      </c>
      <c r="F749" s="6">
        <v>466.36938921599034</v>
      </c>
      <c r="G749" s="6">
        <v>5.0157724318811185</v>
      </c>
      <c r="H749" s="6">
        <v>6051055.195563009</v>
      </c>
      <c r="I749" s="6">
        <v>463.40301507039806</v>
      </c>
      <c r="J749" s="6">
        <v>3.9324768817627307</v>
      </c>
      <c r="K749" s="6"/>
      <c r="L749" s="6"/>
      <c r="M749" s="6"/>
      <c r="N749" s="6">
        <f t="shared" ref="N749:P749" si="752">IF(LEN($C749)&gt;0,H749-E749,"")</f>
        <v>-59373.9641</v>
      </c>
      <c r="O749" s="6">
        <f t="shared" si="752"/>
        <v>-2.966374146</v>
      </c>
      <c r="P749" s="6">
        <f t="shared" si="752"/>
        <v>-1.08329555</v>
      </c>
      <c r="Q749" s="6"/>
      <c r="R749" s="6"/>
      <c r="S749" s="6"/>
      <c r="T749" s="6"/>
      <c r="U749" s="6"/>
      <c r="V749" s="6"/>
      <c r="W749" s="6"/>
      <c r="X749" s="6"/>
      <c r="Y749" s="6"/>
      <c r="Z749" s="6"/>
      <c r="AA749" s="6"/>
      <c r="AB749" s="6"/>
      <c r="AC749" s="6"/>
      <c r="AD749" s="6"/>
      <c r="AE749" s="6"/>
      <c r="AF749" s="6"/>
      <c r="AG749" s="6"/>
    </row>
    <row r="750" ht="14.25" customHeight="1">
      <c r="A750" s="6"/>
      <c r="B750" s="6"/>
      <c r="C750" s="6">
        <v>743.0</v>
      </c>
      <c r="D750" s="6"/>
      <c r="E750" s="6">
        <v>6724347.970803307</v>
      </c>
      <c r="F750" s="6">
        <v>478.4344113017587</v>
      </c>
      <c r="G750" s="6">
        <v>4.5075107197336965</v>
      </c>
      <c r="H750" s="6">
        <v>6638360.398972368</v>
      </c>
      <c r="I750" s="6">
        <v>476.3127605173725</v>
      </c>
      <c r="J750" s="6">
        <v>3.2800781506041754</v>
      </c>
      <c r="K750" s="6"/>
      <c r="L750" s="6"/>
      <c r="M750" s="6"/>
      <c r="N750" s="6">
        <f t="shared" ref="N750:P750" si="753">IF(LEN($C750)&gt;0,H750-E750,"")</f>
        <v>-85987.57183</v>
      </c>
      <c r="O750" s="6">
        <f t="shared" si="753"/>
        <v>-2.121650784</v>
      </c>
      <c r="P750" s="6">
        <f t="shared" si="753"/>
        <v>-1.227432569</v>
      </c>
      <c r="Q750" s="6"/>
      <c r="R750" s="6"/>
      <c r="S750" s="6"/>
      <c r="T750" s="6"/>
      <c r="U750" s="6"/>
      <c r="V750" s="6"/>
      <c r="W750" s="6"/>
      <c r="X750" s="6"/>
      <c r="Y750" s="6"/>
      <c r="Z750" s="6"/>
      <c r="AA750" s="6"/>
      <c r="AB750" s="6"/>
      <c r="AC750" s="6"/>
      <c r="AD750" s="6"/>
      <c r="AE750" s="6"/>
      <c r="AF750" s="6"/>
      <c r="AG750" s="6"/>
    </row>
    <row r="751" ht="14.25" customHeight="1">
      <c r="A751" s="6"/>
      <c r="B751" s="6"/>
      <c r="C751" s="6">
        <v>744.0</v>
      </c>
      <c r="D751" s="6"/>
      <c r="E751" s="6">
        <v>8549536.982033141</v>
      </c>
      <c r="F751" s="6">
        <v>464.12093221920145</v>
      </c>
      <c r="G751" s="6">
        <v>5.435145777912365</v>
      </c>
      <c r="H751" s="6">
        <v>8469526.12268602</v>
      </c>
      <c r="I751" s="6">
        <v>461.16630815537167</v>
      </c>
      <c r="J751" s="6">
        <v>4.227921936884001</v>
      </c>
      <c r="K751" s="6"/>
      <c r="L751" s="6"/>
      <c r="M751" s="6"/>
      <c r="N751" s="6">
        <f t="shared" ref="N751:P751" si="754">IF(LEN($C751)&gt;0,H751-E751,"")</f>
        <v>-80010.85935</v>
      </c>
      <c r="O751" s="6">
        <f t="shared" si="754"/>
        <v>-2.954624064</v>
      </c>
      <c r="P751" s="6">
        <f t="shared" si="754"/>
        <v>-1.207223841</v>
      </c>
      <c r="Q751" s="6"/>
      <c r="R751" s="6"/>
      <c r="S751" s="6"/>
      <c r="T751" s="6"/>
      <c r="U751" s="6"/>
      <c r="V751" s="6"/>
      <c r="W751" s="6"/>
      <c r="X751" s="6"/>
      <c r="Y751" s="6"/>
      <c r="Z751" s="6"/>
      <c r="AA751" s="6"/>
      <c r="AB751" s="6"/>
      <c r="AC751" s="6"/>
      <c r="AD751" s="6"/>
      <c r="AE751" s="6"/>
      <c r="AF751" s="6"/>
      <c r="AG751" s="6"/>
    </row>
    <row r="752" ht="14.25" customHeight="1">
      <c r="A752" s="6"/>
      <c r="B752" s="6"/>
      <c r="C752" s="6">
        <v>745.0</v>
      </c>
      <c r="D752" s="6"/>
      <c r="E752" s="6">
        <v>7729488.700060691</v>
      </c>
      <c r="F752" s="6">
        <v>453.49978019282116</v>
      </c>
      <c r="G752" s="6">
        <v>4.677966531664635</v>
      </c>
      <c r="H752" s="6">
        <v>7600915.723187055</v>
      </c>
      <c r="I752" s="6">
        <v>447.38323817405467</v>
      </c>
      <c r="J752" s="6">
        <v>3.3635998706615435</v>
      </c>
      <c r="K752" s="6"/>
      <c r="L752" s="6"/>
      <c r="M752" s="6"/>
      <c r="N752" s="6">
        <f t="shared" ref="N752:P752" si="755">IF(LEN($C752)&gt;0,H752-E752,"")</f>
        <v>-128572.9769</v>
      </c>
      <c r="O752" s="6">
        <f t="shared" si="755"/>
        <v>-6.116542019</v>
      </c>
      <c r="P752" s="6">
        <f t="shared" si="755"/>
        <v>-1.314366661</v>
      </c>
      <c r="Q752" s="6"/>
      <c r="R752" s="6"/>
      <c r="S752" s="6"/>
      <c r="T752" s="6"/>
      <c r="U752" s="6"/>
      <c r="V752" s="6"/>
      <c r="W752" s="6"/>
      <c r="X752" s="6"/>
      <c r="Y752" s="6"/>
      <c r="Z752" s="6"/>
      <c r="AA752" s="6"/>
      <c r="AB752" s="6"/>
      <c r="AC752" s="6"/>
      <c r="AD752" s="6"/>
      <c r="AE752" s="6"/>
      <c r="AF752" s="6"/>
      <c r="AG752" s="6"/>
    </row>
    <row r="753" ht="14.25" customHeight="1">
      <c r="A753" s="6"/>
      <c r="B753" s="6"/>
      <c r="C753" s="6">
        <v>746.0</v>
      </c>
      <c r="D753" s="6"/>
      <c r="E753" s="6">
        <v>6428978.838527121</v>
      </c>
      <c r="F753" s="6">
        <v>495.8636853576203</v>
      </c>
      <c r="G753" s="6">
        <v>4.689637042136353</v>
      </c>
      <c r="H753" s="6">
        <v>6335598.41305844</v>
      </c>
      <c r="I753" s="6">
        <v>490.6737727093257</v>
      </c>
      <c r="J753" s="6">
        <v>3.5102835948601085</v>
      </c>
      <c r="K753" s="6"/>
      <c r="L753" s="6"/>
      <c r="M753" s="6"/>
      <c r="N753" s="6">
        <f t="shared" ref="N753:P753" si="756">IF(LEN($C753)&gt;0,H753-E753,"")</f>
        <v>-93380.42547</v>
      </c>
      <c r="O753" s="6">
        <f t="shared" si="756"/>
        <v>-5.189912648</v>
      </c>
      <c r="P753" s="6">
        <f t="shared" si="756"/>
        <v>-1.179353447</v>
      </c>
      <c r="Q753" s="6"/>
      <c r="R753" s="6"/>
      <c r="S753" s="6"/>
      <c r="T753" s="6"/>
      <c r="U753" s="6"/>
      <c r="V753" s="6"/>
      <c r="W753" s="6"/>
      <c r="X753" s="6"/>
      <c r="Y753" s="6"/>
      <c r="Z753" s="6"/>
      <c r="AA753" s="6"/>
      <c r="AB753" s="6"/>
      <c r="AC753" s="6"/>
      <c r="AD753" s="6"/>
      <c r="AE753" s="6"/>
      <c r="AF753" s="6"/>
      <c r="AG753" s="6"/>
    </row>
    <row r="754" ht="14.25" customHeight="1">
      <c r="A754" s="6"/>
      <c r="B754" s="6"/>
      <c r="C754" s="6">
        <v>747.0</v>
      </c>
      <c r="D754" s="6"/>
      <c r="E754" s="6">
        <v>6088180.352947036</v>
      </c>
      <c r="F754" s="6">
        <v>466.0420526340295</v>
      </c>
      <c r="G754" s="6">
        <v>5.985561505109192</v>
      </c>
      <c r="H754" s="6">
        <v>5956473.403988018</v>
      </c>
      <c r="I754" s="6">
        <v>461.8438130655258</v>
      </c>
      <c r="J754" s="6">
        <v>4.173071778660265</v>
      </c>
      <c r="K754" s="6"/>
      <c r="L754" s="6"/>
      <c r="M754" s="6"/>
      <c r="N754" s="6">
        <f t="shared" ref="N754:P754" si="757">IF(LEN($C754)&gt;0,H754-E754,"")</f>
        <v>-131706.949</v>
      </c>
      <c r="O754" s="6">
        <f t="shared" si="757"/>
        <v>-4.198239569</v>
      </c>
      <c r="P754" s="6">
        <f t="shared" si="757"/>
        <v>-1.812489726</v>
      </c>
      <c r="Q754" s="6"/>
      <c r="R754" s="6"/>
      <c r="S754" s="6"/>
      <c r="T754" s="6"/>
      <c r="U754" s="6"/>
      <c r="V754" s="6"/>
      <c r="W754" s="6"/>
      <c r="X754" s="6"/>
      <c r="Y754" s="6"/>
      <c r="Z754" s="6"/>
      <c r="AA754" s="6"/>
      <c r="AB754" s="6"/>
      <c r="AC754" s="6"/>
      <c r="AD754" s="6"/>
      <c r="AE754" s="6"/>
      <c r="AF754" s="6"/>
      <c r="AG754" s="6"/>
    </row>
    <row r="755" ht="14.25" customHeight="1">
      <c r="A755" s="6"/>
      <c r="B755" s="6"/>
      <c r="C755" s="6">
        <v>748.0</v>
      </c>
      <c r="D755" s="6"/>
      <c r="E755" s="6">
        <v>6491264.573251597</v>
      </c>
      <c r="F755" s="6">
        <v>445.0992003892106</v>
      </c>
      <c r="G755" s="6">
        <v>7.091769643805975</v>
      </c>
      <c r="H755" s="6">
        <v>6365307.360545861</v>
      </c>
      <c r="I755" s="6">
        <v>441.7394307494812</v>
      </c>
      <c r="J755" s="6">
        <v>5.3424636197325635</v>
      </c>
      <c r="K755" s="6"/>
      <c r="L755" s="6"/>
      <c r="M755" s="6"/>
      <c r="N755" s="6">
        <f t="shared" ref="N755:P755" si="758">IF(LEN($C755)&gt;0,H755-E755,"")</f>
        <v>-125957.2127</v>
      </c>
      <c r="O755" s="6">
        <f t="shared" si="758"/>
        <v>-3.35976964</v>
      </c>
      <c r="P755" s="6">
        <f t="shared" si="758"/>
        <v>-1.749306024</v>
      </c>
      <c r="Q755" s="6"/>
      <c r="R755" s="6"/>
      <c r="S755" s="6"/>
      <c r="T755" s="6"/>
      <c r="U755" s="6"/>
      <c r="V755" s="6"/>
      <c r="W755" s="6"/>
      <c r="X755" s="6"/>
      <c r="Y755" s="6"/>
      <c r="Z755" s="6"/>
      <c r="AA755" s="6"/>
      <c r="AB755" s="6"/>
      <c r="AC755" s="6"/>
      <c r="AD755" s="6"/>
      <c r="AE755" s="6"/>
      <c r="AF755" s="6"/>
      <c r="AG755" s="6"/>
    </row>
    <row r="756" ht="14.25" customHeight="1">
      <c r="A756" s="6"/>
      <c r="B756" s="6"/>
      <c r="C756" s="6">
        <v>749.0</v>
      </c>
      <c r="D756" s="6"/>
      <c r="E756" s="6">
        <v>6536511.404929561</v>
      </c>
      <c r="F756" s="6">
        <v>436.673763659059</v>
      </c>
      <c r="G756" s="6">
        <v>6.081181981559512</v>
      </c>
      <c r="H756" s="6">
        <v>6473283.435324863</v>
      </c>
      <c r="I756" s="6">
        <v>434.9291008574235</v>
      </c>
      <c r="J756" s="6">
        <v>4.7144752021516245</v>
      </c>
      <c r="K756" s="6"/>
      <c r="L756" s="6"/>
      <c r="M756" s="6"/>
      <c r="N756" s="6">
        <f t="shared" ref="N756:P756" si="759">IF(LEN($C756)&gt;0,H756-E756,"")</f>
        <v>-63227.9696</v>
      </c>
      <c r="O756" s="6">
        <f t="shared" si="759"/>
        <v>-1.744662802</v>
      </c>
      <c r="P756" s="6">
        <f t="shared" si="759"/>
        <v>-1.366706779</v>
      </c>
      <c r="Q756" s="6"/>
      <c r="R756" s="6"/>
      <c r="S756" s="6"/>
      <c r="T756" s="6"/>
      <c r="U756" s="6"/>
      <c r="V756" s="6"/>
      <c r="W756" s="6"/>
      <c r="X756" s="6"/>
      <c r="Y756" s="6"/>
      <c r="Z756" s="6"/>
      <c r="AA756" s="6"/>
      <c r="AB756" s="6"/>
      <c r="AC756" s="6"/>
      <c r="AD756" s="6"/>
      <c r="AE756" s="6"/>
      <c r="AF756" s="6"/>
      <c r="AG756" s="6"/>
    </row>
    <row r="757" ht="14.25" customHeight="1">
      <c r="A757" s="6"/>
      <c r="B757" s="6"/>
      <c r="C757" s="6">
        <v>750.0</v>
      </c>
      <c r="D757" s="6"/>
      <c r="E757" s="6">
        <v>7210154.401691808</v>
      </c>
      <c r="F757" s="6">
        <v>495.9718638955596</v>
      </c>
      <c r="G757" s="6">
        <v>4.688933869486492</v>
      </c>
      <c r="H757" s="6">
        <v>7117341.839259149</v>
      </c>
      <c r="I757" s="6">
        <v>492.4101337257343</v>
      </c>
      <c r="J757" s="6">
        <v>3.607793854611137</v>
      </c>
      <c r="K757" s="6"/>
      <c r="L757" s="6"/>
      <c r="M757" s="6"/>
      <c r="N757" s="6">
        <f t="shared" ref="N757:P757" si="760">IF(LEN($C757)&gt;0,H757-E757,"")</f>
        <v>-92812.56243</v>
      </c>
      <c r="O757" s="6">
        <f t="shared" si="760"/>
        <v>-3.56173017</v>
      </c>
      <c r="P757" s="6">
        <f t="shared" si="760"/>
        <v>-1.081140015</v>
      </c>
      <c r="Q757" s="6"/>
      <c r="R757" s="6"/>
      <c r="S757" s="6"/>
      <c r="T757" s="6"/>
      <c r="U757" s="6"/>
      <c r="V757" s="6"/>
      <c r="W757" s="6"/>
      <c r="X757" s="6"/>
      <c r="Y757" s="6"/>
      <c r="Z757" s="6"/>
      <c r="AA757" s="6"/>
      <c r="AB757" s="6"/>
      <c r="AC757" s="6"/>
      <c r="AD757" s="6"/>
      <c r="AE757" s="6"/>
      <c r="AF757" s="6"/>
      <c r="AG757" s="6"/>
    </row>
    <row r="758" ht="14.25" customHeight="1">
      <c r="A758" s="6"/>
      <c r="B758" s="6"/>
      <c r="C758" s="6">
        <v>751.0</v>
      </c>
      <c r="D758" s="6"/>
      <c r="E758" s="6">
        <v>5719371.794583253</v>
      </c>
      <c r="F758" s="6">
        <v>485.053375630514</v>
      </c>
      <c r="G758" s="6">
        <v>3.625637887740882</v>
      </c>
      <c r="H758" s="6">
        <v>5591680.720379089</v>
      </c>
      <c r="I758" s="6">
        <v>477.5839308070281</v>
      </c>
      <c r="J758" s="6">
        <v>2.8202068690892736</v>
      </c>
      <c r="K758" s="6"/>
      <c r="L758" s="6"/>
      <c r="M758" s="6"/>
      <c r="N758" s="6">
        <f t="shared" ref="N758:P758" si="761">IF(LEN($C758)&gt;0,H758-E758,"")</f>
        <v>-127691.0742</v>
      </c>
      <c r="O758" s="6">
        <f t="shared" si="761"/>
        <v>-7.469444823</v>
      </c>
      <c r="P758" s="6">
        <f t="shared" si="761"/>
        <v>-0.8054310187</v>
      </c>
      <c r="Q758" s="6"/>
      <c r="R758" s="6"/>
      <c r="S758" s="6"/>
      <c r="T758" s="6"/>
      <c r="U758" s="6"/>
      <c r="V758" s="6"/>
      <c r="W758" s="6"/>
      <c r="X758" s="6"/>
      <c r="Y758" s="6"/>
      <c r="Z758" s="6"/>
      <c r="AA758" s="6"/>
      <c r="AB758" s="6"/>
      <c r="AC758" s="6"/>
      <c r="AD758" s="6"/>
      <c r="AE758" s="6"/>
      <c r="AF758" s="6"/>
      <c r="AG758" s="6"/>
    </row>
    <row r="759" ht="14.25" customHeight="1">
      <c r="A759" s="6"/>
      <c r="B759" s="6"/>
      <c r="C759" s="6">
        <v>752.0</v>
      </c>
      <c r="D759" s="6"/>
      <c r="E759" s="6">
        <v>5865571.888263319</v>
      </c>
      <c r="F759" s="6">
        <v>465.98934143833117</v>
      </c>
      <c r="G759" s="6">
        <v>4.384350221303023</v>
      </c>
      <c r="H759" s="6">
        <v>5811913.405049884</v>
      </c>
      <c r="I759" s="6">
        <v>462.99241831065456</v>
      </c>
      <c r="J759" s="6">
        <v>3.40768070285127</v>
      </c>
      <c r="K759" s="6"/>
      <c r="L759" s="6"/>
      <c r="M759" s="6"/>
      <c r="N759" s="6">
        <f t="shared" ref="N759:P759" si="762">IF(LEN($C759)&gt;0,H759-E759,"")</f>
        <v>-53658.48321</v>
      </c>
      <c r="O759" s="6">
        <f t="shared" si="762"/>
        <v>-2.996923128</v>
      </c>
      <c r="P759" s="6">
        <f t="shared" si="762"/>
        <v>-0.9766695185</v>
      </c>
      <c r="Q759" s="6"/>
      <c r="R759" s="6"/>
      <c r="S759" s="6"/>
      <c r="T759" s="6"/>
      <c r="U759" s="6"/>
      <c r="V759" s="6"/>
      <c r="W759" s="6"/>
      <c r="X759" s="6"/>
      <c r="Y759" s="6"/>
      <c r="Z759" s="6"/>
      <c r="AA759" s="6"/>
      <c r="AB759" s="6"/>
      <c r="AC759" s="6"/>
      <c r="AD759" s="6"/>
      <c r="AE759" s="6"/>
      <c r="AF759" s="6"/>
      <c r="AG759" s="6"/>
    </row>
    <row r="760" ht="14.25" customHeight="1">
      <c r="A760" s="6"/>
      <c r="B760" s="6"/>
      <c r="C760" s="6">
        <v>753.0</v>
      </c>
      <c r="D760" s="6"/>
      <c r="E760" s="6">
        <v>8483277.514873965</v>
      </c>
      <c r="F760" s="6">
        <v>486.03817574331447</v>
      </c>
      <c r="G760" s="6">
        <v>5.473495020743952</v>
      </c>
      <c r="H760" s="6">
        <v>8403450.784755126</v>
      </c>
      <c r="I760" s="6">
        <v>482.3533428867814</v>
      </c>
      <c r="J760" s="6">
        <v>4.667070179394107</v>
      </c>
      <c r="K760" s="6"/>
      <c r="L760" s="6"/>
      <c r="M760" s="6"/>
      <c r="N760" s="6">
        <f t="shared" ref="N760:P760" si="763">IF(LEN($C760)&gt;0,H760-E760,"")</f>
        <v>-79826.73012</v>
      </c>
      <c r="O760" s="6">
        <f t="shared" si="763"/>
        <v>-3.684832857</v>
      </c>
      <c r="P760" s="6">
        <f t="shared" si="763"/>
        <v>-0.8064248413</v>
      </c>
      <c r="Q760" s="6"/>
      <c r="R760" s="6"/>
      <c r="S760" s="6"/>
      <c r="T760" s="6"/>
      <c r="U760" s="6"/>
      <c r="V760" s="6"/>
      <c r="W760" s="6"/>
      <c r="X760" s="6"/>
      <c r="Y760" s="6"/>
      <c r="Z760" s="6"/>
      <c r="AA760" s="6"/>
      <c r="AB760" s="6"/>
      <c r="AC760" s="6"/>
      <c r="AD760" s="6"/>
      <c r="AE760" s="6"/>
      <c r="AF760" s="6"/>
      <c r="AG760" s="6"/>
    </row>
    <row r="761" ht="14.25" customHeight="1">
      <c r="A761" s="6"/>
      <c r="B761" s="6"/>
      <c r="C761" s="6">
        <v>754.0</v>
      </c>
      <c r="D761" s="6"/>
      <c r="E761" s="6">
        <v>7277806.955431003</v>
      </c>
      <c r="F761" s="6">
        <v>473.18134246037687</v>
      </c>
      <c r="G761" s="6">
        <v>5.201984389282312</v>
      </c>
      <c r="H761" s="6">
        <v>7109051.35319394</v>
      </c>
      <c r="I761" s="6">
        <v>467.98168671674495</v>
      </c>
      <c r="J761" s="6">
        <v>3.445456861328157</v>
      </c>
      <c r="K761" s="6"/>
      <c r="L761" s="6"/>
      <c r="M761" s="6"/>
      <c r="N761" s="6">
        <f t="shared" ref="N761:P761" si="764">IF(LEN($C761)&gt;0,H761-E761,"")</f>
        <v>-168755.6022</v>
      </c>
      <c r="O761" s="6">
        <f t="shared" si="764"/>
        <v>-5.199655744</v>
      </c>
      <c r="P761" s="6">
        <f t="shared" si="764"/>
        <v>-1.756527528</v>
      </c>
      <c r="Q761" s="6"/>
      <c r="R761" s="6"/>
      <c r="S761" s="6"/>
      <c r="T761" s="6"/>
      <c r="U761" s="6"/>
      <c r="V761" s="6"/>
      <c r="W761" s="6"/>
      <c r="X761" s="6"/>
      <c r="Y761" s="6"/>
      <c r="Z761" s="6"/>
      <c r="AA761" s="6"/>
      <c r="AB761" s="6"/>
      <c r="AC761" s="6"/>
      <c r="AD761" s="6"/>
      <c r="AE761" s="6"/>
      <c r="AF761" s="6"/>
      <c r="AG761" s="6"/>
    </row>
    <row r="762" ht="14.25" customHeight="1">
      <c r="A762" s="6"/>
      <c r="B762" s="6"/>
      <c r="C762" s="6">
        <v>755.0</v>
      </c>
      <c r="D762" s="6"/>
      <c r="E762" s="6">
        <v>7280754.787649177</v>
      </c>
      <c r="F762" s="6">
        <v>489.3209777378252</v>
      </c>
      <c r="G762" s="6">
        <v>4.157101495006986</v>
      </c>
      <c r="H762" s="6">
        <v>7192906.084446778</v>
      </c>
      <c r="I762" s="6">
        <v>486.13750158949006</v>
      </c>
      <c r="J762" s="6">
        <v>3.012298975855993</v>
      </c>
      <c r="K762" s="6"/>
      <c r="L762" s="6"/>
      <c r="M762" s="6"/>
      <c r="N762" s="6">
        <f t="shared" ref="N762:P762" si="765">IF(LEN($C762)&gt;0,H762-E762,"")</f>
        <v>-87848.7032</v>
      </c>
      <c r="O762" s="6">
        <f t="shared" si="765"/>
        <v>-3.183476148</v>
      </c>
      <c r="P762" s="6">
        <f t="shared" si="765"/>
        <v>-1.144802519</v>
      </c>
      <c r="Q762" s="6"/>
      <c r="R762" s="6"/>
      <c r="S762" s="6"/>
      <c r="T762" s="6"/>
      <c r="U762" s="6"/>
      <c r="V762" s="6"/>
      <c r="W762" s="6"/>
      <c r="X762" s="6"/>
      <c r="Y762" s="6"/>
      <c r="Z762" s="6"/>
      <c r="AA762" s="6"/>
      <c r="AB762" s="6"/>
      <c r="AC762" s="6"/>
      <c r="AD762" s="6"/>
      <c r="AE762" s="6"/>
      <c r="AF762" s="6"/>
      <c r="AG762" s="6"/>
    </row>
    <row r="763" ht="14.25" customHeight="1">
      <c r="A763" s="6"/>
      <c r="B763" s="6"/>
      <c r="C763" s="6">
        <v>756.0</v>
      </c>
      <c r="D763" s="6"/>
      <c r="E763" s="6">
        <v>6345374.7849793155</v>
      </c>
      <c r="F763" s="6">
        <v>478.4925938861618</v>
      </c>
      <c r="G763" s="6">
        <v>5.426940903046595</v>
      </c>
      <c r="H763" s="6">
        <v>6238582.266553068</v>
      </c>
      <c r="I763" s="6">
        <v>473.5472994583577</v>
      </c>
      <c r="J763" s="6">
        <v>3.7777103862847734</v>
      </c>
      <c r="K763" s="6"/>
      <c r="L763" s="6"/>
      <c r="M763" s="6"/>
      <c r="N763" s="6">
        <f t="shared" ref="N763:P763" si="766">IF(LEN($C763)&gt;0,H763-E763,"")</f>
        <v>-106792.5184</v>
      </c>
      <c r="O763" s="6">
        <f t="shared" si="766"/>
        <v>-4.945294428</v>
      </c>
      <c r="P763" s="6">
        <f t="shared" si="766"/>
        <v>-1.649230517</v>
      </c>
      <c r="Q763" s="6"/>
      <c r="R763" s="6"/>
      <c r="S763" s="6"/>
      <c r="T763" s="6"/>
      <c r="U763" s="6"/>
      <c r="V763" s="6"/>
      <c r="W763" s="6"/>
      <c r="X763" s="6"/>
      <c r="Y763" s="6"/>
      <c r="Z763" s="6"/>
      <c r="AA763" s="6"/>
      <c r="AB763" s="6"/>
      <c r="AC763" s="6"/>
      <c r="AD763" s="6"/>
      <c r="AE763" s="6"/>
      <c r="AF763" s="6"/>
      <c r="AG763" s="6"/>
    </row>
    <row r="764" ht="14.25" customHeight="1">
      <c r="A764" s="6"/>
      <c r="B764" s="6"/>
      <c r="C764" s="6">
        <v>757.0</v>
      </c>
      <c r="D764" s="6"/>
      <c r="E764" s="6">
        <v>7010197.056500944</v>
      </c>
      <c r="F764" s="6">
        <v>450.860709990264</v>
      </c>
      <c r="G764" s="6">
        <v>5.691111971976828</v>
      </c>
      <c r="H764" s="6">
        <v>6925218.4313621875</v>
      </c>
      <c r="I764" s="6">
        <v>448.53803436990415</v>
      </c>
      <c r="J764" s="6">
        <v>4.48854573964271</v>
      </c>
      <c r="K764" s="6"/>
      <c r="L764" s="6"/>
      <c r="M764" s="6"/>
      <c r="N764" s="6">
        <f t="shared" ref="N764:P764" si="767">IF(LEN($C764)&gt;0,H764-E764,"")</f>
        <v>-84978.62514</v>
      </c>
      <c r="O764" s="6">
        <f t="shared" si="767"/>
        <v>-2.32267562</v>
      </c>
      <c r="P764" s="6">
        <f t="shared" si="767"/>
        <v>-1.202566232</v>
      </c>
      <c r="Q764" s="6"/>
      <c r="R764" s="6"/>
      <c r="S764" s="6"/>
      <c r="T764" s="6"/>
      <c r="U764" s="6"/>
      <c r="V764" s="6"/>
      <c r="W764" s="6"/>
      <c r="X764" s="6"/>
      <c r="Y764" s="6"/>
      <c r="Z764" s="6"/>
      <c r="AA764" s="6"/>
      <c r="AB764" s="6"/>
      <c r="AC764" s="6"/>
      <c r="AD764" s="6"/>
      <c r="AE764" s="6"/>
      <c r="AF764" s="6"/>
      <c r="AG764" s="6"/>
    </row>
    <row r="765" ht="14.25" customHeight="1">
      <c r="A765" s="6"/>
      <c r="B765" s="6"/>
      <c r="C765" s="6">
        <v>758.0</v>
      </c>
      <c r="D765" s="6"/>
      <c r="E765" s="6">
        <v>6325331.650335768</v>
      </c>
      <c r="F765" s="6">
        <v>493.59267400716396</v>
      </c>
      <c r="G765" s="6">
        <v>5.6494770971123485</v>
      </c>
      <c r="H765" s="6">
        <v>6135658.315536472</v>
      </c>
      <c r="I765" s="6">
        <v>484.6229137170125</v>
      </c>
      <c r="J765" s="6">
        <v>3.545203311980399</v>
      </c>
      <c r="K765" s="6"/>
      <c r="L765" s="6"/>
      <c r="M765" s="6"/>
      <c r="N765" s="6">
        <f t="shared" ref="N765:P765" si="768">IF(LEN($C765)&gt;0,H765-E765,"")</f>
        <v>-189673.3348</v>
      </c>
      <c r="O765" s="6">
        <f t="shared" si="768"/>
        <v>-8.96976029</v>
      </c>
      <c r="P765" s="6">
        <f t="shared" si="768"/>
        <v>-2.104273785</v>
      </c>
      <c r="Q765" s="6"/>
      <c r="R765" s="6"/>
      <c r="S765" s="6"/>
      <c r="T765" s="6"/>
      <c r="U765" s="6"/>
      <c r="V765" s="6"/>
      <c r="W765" s="6"/>
      <c r="X765" s="6"/>
      <c r="Y765" s="6"/>
      <c r="Z765" s="6"/>
      <c r="AA765" s="6"/>
      <c r="AB765" s="6"/>
      <c r="AC765" s="6"/>
      <c r="AD765" s="6"/>
      <c r="AE765" s="6"/>
      <c r="AF765" s="6"/>
      <c r="AG765" s="6"/>
    </row>
    <row r="766" ht="14.25" customHeight="1">
      <c r="A766" s="6"/>
      <c r="B766" s="6"/>
      <c r="C766" s="6">
        <v>759.0</v>
      </c>
      <c r="D766" s="6"/>
      <c r="E766" s="6">
        <v>9001316.371421803</v>
      </c>
      <c r="F766" s="6">
        <v>497.11449053666666</v>
      </c>
      <c r="G766" s="6">
        <v>4.189953213380608</v>
      </c>
      <c r="H766" s="6">
        <v>8744421.22387099</v>
      </c>
      <c r="I766" s="6">
        <v>482.92935385447475</v>
      </c>
      <c r="J766" s="6">
        <v>2.724542784774713</v>
      </c>
      <c r="K766" s="6"/>
      <c r="L766" s="6"/>
      <c r="M766" s="6"/>
      <c r="N766" s="6">
        <f t="shared" ref="N766:P766" si="769">IF(LEN($C766)&gt;0,H766-E766,"")</f>
        <v>-256895.1476</v>
      </c>
      <c r="O766" s="6">
        <f t="shared" si="769"/>
        <v>-14.18513668</v>
      </c>
      <c r="P766" s="6">
        <f t="shared" si="769"/>
        <v>-1.465410429</v>
      </c>
      <c r="Q766" s="6"/>
      <c r="R766" s="6"/>
      <c r="S766" s="6"/>
      <c r="T766" s="6"/>
      <c r="U766" s="6"/>
      <c r="V766" s="6"/>
      <c r="W766" s="6"/>
      <c r="X766" s="6"/>
      <c r="Y766" s="6"/>
      <c r="Z766" s="6"/>
      <c r="AA766" s="6"/>
      <c r="AB766" s="6"/>
      <c r="AC766" s="6"/>
      <c r="AD766" s="6"/>
      <c r="AE766" s="6"/>
      <c r="AF766" s="6"/>
      <c r="AG766" s="6"/>
    </row>
    <row r="767" ht="14.25" customHeight="1">
      <c r="A767" s="6"/>
      <c r="B767" s="6"/>
      <c r="C767" s="6">
        <v>760.0</v>
      </c>
      <c r="D767" s="6"/>
      <c r="E767" s="6">
        <v>8002693.645846733</v>
      </c>
      <c r="F767" s="6">
        <v>498.75698346732975</v>
      </c>
      <c r="G767" s="6">
        <v>4.439037460924688</v>
      </c>
      <c r="H767" s="6">
        <v>7856329.21897673</v>
      </c>
      <c r="I767" s="6">
        <v>492.73855955902553</v>
      </c>
      <c r="J767" s="6">
        <v>3.259807579175505</v>
      </c>
      <c r="K767" s="6"/>
      <c r="L767" s="6"/>
      <c r="M767" s="6"/>
      <c r="N767" s="6">
        <f t="shared" ref="N767:P767" si="770">IF(LEN($C767)&gt;0,H767-E767,"")</f>
        <v>-146364.4269</v>
      </c>
      <c r="O767" s="6">
        <f t="shared" si="770"/>
        <v>-6.018423908</v>
      </c>
      <c r="P767" s="6">
        <f t="shared" si="770"/>
        <v>-1.179229882</v>
      </c>
      <c r="Q767" s="6"/>
      <c r="R767" s="6"/>
      <c r="S767" s="6"/>
      <c r="T767" s="6"/>
      <c r="U767" s="6"/>
      <c r="V767" s="6"/>
      <c r="W767" s="6"/>
      <c r="X767" s="6"/>
      <c r="Y767" s="6"/>
      <c r="Z767" s="6"/>
      <c r="AA767" s="6"/>
      <c r="AB767" s="6"/>
      <c r="AC767" s="6"/>
      <c r="AD767" s="6"/>
      <c r="AE767" s="6"/>
      <c r="AF767" s="6"/>
      <c r="AG767" s="6"/>
    </row>
    <row r="768" ht="14.25" customHeight="1">
      <c r="A768" s="6"/>
      <c r="B768" s="6"/>
      <c r="C768" s="6">
        <v>761.0</v>
      </c>
      <c r="D768" s="6"/>
      <c r="E768" s="6">
        <v>7454836.360986013</v>
      </c>
      <c r="F768" s="6">
        <v>519.3531742336424</v>
      </c>
      <c r="G768" s="6">
        <v>5.372926085948781</v>
      </c>
      <c r="H768" s="6">
        <v>7229398.377922104</v>
      </c>
      <c r="I768" s="6">
        <v>506.41226921976215</v>
      </c>
      <c r="J768" s="6">
        <v>3.4313659941831762</v>
      </c>
      <c r="K768" s="6"/>
      <c r="L768" s="6"/>
      <c r="M768" s="6"/>
      <c r="N768" s="6">
        <f t="shared" ref="N768:P768" si="771">IF(LEN($C768)&gt;0,H768-E768,"")</f>
        <v>-225437.9831</v>
      </c>
      <c r="O768" s="6">
        <f t="shared" si="771"/>
        <v>-12.94090501</v>
      </c>
      <c r="P768" s="6">
        <f t="shared" si="771"/>
        <v>-1.941560092</v>
      </c>
      <c r="Q768" s="6"/>
      <c r="R768" s="6"/>
      <c r="S768" s="6"/>
      <c r="T768" s="6"/>
      <c r="U768" s="6"/>
      <c r="V768" s="6"/>
      <c r="W768" s="6"/>
      <c r="X768" s="6"/>
      <c r="Y768" s="6"/>
      <c r="Z768" s="6"/>
      <c r="AA768" s="6"/>
      <c r="AB768" s="6"/>
      <c r="AC768" s="6"/>
      <c r="AD768" s="6"/>
      <c r="AE768" s="6"/>
      <c r="AF768" s="6"/>
      <c r="AG768" s="6"/>
    </row>
    <row r="769" ht="14.25" customHeight="1">
      <c r="A769" s="6"/>
      <c r="B769" s="6"/>
      <c r="C769" s="6">
        <v>762.0</v>
      </c>
      <c r="D769" s="6"/>
      <c r="E769" s="6">
        <v>7664278.883491182</v>
      </c>
      <c r="F769" s="6">
        <v>474.6225669484957</v>
      </c>
      <c r="G769" s="6">
        <v>4.700367531720324</v>
      </c>
      <c r="H769" s="6">
        <v>7598107.094202502</v>
      </c>
      <c r="I769" s="6">
        <v>472.2631817347555</v>
      </c>
      <c r="J769" s="6">
        <v>3.9612817650961274</v>
      </c>
      <c r="K769" s="6"/>
      <c r="L769" s="6"/>
      <c r="M769" s="6"/>
      <c r="N769" s="6">
        <f t="shared" ref="N769:P769" si="772">IF(LEN($C769)&gt;0,H769-E769,"")</f>
        <v>-66171.78929</v>
      </c>
      <c r="O769" s="6">
        <f t="shared" si="772"/>
        <v>-2.359385214</v>
      </c>
      <c r="P769" s="6">
        <f t="shared" si="772"/>
        <v>-0.7390857666</v>
      </c>
      <c r="Q769" s="6"/>
      <c r="R769" s="6"/>
      <c r="S769" s="6"/>
      <c r="T769" s="6"/>
      <c r="U769" s="6"/>
      <c r="V769" s="6"/>
      <c r="W769" s="6"/>
      <c r="X769" s="6"/>
      <c r="Y769" s="6"/>
      <c r="Z769" s="6"/>
      <c r="AA769" s="6"/>
      <c r="AB769" s="6"/>
      <c r="AC769" s="6"/>
      <c r="AD769" s="6"/>
      <c r="AE769" s="6"/>
      <c r="AF769" s="6"/>
      <c r="AG769" s="6"/>
    </row>
    <row r="770" ht="14.25" customHeight="1">
      <c r="A770" s="6"/>
      <c r="B770" s="6"/>
      <c r="C770" s="6">
        <v>763.0</v>
      </c>
      <c r="D770" s="6"/>
      <c r="E770" s="6">
        <v>5998639.342436198</v>
      </c>
      <c r="F770" s="6">
        <v>447.82180879367087</v>
      </c>
      <c r="G770" s="6">
        <v>5.39049549852956</v>
      </c>
      <c r="H770" s="6">
        <v>5937843.297849932</v>
      </c>
      <c r="I770" s="6">
        <v>444.8904696431847</v>
      </c>
      <c r="J770" s="6">
        <v>4.208470260788935</v>
      </c>
      <c r="K770" s="6"/>
      <c r="L770" s="6"/>
      <c r="M770" s="6"/>
      <c r="N770" s="6">
        <f t="shared" ref="N770:P770" si="773">IF(LEN($C770)&gt;0,H770-E770,"")</f>
        <v>-60796.04459</v>
      </c>
      <c r="O770" s="6">
        <f t="shared" si="773"/>
        <v>-2.93133915</v>
      </c>
      <c r="P770" s="6">
        <f t="shared" si="773"/>
        <v>-1.182025238</v>
      </c>
      <c r="Q770" s="6"/>
      <c r="R770" s="6"/>
      <c r="S770" s="6"/>
      <c r="T770" s="6"/>
      <c r="U770" s="6"/>
      <c r="V770" s="6"/>
      <c r="W770" s="6"/>
      <c r="X770" s="6"/>
      <c r="Y770" s="6"/>
      <c r="Z770" s="6"/>
      <c r="AA770" s="6"/>
      <c r="AB770" s="6"/>
      <c r="AC770" s="6"/>
      <c r="AD770" s="6"/>
      <c r="AE770" s="6"/>
      <c r="AF770" s="6"/>
      <c r="AG770" s="6"/>
    </row>
    <row r="771" ht="14.25" customHeight="1">
      <c r="A771" s="6"/>
      <c r="B771" s="6"/>
      <c r="C771" s="6">
        <v>764.0</v>
      </c>
      <c r="D771" s="6"/>
      <c r="E771" s="6">
        <v>7591108.306209429</v>
      </c>
      <c r="F771" s="6">
        <v>502.6061767247504</v>
      </c>
      <c r="G771" s="6">
        <v>5.35494420563354</v>
      </c>
      <c r="H771" s="6">
        <v>7513757.959091423</v>
      </c>
      <c r="I771" s="6">
        <v>498.803442376993</v>
      </c>
      <c r="J771" s="6">
        <v>4.649011265133774</v>
      </c>
      <c r="K771" s="6"/>
      <c r="L771" s="6"/>
      <c r="M771" s="6"/>
      <c r="N771" s="6">
        <f t="shared" ref="N771:P771" si="774">IF(LEN($C771)&gt;0,H771-E771,"")</f>
        <v>-77350.34712</v>
      </c>
      <c r="O771" s="6">
        <f t="shared" si="774"/>
        <v>-3.802734348</v>
      </c>
      <c r="P771" s="6">
        <f t="shared" si="774"/>
        <v>-0.7059329405</v>
      </c>
      <c r="Q771" s="6"/>
      <c r="R771" s="6"/>
      <c r="S771" s="6"/>
      <c r="T771" s="6"/>
      <c r="U771" s="6"/>
      <c r="V771" s="6"/>
      <c r="W771" s="6"/>
      <c r="X771" s="6"/>
      <c r="Y771" s="6"/>
      <c r="Z771" s="6"/>
      <c r="AA771" s="6"/>
      <c r="AB771" s="6"/>
      <c r="AC771" s="6"/>
      <c r="AD771" s="6"/>
      <c r="AE771" s="6"/>
      <c r="AF771" s="6"/>
      <c r="AG771" s="6"/>
    </row>
    <row r="772" ht="14.25" customHeight="1">
      <c r="A772" s="6"/>
      <c r="B772" s="6"/>
      <c r="C772" s="6">
        <v>765.0</v>
      </c>
      <c r="D772" s="6"/>
      <c r="E772" s="6">
        <v>7363791.34438253</v>
      </c>
      <c r="F772" s="6">
        <v>494.25294390289037</v>
      </c>
      <c r="G772" s="6">
        <v>4.912149423280946</v>
      </c>
      <c r="H772" s="6">
        <v>7276784.131453906</v>
      </c>
      <c r="I772" s="6">
        <v>489.76082219783825</v>
      </c>
      <c r="J772" s="6">
        <v>4.112020652351523</v>
      </c>
      <c r="K772" s="6"/>
      <c r="L772" s="6"/>
      <c r="M772" s="6"/>
      <c r="N772" s="6">
        <f t="shared" ref="N772:P772" si="775">IF(LEN($C772)&gt;0,H772-E772,"")</f>
        <v>-87007.21293</v>
      </c>
      <c r="O772" s="6">
        <f t="shared" si="775"/>
        <v>-4.492121705</v>
      </c>
      <c r="P772" s="6">
        <f t="shared" si="775"/>
        <v>-0.8001287709</v>
      </c>
      <c r="Q772" s="6"/>
      <c r="R772" s="6"/>
      <c r="S772" s="6"/>
      <c r="T772" s="6"/>
      <c r="U772" s="6"/>
      <c r="V772" s="6"/>
      <c r="W772" s="6"/>
      <c r="X772" s="6"/>
      <c r="Y772" s="6"/>
      <c r="Z772" s="6"/>
      <c r="AA772" s="6"/>
      <c r="AB772" s="6"/>
      <c r="AC772" s="6"/>
      <c r="AD772" s="6"/>
      <c r="AE772" s="6"/>
      <c r="AF772" s="6"/>
      <c r="AG772" s="6"/>
    </row>
    <row r="773" ht="14.25" customHeight="1">
      <c r="A773" s="6"/>
      <c r="B773" s="6"/>
      <c r="C773" s="6">
        <v>766.0</v>
      </c>
      <c r="D773" s="6"/>
      <c r="E773" s="6">
        <v>8477042.575737381</v>
      </c>
      <c r="F773" s="6">
        <v>491.71992387798457</v>
      </c>
      <c r="G773" s="6">
        <v>5.274088971631674</v>
      </c>
      <c r="H773" s="6">
        <v>8347306.960345112</v>
      </c>
      <c r="I773" s="6">
        <v>486.1757200758854</v>
      </c>
      <c r="J773" s="6">
        <v>3.9477560674599657</v>
      </c>
      <c r="K773" s="6"/>
      <c r="L773" s="6"/>
      <c r="M773" s="6"/>
      <c r="N773" s="6">
        <f t="shared" ref="N773:P773" si="776">IF(LEN($C773)&gt;0,H773-E773,"")</f>
        <v>-129735.6154</v>
      </c>
      <c r="O773" s="6">
        <f t="shared" si="776"/>
        <v>-5.544203802</v>
      </c>
      <c r="P773" s="6">
        <f t="shared" si="776"/>
        <v>-1.326332904</v>
      </c>
      <c r="Q773" s="6"/>
      <c r="R773" s="6"/>
      <c r="S773" s="6"/>
      <c r="T773" s="6"/>
      <c r="U773" s="6"/>
      <c r="V773" s="6"/>
      <c r="W773" s="6"/>
      <c r="X773" s="6"/>
      <c r="Y773" s="6"/>
      <c r="Z773" s="6"/>
      <c r="AA773" s="6"/>
      <c r="AB773" s="6"/>
      <c r="AC773" s="6"/>
      <c r="AD773" s="6"/>
      <c r="AE773" s="6"/>
      <c r="AF773" s="6"/>
      <c r="AG773" s="6"/>
    </row>
    <row r="774" ht="14.25" customHeight="1">
      <c r="A774" s="6"/>
      <c r="B774" s="6"/>
      <c r="C774" s="6">
        <v>767.0</v>
      </c>
      <c r="D774" s="6"/>
      <c r="E774" s="6">
        <v>6092639.756360606</v>
      </c>
      <c r="F774" s="6">
        <v>471.65816951605325</v>
      </c>
      <c r="G774" s="6">
        <v>5.184987706604189</v>
      </c>
      <c r="H774" s="6">
        <v>6050623.930668442</v>
      </c>
      <c r="I774" s="6">
        <v>470.25435498251414</v>
      </c>
      <c r="J774" s="6">
        <v>3.999244078049803</v>
      </c>
      <c r="K774" s="6"/>
      <c r="L774" s="6"/>
      <c r="M774" s="6"/>
      <c r="N774" s="6">
        <f t="shared" ref="N774:P774" si="777">IF(LEN($C774)&gt;0,H774-E774,"")</f>
        <v>-42015.82569</v>
      </c>
      <c r="O774" s="6">
        <f t="shared" si="777"/>
        <v>-1.403814534</v>
      </c>
      <c r="P774" s="6">
        <f t="shared" si="777"/>
        <v>-1.185743629</v>
      </c>
      <c r="Q774" s="6"/>
      <c r="R774" s="6"/>
      <c r="S774" s="6"/>
      <c r="T774" s="6"/>
      <c r="U774" s="6"/>
      <c r="V774" s="6"/>
      <c r="W774" s="6"/>
      <c r="X774" s="6"/>
      <c r="Y774" s="6"/>
      <c r="Z774" s="6"/>
      <c r="AA774" s="6"/>
      <c r="AB774" s="6"/>
      <c r="AC774" s="6"/>
      <c r="AD774" s="6"/>
      <c r="AE774" s="6"/>
      <c r="AF774" s="6"/>
      <c r="AG774" s="6"/>
    </row>
    <row r="775" ht="14.25" customHeight="1">
      <c r="A775" s="6"/>
      <c r="B775" s="6"/>
      <c r="C775" s="6">
        <v>768.0</v>
      </c>
      <c r="D775" s="6"/>
      <c r="E775" s="6">
        <v>7172635.45716573</v>
      </c>
      <c r="F775" s="6">
        <v>444.88305469981776</v>
      </c>
      <c r="G775" s="6">
        <v>5.321187234325912</v>
      </c>
      <c r="H775" s="6">
        <v>7106963.507826939</v>
      </c>
      <c r="I775" s="6">
        <v>441.5078090387422</v>
      </c>
      <c r="J775" s="6">
        <v>4.065791694272791</v>
      </c>
      <c r="K775" s="6"/>
      <c r="L775" s="6"/>
      <c r="M775" s="6"/>
      <c r="N775" s="6">
        <f t="shared" ref="N775:P775" si="778">IF(LEN($C775)&gt;0,H775-E775,"")</f>
        <v>-65671.94934</v>
      </c>
      <c r="O775" s="6">
        <f t="shared" si="778"/>
        <v>-3.375245661</v>
      </c>
      <c r="P775" s="6">
        <f t="shared" si="778"/>
        <v>-1.25539554</v>
      </c>
      <c r="Q775" s="6"/>
      <c r="R775" s="6"/>
      <c r="S775" s="6"/>
      <c r="T775" s="6"/>
      <c r="U775" s="6"/>
      <c r="V775" s="6"/>
      <c r="W775" s="6"/>
      <c r="X775" s="6"/>
      <c r="Y775" s="6"/>
      <c r="Z775" s="6"/>
      <c r="AA775" s="6"/>
      <c r="AB775" s="6"/>
      <c r="AC775" s="6"/>
      <c r="AD775" s="6"/>
      <c r="AE775" s="6"/>
      <c r="AF775" s="6"/>
      <c r="AG775" s="6"/>
    </row>
    <row r="776" ht="14.25" customHeight="1">
      <c r="A776" s="6"/>
      <c r="B776" s="6"/>
      <c r="C776" s="6">
        <v>769.0</v>
      </c>
      <c r="D776" s="6"/>
      <c r="E776" s="6">
        <v>9065631.652000634</v>
      </c>
      <c r="F776" s="6">
        <v>459.3285570572977</v>
      </c>
      <c r="G776" s="6">
        <v>4.820876720394332</v>
      </c>
      <c r="H776" s="6">
        <v>8950539.462520106</v>
      </c>
      <c r="I776" s="6">
        <v>454.1024387514862</v>
      </c>
      <c r="J776" s="6">
        <v>3.8726644294244865</v>
      </c>
      <c r="K776" s="6"/>
      <c r="L776" s="6"/>
      <c r="M776" s="6"/>
      <c r="N776" s="6">
        <f t="shared" ref="N776:P776" si="779">IF(LEN($C776)&gt;0,H776-E776,"")</f>
        <v>-115092.1895</v>
      </c>
      <c r="O776" s="6">
        <f t="shared" si="779"/>
        <v>-5.226118306</v>
      </c>
      <c r="P776" s="6">
        <f t="shared" si="779"/>
        <v>-0.948212291</v>
      </c>
      <c r="Q776" s="6"/>
      <c r="R776" s="6"/>
      <c r="S776" s="6"/>
      <c r="T776" s="6"/>
      <c r="U776" s="6"/>
      <c r="V776" s="6"/>
      <c r="W776" s="6"/>
      <c r="X776" s="6"/>
      <c r="Y776" s="6"/>
      <c r="Z776" s="6"/>
      <c r="AA776" s="6"/>
      <c r="AB776" s="6"/>
      <c r="AC776" s="6"/>
      <c r="AD776" s="6"/>
      <c r="AE776" s="6"/>
      <c r="AF776" s="6"/>
      <c r="AG776" s="6"/>
    </row>
    <row r="777" ht="14.25" customHeight="1">
      <c r="A777" s="6"/>
      <c r="B777" s="6"/>
      <c r="C777" s="6">
        <v>770.0</v>
      </c>
      <c r="D777" s="6"/>
      <c r="E777" s="6">
        <v>6516321.681447139</v>
      </c>
      <c r="F777" s="6">
        <v>476.25033493870103</v>
      </c>
      <c r="G777" s="6">
        <v>4.267513414394956</v>
      </c>
      <c r="H777" s="6">
        <v>6470718.828405743</v>
      </c>
      <c r="I777" s="6">
        <v>475.0182766774507</v>
      </c>
      <c r="J777" s="6">
        <v>3.3883069344610495</v>
      </c>
      <c r="K777" s="6"/>
      <c r="L777" s="6"/>
      <c r="M777" s="6"/>
      <c r="N777" s="6">
        <f t="shared" ref="N777:P777" si="780">IF(LEN($C777)&gt;0,H777-E777,"")</f>
        <v>-45602.85304</v>
      </c>
      <c r="O777" s="6">
        <f t="shared" si="780"/>
        <v>-1.232058261</v>
      </c>
      <c r="P777" s="6">
        <f t="shared" si="780"/>
        <v>-0.8792064799</v>
      </c>
      <c r="Q777" s="6"/>
      <c r="R777" s="6"/>
      <c r="S777" s="6"/>
      <c r="T777" s="6"/>
      <c r="U777" s="6"/>
      <c r="V777" s="6"/>
      <c r="W777" s="6"/>
      <c r="X777" s="6"/>
      <c r="Y777" s="6"/>
      <c r="Z777" s="6"/>
      <c r="AA777" s="6"/>
      <c r="AB777" s="6"/>
      <c r="AC777" s="6"/>
      <c r="AD777" s="6"/>
      <c r="AE777" s="6"/>
      <c r="AF777" s="6"/>
      <c r="AG777" s="6"/>
    </row>
    <row r="778" ht="14.25" customHeight="1">
      <c r="A778" s="6"/>
      <c r="B778" s="6"/>
      <c r="C778" s="6">
        <v>771.0</v>
      </c>
      <c r="D778" s="6"/>
      <c r="E778" s="6">
        <v>7131499.989975464</v>
      </c>
      <c r="F778" s="6">
        <v>482.776395593186</v>
      </c>
      <c r="G778" s="6">
        <v>5.009019774095561</v>
      </c>
      <c r="H778" s="6">
        <v>7047444.525194154</v>
      </c>
      <c r="I778" s="6">
        <v>477.57650366558806</v>
      </c>
      <c r="J778" s="6">
        <v>3.675502524194887</v>
      </c>
      <c r="K778" s="6"/>
      <c r="L778" s="6"/>
      <c r="M778" s="6"/>
      <c r="N778" s="6">
        <f t="shared" ref="N778:P778" si="781">IF(LEN($C778)&gt;0,H778-E778,"")</f>
        <v>-84055.46478</v>
      </c>
      <c r="O778" s="6">
        <f t="shared" si="781"/>
        <v>-5.199891928</v>
      </c>
      <c r="P778" s="6">
        <f t="shared" si="781"/>
        <v>-1.33351725</v>
      </c>
      <c r="Q778" s="6"/>
      <c r="R778" s="6"/>
      <c r="S778" s="6"/>
      <c r="T778" s="6"/>
      <c r="U778" s="6"/>
      <c r="V778" s="6"/>
      <c r="W778" s="6"/>
      <c r="X778" s="6"/>
      <c r="Y778" s="6"/>
      <c r="Z778" s="6"/>
      <c r="AA778" s="6"/>
      <c r="AB778" s="6"/>
      <c r="AC778" s="6"/>
      <c r="AD778" s="6"/>
      <c r="AE778" s="6"/>
      <c r="AF778" s="6"/>
      <c r="AG778" s="6"/>
    </row>
    <row r="779" ht="14.25" customHeight="1">
      <c r="A779" s="6"/>
      <c r="B779" s="6"/>
      <c r="C779" s="6">
        <v>772.0</v>
      </c>
      <c r="D779" s="6"/>
      <c r="E779" s="6">
        <v>1.0068719033906907E7</v>
      </c>
      <c r="F779" s="6">
        <v>514.5362980324907</v>
      </c>
      <c r="G779" s="6">
        <v>4.742049940807157</v>
      </c>
      <c r="H779" s="6">
        <v>9917817.312559813</v>
      </c>
      <c r="I779" s="6">
        <v>507.1775899605125</v>
      </c>
      <c r="J779" s="6">
        <v>3.5536032066467276</v>
      </c>
      <c r="K779" s="6"/>
      <c r="L779" s="6"/>
      <c r="M779" s="6"/>
      <c r="N779" s="6">
        <f t="shared" ref="N779:P779" si="782">IF(LEN($C779)&gt;0,H779-E779,"")</f>
        <v>-150901.7213</v>
      </c>
      <c r="O779" s="6">
        <f t="shared" si="782"/>
        <v>-7.358708072</v>
      </c>
      <c r="P779" s="6">
        <f t="shared" si="782"/>
        <v>-1.188446734</v>
      </c>
      <c r="Q779" s="6"/>
      <c r="R779" s="6"/>
      <c r="S779" s="6"/>
      <c r="T779" s="6"/>
      <c r="U779" s="6"/>
      <c r="V779" s="6"/>
      <c r="W779" s="6"/>
      <c r="X779" s="6"/>
      <c r="Y779" s="6"/>
      <c r="Z779" s="6"/>
      <c r="AA779" s="6"/>
      <c r="AB779" s="6"/>
      <c r="AC779" s="6"/>
      <c r="AD779" s="6"/>
      <c r="AE779" s="6"/>
      <c r="AF779" s="6"/>
      <c r="AG779" s="6"/>
    </row>
    <row r="780" ht="14.25" customHeight="1">
      <c r="A780" s="6"/>
      <c r="B780" s="6"/>
      <c r="C780" s="6">
        <v>773.0</v>
      </c>
      <c r="D780" s="6"/>
      <c r="E780" s="6">
        <v>8564818.920817764</v>
      </c>
      <c r="F780" s="6">
        <v>502.49427663656706</v>
      </c>
      <c r="G780" s="6">
        <v>4.798389415031165</v>
      </c>
      <c r="H780" s="6">
        <v>8450821.428563217</v>
      </c>
      <c r="I780" s="6">
        <v>498.8260101683107</v>
      </c>
      <c r="J780" s="6">
        <v>3.4865138710757644</v>
      </c>
      <c r="K780" s="6"/>
      <c r="L780" s="6"/>
      <c r="M780" s="6"/>
      <c r="N780" s="6">
        <f t="shared" ref="N780:P780" si="783">IF(LEN($C780)&gt;0,H780-E780,"")</f>
        <v>-113997.4923</v>
      </c>
      <c r="O780" s="6">
        <f t="shared" si="783"/>
        <v>-3.668266468</v>
      </c>
      <c r="P780" s="6">
        <f t="shared" si="783"/>
        <v>-1.311875544</v>
      </c>
      <c r="Q780" s="6"/>
      <c r="R780" s="6"/>
      <c r="S780" s="6"/>
      <c r="T780" s="6"/>
      <c r="U780" s="6"/>
      <c r="V780" s="6"/>
      <c r="W780" s="6"/>
      <c r="X780" s="6"/>
      <c r="Y780" s="6"/>
      <c r="Z780" s="6"/>
      <c r="AA780" s="6"/>
      <c r="AB780" s="6"/>
      <c r="AC780" s="6"/>
      <c r="AD780" s="6"/>
      <c r="AE780" s="6"/>
      <c r="AF780" s="6"/>
      <c r="AG780" s="6"/>
    </row>
    <row r="781" ht="14.25" customHeight="1">
      <c r="A781" s="6"/>
      <c r="B781" s="6"/>
      <c r="C781" s="6">
        <v>774.0</v>
      </c>
      <c r="D781" s="6"/>
      <c r="E781" s="6">
        <v>7484301.821583176</v>
      </c>
      <c r="F781" s="6">
        <v>477.9149889598848</v>
      </c>
      <c r="G781" s="6">
        <v>4.717503506138637</v>
      </c>
      <c r="H781" s="6">
        <v>7394724.3792805895</v>
      </c>
      <c r="I781" s="6">
        <v>474.41638973648713</v>
      </c>
      <c r="J781" s="6">
        <v>3.9382147075160465</v>
      </c>
      <c r="K781" s="6"/>
      <c r="L781" s="6"/>
      <c r="M781" s="6"/>
      <c r="N781" s="6">
        <f t="shared" ref="N781:P781" si="784">IF(LEN($C781)&gt;0,H781-E781,"")</f>
        <v>-89577.4423</v>
      </c>
      <c r="O781" s="6">
        <f t="shared" si="784"/>
        <v>-3.498599223</v>
      </c>
      <c r="P781" s="6">
        <f t="shared" si="784"/>
        <v>-0.7792887986</v>
      </c>
      <c r="Q781" s="6"/>
      <c r="R781" s="6"/>
      <c r="S781" s="6"/>
      <c r="T781" s="6"/>
      <c r="U781" s="6"/>
      <c r="V781" s="6"/>
      <c r="W781" s="6"/>
      <c r="X781" s="6"/>
      <c r="Y781" s="6"/>
      <c r="Z781" s="6"/>
      <c r="AA781" s="6"/>
      <c r="AB781" s="6"/>
      <c r="AC781" s="6"/>
      <c r="AD781" s="6"/>
      <c r="AE781" s="6"/>
      <c r="AF781" s="6"/>
      <c r="AG781" s="6"/>
    </row>
    <row r="782" ht="14.25" customHeight="1">
      <c r="A782" s="6"/>
      <c r="B782" s="6"/>
      <c r="C782" s="6">
        <v>775.0</v>
      </c>
      <c r="D782" s="6"/>
      <c r="E782" s="6">
        <v>8617428.944579124</v>
      </c>
      <c r="F782" s="6">
        <v>507.23662305042757</v>
      </c>
      <c r="G782" s="6">
        <v>5.121200576462795</v>
      </c>
      <c r="H782" s="6">
        <v>8519041.841356698</v>
      </c>
      <c r="I782" s="6">
        <v>503.1348187624479</v>
      </c>
      <c r="J782" s="6">
        <v>4.076451579232659</v>
      </c>
      <c r="K782" s="6"/>
      <c r="L782" s="6"/>
      <c r="M782" s="6"/>
      <c r="N782" s="6">
        <f t="shared" ref="N782:P782" si="785">IF(LEN($C782)&gt;0,H782-E782,"")</f>
        <v>-98387.10322</v>
      </c>
      <c r="O782" s="6">
        <f t="shared" si="785"/>
        <v>-4.101804288</v>
      </c>
      <c r="P782" s="6">
        <f t="shared" si="785"/>
        <v>-1.044748997</v>
      </c>
      <c r="Q782" s="6"/>
      <c r="R782" s="6"/>
      <c r="S782" s="6"/>
      <c r="T782" s="6"/>
      <c r="U782" s="6"/>
      <c r="V782" s="6"/>
      <c r="W782" s="6"/>
      <c r="X782" s="6"/>
      <c r="Y782" s="6"/>
      <c r="Z782" s="6"/>
      <c r="AA782" s="6"/>
      <c r="AB782" s="6"/>
      <c r="AC782" s="6"/>
      <c r="AD782" s="6"/>
      <c r="AE782" s="6"/>
      <c r="AF782" s="6"/>
      <c r="AG782" s="6"/>
    </row>
    <row r="783" ht="14.25" customHeight="1">
      <c r="A783" s="6"/>
      <c r="B783" s="6"/>
      <c r="C783" s="6">
        <v>776.0</v>
      </c>
      <c r="D783" s="6"/>
      <c r="E783" s="6">
        <v>7489971.518749823</v>
      </c>
      <c r="F783" s="6">
        <v>494.16095430807746</v>
      </c>
      <c r="G783" s="6">
        <v>4.758271439526695</v>
      </c>
      <c r="H783" s="6">
        <v>7253677.7587924395</v>
      </c>
      <c r="I783" s="6">
        <v>483.34285947665757</v>
      </c>
      <c r="J783" s="6">
        <v>2.8198462607278687</v>
      </c>
      <c r="K783" s="6"/>
      <c r="L783" s="6"/>
      <c r="M783" s="6"/>
      <c r="N783" s="6">
        <f t="shared" ref="N783:P783" si="786">IF(LEN($C783)&gt;0,H783-E783,"")</f>
        <v>-236293.76</v>
      </c>
      <c r="O783" s="6">
        <f t="shared" si="786"/>
        <v>-10.81809483</v>
      </c>
      <c r="P783" s="6">
        <f t="shared" si="786"/>
        <v>-1.938425179</v>
      </c>
      <c r="Q783" s="6"/>
      <c r="R783" s="6"/>
      <c r="S783" s="6"/>
      <c r="T783" s="6"/>
      <c r="U783" s="6"/>
      <c r="V783" s="6"/>
      <c r="W783" s="6"/>
      <c r="X783" s="6"/>
      <c r="Y783" s="6"/>
      <c r="Z783" s="6"/>
      <c r="AA783" s="6"/>
      <c r="AB783" s="6"/>
      <c r="AC783" s="6"/>
      <c r="AD783" s="6"/>
      <c r="AE783" s="6"/>
      <c r="AF783" s="6"/>
      <c r="AG783" s="6"/>
    </row>
    <row r="784" ht="14.25" customHeight="1">
      <c r="A784" s="6"/>
      <c r="B784" s="6"/>
      <c r="C784" s="6">
        <v>777.0</v>
      </c>
      <c r="D784" s="6"/>
      <c r="E784" s="6">
        <v>8106159.906744233</v>
      </c>
      <c r="F784" s="6">
        <v>492.1811154842661</v>
      </c>
      <c r="G784" s="6">
        <v>6.557907832363728</v>
      </c>
      <c r="H784" s="6">
        <v>7990142.973672805</v>
      </c>
      <c r="I784" s="6">
        <v>487.34784845993534</v>
      </c>
      <c r="J784" s="6">
        <v>4.909504447473539</v>
      </c>
      <c r="K784" s="6"/>
      <c r="L784" s="6"/>
      <c r="M784" s="6"/>
      <c r="N784" s="6">
        <f t="shared" ref="N784:P784" si="787">IF(LEN($C784)&gt;0,H784-E784,"")</f>
        <v>-116016.9331</v>
      </c>
      <c r="O784" s="6">
        <f t="shared" si="787"/>
        <v>-4.833267024</v>
      </c>
      <c r="P784" s="6">
        <f t="shared" si="787"/>
        <v>-1.648403385</v>
      </c>
      <c r="Q784" s="6"/>
      <c r="R784" s="6"/>
      <c r="S784" s="6"/>
      <c r="T784" s="6"/>
      <c r="U784" s="6"/>
      <c r="V784" s="6"/>
      <c r="W784" s="6"/>
      <c r="X784" s="6"/>
      <c r="Y784" s="6"/>
      <c r="Z784" s="6"/>
      <c r="AA784" s="6"/>
      <c r="AB784" s="6"/>
      <c r="AC784" s="6"/>
      <c r="AD784" s="6"/>
      <c r="AE784" s="6"/>
      <c r="AF784" s="6"/>
      <c r="AG784" s="6"/>
    </row>
    <row r="785" ht="14.25" customHeight="1">
      <c r="A785" s="6"/>
      <c r="B785" s="6"/>
      <c r="C785" s="6">
        <v>778.0</v>
      </c>
      <c r="D785" s="6"/>
      <c r="E785" s="6">
        <v>8112234.026296979</v>
      </c>
      <c r="F785" s="6">
        <v>478.1922647253187</v>
      </c>
      <c r="G785" s="6">
        <v>6.353242882731918</v>
      </c>
      <c r="H785" s="6">
        <v>7953538.876055971</v>
      </c>
      <c r="I785" s="6">
        <v>470.58075776582086</v>
      </c>
      <c r="J785" s="6">
        <v>4.601925700510498</v>
      </c>
      <c r="K785" s="6"/>
      <c r="L785" s="6"/>
      <c r="M785" s="6"/>
      <c r="N785" s="6">
        <f t="shared" ref="N785:P785" si="788">IF(LEN($C785)&gt;0,H785-E785,"")</f>
        <v>-158695.1502</v>
      </c>
      <c r="O785" s="6">
        <f t="shared" si="788"/>
        <v>-7.611506959</v>
      </c>
      <c r="P785" s="6">
        <f t="shared" si="788"/>
        <v>-1.751317182</v>
      </c>
      <c r="Q785" s="6"/>
      <c r="R785" s="6"/>
      <c r="S785" s="6"/>
      <c r="T785" s="6"/>
      <c r="U785" s="6"/>
      <c r="V785" s="6"/>
      <c r="W785" s="6"/>
      <c r="X785" s="6"/>
      <c r="Y785" s="6"/>
      <c r="Z785" s="6"/>
      <c r="AA785" s="6"/>
      <c r="AB785" s="6"/>
      <c r="AC785" s="6"/>
      <c r="AD785" s="6"/>
      <c r="AE785" s="6"/>
      <c r="AF785" s="6"/>
      <c r="AG785" s="6"/>
    </row>
    <row r="786" ht="14.25" customHeight="1">
      <c r="A786" s="6"/>
      <c r="B786" s="6"/>
      <c r="C786" s="6">
        <v>779.0</v>
      </c>
      <c r="D786" s="6"/>
      <c r="E786" s="6">
        <v>5980969.668588268</v>
      </c>
      <c r="F786" s="6">
        <v>475.26666386076346</v>
      </c>
      <c r="G786" s="6">
        <v>4.887747461727041</v>
      </c>
      <c r="H786" s="6">
        <v>5878270.642862756</v>
      </c>
      <c r="I786" s="6">
        <v>470.59183697676264</v>
      </c>
      <c r="J786" s="6">
        <v>3.858868142452525</v>
      </c>
      <c r="K786" s="6"/>
      <c r="L786" s="6"/>
      <c r="M786" s="6"/>
      <c r="N786" s="6">
        <f t="shared" ref="N786:P786" si="789">IF(LEN($C786)&gt;0,H786-E786,"")</f>
        <v>-102699.0257</v>
      </c>
      <c r="O786" s="6">
        <f t="shared" si="789"/>
        <v>-4.674826884</v>
      </c>
      <c r="P786" s="6">
        <f t="shared" si="789"/>
        <v>-1.028879319</v>
      </c>
      <c r="Q786" s="6"/>
      <c r="R786" s="6"/>
      <c r="S786" s="6"/>
      <c r="T786" s="6"/>
      <c r="U786" s="6"/>
      <c r="V786" s="6"/>
      <c r="W786" s="6"/>
      <c r="X786" s="6"/>
      <c r="Y786" s="6"/>
      <c r="Z786" s="6"/>
      <c r="AA786" s="6"/>
      <c r="AB786" s="6"/>
      <c r="AC786" s="6"/>
      <c r="AD786" s="6"/>
      <c r="AE786" s="6"/>
      <c r="AF786" s="6"/>
      <c r="AG786" s="6"/>
    </row>
    <row r="787" ht="14.25" customHeight="1">
      <c r="A787" s="6"/>
      <c r="B787" s="6"/>
      <c r="C787" s="6">
        <v>780.0</v>
      </c>
      <c r="D787" s="6"/>
      <c r="E787" s="6">
        <v>7763378.416150112</v>
      </c>
      <c r="F787" s="6">
        <v>455.780942211611</v>
      </c>
      <c r="G787" s="6">
        <v>5.085948837879281</v>
      </c>
      <c r="H787" s="6">
        <v>7659321.251940651</v>
      </c>
      <c r="I787" s="6">
        <v>452.0906153466756</v>
      </c>
      <c r="J787" s="6">
        <v>3.8872773812920927</v>
      </c>
      <c r="K787" s="6"/>
      <c r="L787" s="6"/>
      <c r="M787" s="6"/>
      <c r="N787" s="6">
        <f t="shared" ref="N787:P787" si="790">IF(LEN($C787)&gt;0,H787-E787,"")</f>
        <v>-104057.1642</v>
      </c>
      <c r="O787" s="6">
        <f t="shared" si="790"/>
        <v>-3.690326865</v>
      </c>
      <c r="P787" s="6">
        <f t="shared" si="790"/>
        <v>-1.198671457</v>
      </c>
      <c r="Q787" s="6"/>
      <c r="R787" s="6"/>
      <c r="S787" s="6"/>
      <c r="T787" s="6"/>
      <c r="U787" s="6"/>
      <c r="V787" s="6"/>
      <c r="W787" s="6"/>
      <c r="X787" s="6"/>
      <c r="Y787" s="6"/>
      <c r="Z787" s="6"/>
      <c r="AA787" s="6"/>
      <c r="AB787" s="6"/>
      <c r="AC787" s="6"/>
      <c r="AD787" s="6"/>
      <c r="AE787" s="6"/>
      <c r="AF787" s="6"/>
      <c r="AG787" s="6"/>
    </row>
    <row r="788" ht="14.25" customHeight="1">
      <c r="A788" s="6"/>
      <c r="B788" s="6"/>
      <c r="C788" s="6">
        <v>781.0</v>
      </c>
      <c r="D788" s="6"/>
      <c r="E788" s="6">
        <v>7475021.005689653</v>
      </c>
      <c r="F788" s="6">
        <v>485.53136428969214</v>
      </c>
      <c r="G788" s="6">
        <v>5.7192689433154875</v>
      </c>
      <c r="H788" s="6">
        <v>7352702.402402505</v>
      </c>
      <c r="I788" s="6">
        <v>481.0144355225659</v>
      </c>
      <c r="J788" s="6">
        <v>4.162899898166281</v>
      </c>
      <c r="K788" s="6"/>
      <c r="L788" s="6"/>
      <c r="M788" s="6"/>
      <c r="N788" s="6">
        <f t="shared" ref="N788:P788" si="791">IF(LEN($C788)&gt;0,H788-E788,"")</f>
        <v>-122318.6033</v>
      </c>
      <c r="O788" s="6">
        <f t="shared" si="791"/>
        <v>-4.516928767</v>
      </c>
      <c r="P788" s="6">
        <f t="shared" si="791"/>
        <v>-1.556369045</v>
      </c>
      <c r="Q788" s="6"/>
      <c r="R788" s="6"/>
      <c r="S788" s="6"/>
      <c r="T788" s="6"/>
      <c r="U788" s="6"/>
      <c r="V788" s="6"/>
      <c r="W788" s="6"/>
      <c r="X788" s="6"/>
      <c r="Y788" s="6"/>
      <c r="Z788" s="6"/>
      <c r="AA788" s="6"/>
      <c r="AB788" s="6"/>
      <c r="AC788" s="6"/>
      <c r="AD788" s="6"/>
      <c r="AE788" s="6"/>
      <c r="AF788" s="6"/>
      <c r="AG788" s="6"/>
    </row>
    <row r="789" ht="14.25" customHeight="1">
      <c r="A789" s="6"/>
      <c r="B789" s="6"/>
      <c r="C789" s="6">
        <v>782.0</v>
      </c>
      <c r="D789" s="6"/>
      <c r="E789" s="6">
        <v>7374303.728647268</v>
      </c>
      <c r="F789" s="6">
        <v>477.3316869973744</v>
      </c>
      <c r="G789" s="6">
        <v>3.8074130344681905</v>
      </c>
      <c r="H789" s="6">
        <v>7325012.045827903</v>
      </c>
      <c r="I789" s="6">
        <v>474.6237036357646</v>
      </c>
      <c r="J789" s="6">
        <v>3.1346715400105873</v>
      </c>
      <c r="K789" s="6"/>
      <c r="L789" s="6"/>
      <c r="M789" s="6"/>
      <c r="N789" s="6">
        <f t="shared" ref="N789:P789" si="792">IF(LEN($C789)&gt;0,H789-E789,"")</f>
        <v>-49291.68282</v>
      </c>
      <c r="O789" s="6">
        <f t="shared" si="792"/>
        <v>-2.707983362</v>
      </c>
      <c r="P789" s="6">
        <f t="shared" si="792"/>
        <v>-0.6727414945</v>
      </c>
      <c r="Q789" s="6"/>
      <c r="R789" s="6"/>
      <c r="S789" s="6"/>
      <c r="T789" s="6"/>
      <c r="U789" s="6"/>
      <c r="V789" s="6"/>
      <c r="W789" s="6"/>
      <c r="X789" s="6"/>
      <c r="Y789" s="6"/>
      <c r="Z789" s="6"/>
      <c r="AA789" s="6"/>
      <c r="AB789" s="6"/>
      <c r="AC789" s="6"/>
      <c r="AD789" s="6"/>
      <c r="AE789" s="6"/>
      <c r="AF789" s="6"/>
      <c r="AG789" s="6"/>
    </row>
    <row r="790" ht="14.25" customHeight="1">
      <c r="A790" s="6"/>
      <c r="B790" s="6"/>
      <c r="C790" s="6">
        <v>783.0</v>
      </c>
      <c r="D790" s="6"/>
      <c r="E790" s="6">
        <v>6934725.892789167</v>
      </c>
      <c r="F790" s="6">
        <v>474.644378227843</v>
      </c>
      <c r="G790" s="6">
        <v>7.2322567033321095</v>
      </c>
      <c r="H790" s="6">
        <v>6822702.069889198</v>
      </c>
      <c r="I790" s="6">
        <v>470.67180651765915</v>
      </c>
      <c r="J790" s="6">
        <v>5.520647599945018</v>
      </c>
      <c r="K790" s="6"/>
      <c r="L790" s="6"/>
      <c r="M790" s="6"/>
      <c r="N790" s="6">
        <f t="shared" ref="N790:P790" si="793">IF(LEN($C790)&gt;0,H790-E790,"")</f>
        <v>-112023.8229</v>
      </c>
      <c r="O790" s="6">
        <f t="shared" si="793"/>
        <v>-3.97257171</v>
      </c>
      <c r="P790" s="6">
        <f t="shared" si="793"/>
        <v>-1.711609103</v>
      </c>
      <c r="Q790" s="6"/>
      <c r="R790" s="6"/>
      <c r="S790" s="6"/>
      <c r="T790" s="6"/>
      <c r="U790" s="6"/>
      <c r="V790" s="6"/>
      <c r="W790" s="6"/>
      <c r="X790" s="6"/>
      <c r="Y790" s="6"/>
      <c r="Z790" s="6"/>
      <c r="AA790" s="6"/>
      <c r="AB790" s="6"/>
      <c r="AC790" s="6"/>
      <c r="AD790" s="6"/>
      <c r="AE790" s="6"/>
      <c r="AF790" s="6"/>
      <c r="AG790" s="6"/>
    </row>
    <row r="791" ht="14.25" customHeight="1">
      <c r="A791" s="6"/>
      <c r="B791" s="6"/>
      <c r="C791" s="6">
        <v>784.0</v>
      </c>
      <c r="D791" s="6"/>
      <c r="E791" s="6">
        <v>6884373.287989983</v>
      </c>
      <c r="F791" s="6">
        <v>444.19348356013205</v>
      </c>
      <c r="G791" s="6">
        <v>3.7373888997603633</v>
      </c>
      <c r="H791" s="6">
        <v>6802659.0708286455</v>
      </c>
      <c r="I791" s="6">
        <v>439.66138380470727</v>
      </c>
      <c r="J791" s="6">
        <v>2.6312772357935494</v>
      </c>
      <c r="K791" s="6"/>
      <c r="L791" s="6"/>
      <c r="M791" s="6"/>
      <c r="N791" s="6">
        <f t="shared" ref="N791:P791" si="794">IF(LEN($C791)&gt;0,H791-E791,"")</f>
        <v>-81714.21716</v>
      </c>
      <c r="O791" s="6">
        <f t="shared" si="794"/>
        <v>-4.532099755</v>
      </c>
      <c r="P791" s="6">
        <f t="shared" si="794"/>
        <v>-1.106111664</v>
      </c>
      <c r="Q791" s="6"/>
      <c r="R791" s="6"/>
      <c r="S791" s="6"/>
      <c r="T791" s="6"/>
      <c r="U791" s="6"/>
      <c r="V791" s="6"/>
      <c r="W791" s="6"/>
      <c r="X791" s="6"/>
      <c r="Y791" s="6"/>
      <c r="Z791" s="6"/>
      <c r="AA791" s="6"/>
      <c r="AB791" s="6"/>
      <c r="AC791" s="6"/>
      <c r="AD791" s="6"/>
      <c r="AE791" s="6"/>
      <c r="AF791" s="6"/>
      <c r="AG791" s="6"/>
    </row>
    <row r="792" ht="14.25" customHeight="1">
      <c r="A792" s="6"/>
      <c r="B792" s="6"/>
      <c r="C792" s="6">
        <v>785.0</v>
      </c>
      <c r="D792" s="6"/>
      <c r="E792" s="6">
        <v>6568886.497272756</v>
      </c>
      <c r="F792" s="6">
        <v>467.21760020852605</v>
      </c>
      <c r="G792" s="6">
        <v>4.405841693729421</v>
      </c>
      <c r="H792" s="6">
        <v>6479104.832018858</v>
      </c>
      <c r="I792" s="6">
        <v>464.6462476093154</v>
      </c>
      <c r="J792" s="6">
        <v>3.1941531618281456</v>
      </c>
      <c r="K792" s="6"/>
      <c r="L792" s="6"/>
      <c r="M792" s="6"/>
      <c r="N792" s="6">
        <f t="shared" ref="N792:P792" si="795">IF(LEN($C792)&gt;0,H792-E792,"")</f>
        <v>-89781.66525</v>
      </c>
      <c r="O792" s="6">
        <f t="shared" si="795"/>
        <v>-2.571352599</v>
      </c>
      <c r="P792" s="6">
        <f t="shared" si="795"/>
        <v>-1.211688532</v>
      </c>
      <c r="Q792" s="6"/>
      <c r="R792" s="6"/>
      <c r="S792" s="6"/>
      <c r="T792" s="6"/>
      <c r="U792" s="6"/>
      <c r="V792" s="6"/>
      <c r="W792" s="6"/>
      <c r="X792" s="6"/>
      <c r="Y792" s="6"/>
      <c r="Z792" s="6"/>
      <c r="AA792" s="6"/>
      <c r="AB792" s="6"/>
      <c r="AC792" s="6"/>
      <c r="AD792" s="6"/>
      <c r="AE792" s="6"/>
      <c r="AF792" s="6"/>
      <c r="AG792" s="6"/>
    </row>
    <row r="793" ht="14.25" customHeight="1">
      <c r="A793" s="6"/>
      <c r="B793" s="6"/>
      <c r="C793" s="6">
        <v>786.0</v>
      </c>
      <c r="D793" s="6"/>
      <c r="E793" s="6">
        <v>8690142.095955785</v>
      </c>
      <c r="F793" s="6">
        <v>472.5225330020706</v>
      </c>
      <c r="G793" s="6">
        <v>4.843262648806194</v>
      </c>
      <c r="H793" s="6">
        <v>8527209.453657778</v>
      </c>
      <c r="I793" s="6">
        <v>464.64583924633604</v>
      </c>
      <c r="J793" s="6">
        <v>3.5427374956894013</v>
      </c>
      <c r="K793" s="6"/>
      <c r="L793" s="6"/>
      <c r="M793" s="6"/>
      <c r="N793" s="6">
        <f t="shared" ref="N793:P793" si="796">IF(LEN($C793)&gt;0,H793-E793,"")</f>
        <v>-162932.6423</v>
      </c>
      <c r="O793" s="6">
        <f t="shared" si="796"/>
        <v>-7.876693756</v>
      </c>
      <c r="P793" s="6">
        <f t="shared" si="796"/>
        <v>-1.300525153</v>
      </c>
      <c r="Q793" s="6"/>
      <c r="R793" s="6"/>
      <c r="S793" s="6"/>
      <c r="T793" s="6"/>
      <c r="U793" s="6"/>
      <c r="V793" s="6"/>
      <c r="W793" s="6"/>
      <c r="X793" s="6"/>
      <c r="Y793" s="6"/>
      <c r="Z793" s="6"/>
      <c r="AA793" s="6"/>
      <c r="AB793" s="6"/>
      <c r="AC793" s="6"/>
      <c r="AD793" s="6"/>
      <c r="AE793" s="6"/>
      <c r="AF793" s="6"/>
      <c r="AG793" s="6"/>
    </row>
    <row r="794" ht="14.25" customHeight="1">
      <c r="A794" s="6"/>
      <c r="B794" s="6"/>
      <c r="C794" s="6">
        <v>787.0</v>
      </c>
      <c r="D794" s="6"/>
      <c r="E794" s="6">
        <v>6092306.378924976</v>
      </c>
      <c r="F794" s="6">
        <v>491.124891753461</v>
      </c>
      <c r="G794" s="6">
        <v>5.2161289967808555</v>
      </c>
      <c r="H794" s="6">
        <v>5997583.99781114</v>
      </c>
      <c r="I794" s="6">
        <v>488.6738398665617</v>
      </c>
      <c r="J794" s="6">
        <v>4.319952705564969</v>
      </c>
      <c r="K794" s="6"/>
      <c r="L794" s="6"/>
      <c r="M794" s="6"/>
      <c r="N794" s="6">
        <f t="shared" ref="N794:P794" si="797">IF(LEN($C794)&gt;0,H794-E794,"")</f>
        <v>-94722.38111</v>
      </c>
      <c r="O794" s="6">
        <f t="shared" si="797"/>
        <v>-2.451051887</v>
      </c>
      <c r="P794" s="6">
        <f t="shared" si="797"/>
        <v>-0.8961762912</v>
      </c>
      <c r="Q794" s="6"/>
      <c r="R794" s="6"/>
      <c r="S794" s="6"/>
      <c r="T794" s="6"/>
      <c r="U794" s="6"/>
      <c r="V794" s="6"/>
      <c r="W794" s="6"/>
      <c r="X794" s="6"/>
      <c r="Y794" s="6"/>
      <c r="Z794" s="6"/>
      <c r="AA794" s="6"/>
      <c r="AB794" s="6"/>
      <c r="AC794" s="6"/>
      <c r="AD794" s="6"/>
      <c r="AE794" s="6"/>
      <c r="AF794" s="6"/>
      <c r="AG794" s="6"/>
    </row>
    <row r="795" ht="14.25" customHeight="1">
      <c r="A795" s="6"/>
      <c r="B795" s="6"/>
      <c r="C795" s="6">
        <v>788.0</v>
      </c>
      <c r="D795" s="6"/>
      <c r="E795" s="6">
        <v>6814035.598566877</v>
      </c>
      <c r="F795" s="6">
        <v>478.29165135017115</v>
      </c>
      <c r="G795" s="6">
        <v>5.93500020605082</v>
      </c>
      <c r="H795" s="6">
        <v>6770079.746214613</v>
      </c>
      <c r="I795" s="6">
        <v>476.8585348032387</v>
      </c>
      <c r="J795" s="6">
        <v>5.363859274319813</v>
      </c>
      <c r="K795" s="6"/>
      <c r="L795" s="6"/>
      <c r="M795" s="6"/>
      <c r="N795" s="6">
        <f t="shared" ref="N795:P795" si="798">IF(LEN($C795)&gt;0,H795-E795,"")</f>
        <v>-43955.85235</v>
      </c>
      <c r="O795" s="6">
        <f t="shared" si="798"/>
        <v>-1.433116547</v>
      </c>
      <c r="P795" s="6">
        <f t="shared" si="798"/>
        <v>-0.5711409317</v>
      </c>
      <c r="Q795" s="6"/>
      <c r="R795" s="6"/>
      <c r="S795" s="6"/>
      <c r="T795" s="6"/>
      <c r="U795" s="6"/>
      <c r="V795" s="6"/>
      <c r="W795" s="6"/>
      <c r="X795" s="6"/>
      <c r="Y795" s="6"/>
      <c r="Z795" s="6"/>
      <c r="AA795" s="6"/>
      <c r="AB795" s="6"/>
      <c r="AC795" s="6"/>
      <c r="AD795" s="6"/>
      <c r="AE795" s="6"/>
      <c r="AF795" s="6"/>
      <c r="AG795" s="6"/>
    </row>
    <row r="796" ht="14.25" customHeight="1">
      <c r="A796" s="6"/>
      <c r="B796" s="6"/>
      <c r="C796" s="6">
        <v>789.0</v>
      </c>
      <c r="D796" s="6"/>
      <c r="E796" s="6">
        <v>7556984.516025118</v>
      </c>
      <c r="F796" s="6">
        <v>474.5921816904648</v>
      </c>
      <c r="G796" s="6">
        <v>5.067109093758905</v>
      </c>
      <c r="H796" s="6">
        <v>7401299.3176536765</v>
      </c>
      <c r="I796" s="6">
        <v>468.21184709212235</v>
      </c>
      <c r="J796" s="6">
        <v>3.4508652211353557</v>
      </c>
      <c r="K796" s="6"/>
      <c r="L796" s="6"/>
      <c r="M796" s="6"/>
      <c r="N796" s="6">
        <f t="shared" ref="N796:P796" si="799">IF(LEN($C796)&gt;0,H796-E796,"")</f>
        <v>-155685.1984</v>
      </c>
      <c r="O796" s="6">
        <f t="shared" si="799"/>
        <v>-6.380334598</v>
      </c>
      <c r="P796" s="6">
        <f t="shared" si="799"/>
        <v>-1.616243873</v>
      </c>
      <c r="Q796" s="6"/>
      <c r="R796" s="6"/>
      <c r="S796" s="6"/>
      <c r="T796" s="6"/>
      <c r="U796" s="6"/>
      <c r="V796" s="6"/>
      <c r="W796" s="6"/>
      <c r="X796" s="6"/>
      <c r="Y796" s="6"/>
      <c r="Z796" s="6"/>
      <c r="AA796" s="6"/>
      <c r="AB796" s="6"/>
      <c r="AC796" s="6"/>
      <c r="AD796" s="6"/>
      <c r="AE796" s="6"/>
      <c r="AF796" s="6"/>
      <c r="AG796" s="6"/>
    </row>
    <row r="797" ht="14.25" customHeight="1">
      <c r="A797" s="6"/>
      <c r="B797" s="6"/>
      <c r="C797" s="6">
        <v>790.0</v>
      </c>
      <c r="D797" s="6"/>
      <c r="E797" s="6">
        <v>7534445.41279719</v>
      </c>
      <c r="F797" s="6">
        <v>492.95090676015957</v>
      </c>
      <c r="G797" s="6">
        <v>5.461301079535942</v>
      </c>
      <c r="H797" s="6">
        <v>7402025.2967522815</v>
      </c>
      <c r="I797" s="6">
        <v>487.286141063581</v>
      </c>
      <c r="J797" s="6">
        <v>3.742063221038376</v>
      </c>
      <c r="K797" s="6"/>
      <c r="L797" s="6"/>
      <c r="M797" s="6"/>
      <c r="N797" s="6">
        <f t="shared" ref="N797:P797" si="800">IF(LEN($C797)&gt;0,H797-E797,"")</f>
        <v>-132420.116</v>
      </c>
      <c r="O797" s="6">
        <f t="shared" si="800"/>
        <v>-5.664765697</v>
      </c>
      <c r="P797" s="6">
        <f t="shared" si="800"/>
        <v>-1.719237858</v>
      </c>
      <c r="Q797" s="6"/>
      <c r="R797" s="6"/>
      <c r="S797" s="6"/>
      <c r="T797" s="6"/>
      <c r="U797" s="6"/>
      <c r="V797" s="6"/>
      <c r="W797" s="6"/>
      <c r="X797" s="6"/>
      <c r="Y797" s="6"/>
      <c r="Z797" s="6"/>
      <c r="AA797" s="6"/>
      <c r="AB797" s="6"/>
      <c r="AC797" s="6"/>
      <c r="AD797" s="6"/>
      <c r="AE797" s="6"/>
      <c r="AF797" s="6"/>
      <c r="AG797" s="6"/>
    </row>
    <row r="798" ht="14.25" customHeight="1">
      <c r="A798" s="6"/>
      <c r="B798" s="6"/>
      <c r="C798" s="6">
        <v>791.0</v>
      </c>
      <c r="D798" s="6"/>
      <c r="E798" s="6">
        <v>7218906.230182228</v>
      </c>
      <c r="F798" s="6">
        <v>496.45974255565324</v>
      </c>
      <c r="G798" s="6">
        <v>5.484825045584952</v>
      </c>
      <c r="H798" s="6">
        <v>7045401.595100277</v>
      </c>
      <c r="I798" s="6">
        <v>488.76750957706776</v>
      </c>
      <c r="J798" s="6">
        <v>3.975094694216966</v>
      </c>
      <c r="K798" s="6"/>
      <c r="L798" s="6"/>
      <c r="M798" s="6"/>
      <c r="N798" s="6">
        <f t="shared" ref="N798:P798" si="801">IF(LEN($C798)&gt;0,H798-E798,"")</f>
        <v>-173504.6351</v>
      </c>
      <c r="O798" s="6">
        <f t="shared" si="801"/>
        <v>-7.692232979</v>
      </c>
      <c r="P798" s="6">
        <f t="shared" si="801"/>
        <v>-1.509730351</v>
      </c>
      <c r="Q798" s="6"/>
      <c r="R798" s="6"/>
      <c r="S798" s="6"/>
      <c r="T798" s="6"/>
      <c r="U798" s="6"/>
      <c r="V798" s="6"/>
      <c r="W798" s="6"/>
      <c r="X798" s="6"/>
      <c r="Y798" s="6"/>
      <c r="Z798" s="6"/>
      <c r="AA798" s="6"/>
      <c r="AB798" s="6"/>
      <c r="AC798" s="6"/>
      <c r="AD798" s="6"/>
      <c r="AE798" s="6"/>
      <c r="AF798" s="6"/>
      <c r="AG798" s="6"/>
    </row>
    <row r="799" ht="14.25" customHeight="1">
      <c r="A799" s="6"/>
      <c r="B799" s="6"/>
      <c r="C799" s="6">
        <v>792.0</v>
      </c>
      <c r="D799" s="6"/>
      <c r="E799" s="6">
        <v>6326730.907083909</v>
      </c>
      <c r="F799" s="6">
        <v>458.5646299710747</v>
      </c>
      <c r="G799" s="6">
        <v>6.491298402343103</v>
      </c>
      <c r="H799" s="6">
        <v>6213230.2293646</v>
      </c>
      <c r="I799" s="6">
        <v>455.22203853975543</v>
      </c>
      <c r="J799" s="6">
        <v>4.406039832499743</v>
      </c>
      <c r="K799" s="6"/>
      <c r="L799" s="6"/>
      <c r="M799" s="6"/>
      <c r="N799" s="6">
        <f t="shared" ref="N799:P799" si="802">IF(LEN($C799)&gt;0,H799-E799,"")</f>
        <v>-113500.6777</v>
      </c>
      <c r="O799" s="6">
        <f t="shared" si="802"/>
        <v>-3.342591431</v>
      </c>
      <c r="P799" s="6">
        <f t="shared" si="802"/>
        <v>-2.08525857</v>
      </c>
      <c r="Q799" s="6"/>
      <c r="R799" s="6"/>
      <c r="S799" s="6"/>
      <c r="T799" s="6"/>
      <c r="U799" s="6"/>
      <c r="V799" s="6"/>
      <c r="W799" s="6"/>
      <c r="X799" s="6"/>
      <c r="Y799" s="6"/>
      <c r="Z799" s="6"/>
      <c r="AA799" s="6"/>
      <c r="AB799" s="6"/>
      <c r="AC799" s="6"/>
      <c r="AD799" s="6"/>
      <c r="AE799" s="6"/>
      <c r="AF799" s="6"/>
      <c r="AG799" s="6"/>
    </row>
    <row r="800" ht="14.25" customHeight="1">
      <c r="A800" s="6"/>
      <c r="B800" s="6"/>
      <c r="C800" s="6">
        <v>793.0</v>
      </c>
      <c r="D800" s="6"/>
      <c r="E800" s="6">
        <v>6183821.901699126</v>
      </c>
      <c r="F800" s="6">
        <v>478.6766723634907</v>
      </c>
      <c r="G800" s="6">
        <v>5.339671736558972</v>
      </c>
      <c r="H800" s="6">
        <v>6067587.78695299</v>
      </c>
      <c r="I800" s="6">
        <v>474.3341215648473</v>
      </c>
      <c r="J800" s="6">
        <v>4.053955613558554</v>
      </c>
      <c r="K800" s="6"/>
      <c r="L800" s="6"/>
      <c r="M800" s="6"/>
      <c r="N800" s="6">
        <f t="shared" ref="N800:P800" si="803">IF(LEN($C800)&gt;0,H800-E800,"")</f>
        <v>-116234.1147</v>
      </c>
      <c r="O800" s="6">
        <f t="shared" si="803"/>
        <v>-4.342550799</v>
      </c>
      <c r="P800" s="6">
        <f t="shared" si="803"/>
        <v>-1.285716123</v>
      </c>
      <c r="Q800" s="6"/>
      <c r="R800" s="6"/>
      <c r="S800" s="6"/>
      <c r="T800" s="6"/>
      <c r="U800" s="6"/>
      <c r="V800" s="6"/>
      <c r="W800" s="6"/>
      <c r="X800" s="6"/>
      <c r="Y800" s="6"/>
      <c r="Z800" s="6"/>
      <c r="AA800" s="6"/>
      <c r="AB800" s="6"/>
      <c r="AC800" s="6"/>
      <c r="AD800" s="6"/>
      <c r="AE800" s="6"/>
      <c r="AF800" s="6"/>
      <c r="AG800" s="6"/>
    </row>
    <row r="801" ht="14.25" customHeight="1">
      <c r="A801" s="6"/>
      <c r="B801" s="6"/>
      <c r="C801" s="6">
        <v>794.0</v>
      </c>
      <c r="D801" s="6"/>
      <c r="E801" s="6">
        <v>7186572.776894214</v>
      </c>
      <c r="F801" s="6">
        <v>516.1591657212718</v>
      </c>
      <c r="G801" s="6">
        <v>4.515889844139774</v>
      </c>
      <c r="H801" s="6">
        <v>7046670.136454927</v>
      </c>
      <c r="I801" s="6">
        <v>508.6189613190811</v>
      </c>
      <c r="J801" s="6">
        <v>3.4454216571069063</v>
      </c>
      <c r="K801" s="6"/>
      <c r="L801" s="6"/>
      <c r="M801" s="6"/>
      <c r="N801" s="6">
        <f t="shared" ref="N801:P801" si="804">IF(LEN($C801)&gt;0,H801-E801,"")</f>
        <v>-139902.6404</v>
      </c>
      <c r="O801" s="6">
        <f t="shared" si="804"/>
        <v>-7.540204402</v>
      </c>
      <c r="P801" s="6">
        <f t="shared" si="804"/>
        <v>-1.070468187</v>
      </c>
      <c r="Q801" s="6"/>
      <c r="R801" s="6"/>
      <c r="S801" s="6"/>
      <c r="T801" s="6"/>
      <c r="U801" s="6"/>
      <c r="V801" s="6"/>
      <c r="W801" s="6"/>
      <c r="X801" s="6"/>
      <c r="Y801" s="6"/>
      <c r="Z801" s="6"/>
      <c r="AA801" s="6"/>
      <c r="AB801" s="6"/>
      <c r="AC801" s="6"/>
      <c r="AD801" s="6"/>
      <c r="AE801" s="6"/>
      <c r="AF801" s="6"/>
      <c r="AG801" s="6"/>
    </row>
    <row r="802" ht="14.25" customHeight="1">
      <c r="A802" s="6"/>
      <c r="B802" s="6"/>
      <c r="C802" s="6">
        <v>795.0</v>
      </c>
      <c r="D802" s="6"/>
      <c r="E802" s="6">
        <v>6749249.464165846</v>
      </c>
      <c r="F802" s="6">
        <v>486.22618593977523</v>
      </c>
      <c r="G802" s="6">
        <v>4.652738569015605</v>
      </c>
      <c r="H802" s="6">
        <v>6621026.706155137</v>
      </c>
      <c r="I802" s="6">
        <v>480.45857992641476</v>
      </c>
      <c r="J802" s="6">
        <v>3.069575506793882</v>
      </c>
      <c r="K802" s="6"/>
      <c r="L802" s="6"/>
      <c r="M802" s="6"/>
      <c r="N802" s="6">
        <f t="shared" ref="N802:P802" si="805">IF(LEN($C802)&gt;0,H802-E802,"")</f>
        <v>-128222.758</v>
      </c>
      <c r="O802" s="6">
        <f t="shared" si="805"/>
        <v>-5.767606013</v>
      </c>
      <c r="P802" s="6">
        <f t="shared" si="805"/>
        <v>-1.583163062</v>
      </c>
      <c r="Q802" s="6"/>
      <c r="R802" s="6"/>
      <c r="S802" s="6"/>
      <c r="T802" s="6"/>
      <c r="U802" s="6"/>
      <c r="V802" s="6"/>
      <c r="W802" s="6"/>
      <c r="X802" s="6"/>
      <c r="Y802" s="6"/>
      <c r="Z802" s="6"/>
      <c r="AA802" s="6"/>
      <c r="AB802" s="6"/>
      <c r="AC802" s="6"/>
      <c r="AD802" s="6"/>
      <c r="AE802" s="6"/>
      <c r="AF802" s="6"/>
      <c r="AG802" s="6"/>
    </row>
    <row r="803" ht="14.25" customHeight="1">
      <c r="A803" s="6"/>
      <c r="B803" s="6"/>
      <c r="C803" s="6">
        <v>796.0</v>
      </c>
      <c r="D803" s="6"/>
      <c r="E803" s="6">
        <v>7977963.814222501</v>
      </c>
      <c r="F803" s="6">
        <v>469.7641683183362</v>
      </c>
      <c r="G803" s="6">
        <v>5.642146271876738</v>
      </c>
      <c r="H803" s="6">
        <v>7871340.63304239</v>
      </c>
      <c r="I803" s="6">
        <v>466.39845879099414</v>
      </c>
      <c r="J803" s="6">
        <v>4.0260891337979405</v>
      </c>
      <c r="K803" s="6"/>
      <c r="L803" s="6"/>
      <c r="M803" s="6"/>
      <c r="N803" s="6">
        <f t="shared" ref="N803:P803" si="806">IF(LEN($C803)&gt;0,H803-E803,"")</f>
        <v>-106623.1812</v>
      </c>
      <c r="O803" s="6">
        <f t="shared" si="806"/>
        <v>-3.365709527</v>
      </c>
      <c r="P803" s="6">
        <f t="shared" si="806"/>
        <v>-1.616057138</v>
      </c>
      <c r="Q803" s="6"/>
      <c r="R803" s="6"/>
      <c r="S803" s="6"/>
      <c r="T803" s="6"/>
      <c r="U803" s="6"/>
      <c r="V803" s="6"/>
      <c r="W803" s="6"/>
      <c r="X803" s="6"/>
      <c r="Y803" s="6"/>
      <c r="Z803" s="6"/>
      <c r="AA803" s="6"/>
      <c r="AB803" s="6"/>
      <c r="AC803" s="6"/>
      <c r="AD803" s="6"/>
      <c r="AE803" s="6"/>
      <c r="AF803" s="6"/>
      <c r="AG803" s="6"/>
    </row>
    <row r="804" ht="14.25" customHeight="1">
      <c r="A804" s="6"/>
      <c r="B804" s="6"/>
      <c r="C804" s="6">
        <v>797.0</v>
      </c>
      <c r="D804" s="6"/>
      <c r="E804" s="6">
        <v>9067623.01519105</v>
      </c>
      <c r="F804" s="6">
        <v>468.9040847036384</v>
      </c>
      <c r="G804" s="6">
        <v>4.6310552324705</v>
      </c>
      <c r="H804" s="6">
        <v>8942241.546263713</v>
      </c>
      <c r="I804" s="6">
        <v>462.18244520455124</v>
      </c>
      <c r="J804" s="6">
        <v>3.794611114292399</v>
      </c>
      <c r="K804" s="6"/>
      <c r="L804" s="6"/>
      <c r="M804" s="6"/>
      <c r="N804" s="6">
        <f t="shared" ref="N804:P804" si="807">IF(LEN($C804)&gt;0,H804-E804,"")</f>
        <v>-125381.4689</v>
      </c>
      <c r="O804" s="6">
        <f t="shared" si="807"/>
        <v>-6.721639499</v>
      </c>
      <c r="P804" s="6">
        <f t="shared" si="807"/>
        <v>-0.8364441182</v>
      </c>
      <c r="Q804" s="6"/>
      <c r="R804" s="6"/>
      <c r="S804" s="6"/>
      <c r="T804" s="6"/>
      <c r="U804" s="6"/>
      <c r="V804" s="6"/>
      <c r="W804" s="6"/>
      <c r="X804" s="6"/>
      <c r="Y804" s="6"/>
      <c r="Z804" s="6"/>
      <c r="AA804" s="6"/>
      <c r="AB804" s="6"/>
      <c r="AC804" s="6"/>
      <c r="AD804" s="6"/>
      <c r="AE804" s="6"/>
      <c r="AF804" s="6"/>
      <c r="AG804" s="6"/>
    </row>
    <row r="805" ht="14.25" customHeight="1">
      <c r="A805" s="6"/>
      <c r="B805" s="6"/>
      <c r="C805" s="6">
        <v>798.0</v>
      </c>
      <c r="D805" s="6"/>
      <c r="E805" s="6">
        <v>7792193.919679827</v>
      </c>
      <c r="F805" s="6">
        <v>487.8303906053947</v>
      </c>
      <c r="G805" s="6">
        <v>5.20881983795322</v>
      </c>
      <c r="H805" s="6">
        <v>7653349.165464443</v>
      </c>
      <c r="I805" s="6">
        <v>480.5056730700976</v>
      </c>
      <c r="J805" s="6">
        <v>3.855487801809504</v>
      </c>
      <c r="K805" s="6"/>
      <c r="L805" s="6"/>
      <c r="M805" s="6"/>
      <c r="N805" s="6">
        <f t="shared" ref="N805:P805" si="808">IF(LEN($C805)&gt;0,H805-E805,"")</f>
        <v>-138844.7542</v>
      </c>
      <c r="O805" s="6">
        <f t="shared" si="808"/>
        <v>-7.324717535</v>
      </c>
      <c r="P805" s="6">
        <f t="shared" si="808"/>
        <v>-1.353332036</v>
      </c>
      <c r="Q805" s="6"/>
      <c r="R805" s="6"/>
      <c r="S805" s="6"/>
      <c r="T805" s="6"/>
      <c r="U805" s="6"/>
      <c r="V805" s="6"/>
      <c r="W805" s="6"/>
      <c r="X805" s="6"/>
      <c r="Y805" s="6"/>
      <c r="Z805" s="6"/>
      <c r="AA805" s="6"/>
      <c r="AB805" s="6"/>
      <c r="AC805" s="6"/>
      <c r="AD805" s="6"/>
      <c r="AE805" s="6"/>
      <c r="AF805" s="6"/>
      <c r="AG805" s="6"/>
    </row>
    <row r="806" ht="14.25" customHeight="1">
      <c r="A806" s="6"/>
      <c r="B806" s="6"/>
      <c r="C806" s="6">
        <v>799.0</v>
      </c>
      <c r="D806" s="6"/>
      <c r="E806" s="6">
        <v>1.0786407687826455E7</v>
      </c>
      <c r="F806" s="6">
        <v>499.94952203249534</v>
      </c>
      <c r="G806" s="6">
        <v>4.482525238830144</v>
      </c>
      <c r="H806" s="6">
        <v>1.0530327569858199E7</v>
      </c>
      <c r="I806" s="6">
        <v>489.3386174244614</v>
      </c>
      <c r="J806" s="6">
        <v>3.1784970141102393</v>
      </c>
      <c r="K806" s="6"/>
      <c r="L806" s="6"/>
      <c r="M806" s="6"/>
      <c r="N806" s="6">
        <f t="shared" ref="N806:P806" si="809">IF(LEN($C806)&gt;0,H806-E806,"")</f>
        <v>-256080.118</v>
      </c>
      <c r="O806" s="6">
        <f t="shared" si="809"/>
        <v>-10.61090461</v>
      </c>
      <c r="P806" s="6">
        <f t="shared" si="809"/>
        <v>-1.304028225</v>
      </c>
      <c r="Q806" s="6"/>
      <c r="R806" s="6"/>
      <c r="S806" s="6"/>
      <c r="T806" s="6"/>
      <c r="U806" s="6"/>
      <c r="V806" s="6"/>
      <c r="W806" s="6"/>
      <c r="X806" s="6"/>
      <c r="Y806" s="6"/>
      <c r="Z806" s="6"/>
      <c r="AA806" s="6"/>
      <c r="AB806" s="6"/>
      <c r="AC806" s="6"/>
      <c r="AD806" s="6"/>
      <c r="AE806" s="6"/>
      <c r="AF806" s="6"/>
      <c r="AG806" s="6"/>
    </row>
    <row r="807" ht="14.25" customHeight="1">
      <c r="A807" s="6"/>
      <c r="B807" s="6"/>
      <c r="C807" s="6">
        <v>800.0</v>
      </c>
      <c r="D807" s="6"/>
      <c r="E807" s="6">
        <v>8864355.027644163</v>
      </c>
      <c r="F807" s="6">
        <v>500.93242139378884</v>
      </c>
      <c r="G807" s="6">
        <v>5.1630790068105</v>
      </c>
      <c r="H807" s="6">
        <v>8688940.393639341</v>
      </c>
      <c r="I807" s="6">
        <v>492.6037739139848</v>
      </c>
      <c r="J807" s="6">
        <v>3.7196112348390287</v>
      </c>
      <c r="K807" s="6"/>
      <c r="L807" s="6"/>
      <c r="M807" s="6"/>
      <c r="N807" s="6">
        <f t="shared" ref="N807:P807" si="810">IF(LEN($C807)&gt;0,H807-E807,"")</f>
        <v>-175414.634</v>
      </c>
      <c r="O807" s="6">
        <f t="shared" si="810"/>
        <v>-8.32864748</v>
      </c>
      <c r="P807" s="6">
        <f t="shared" si="810"/>
        <v>-1.443467772</v>
      </c>
      <c r="Q807" s="6"/>
      <c r="R807" s="6"/>
      <c r="S807" s="6"/>
      <c r="T807" s="6"/>
      <c r="U807" s="6"/>
      <c r="V807" s="6"/>
      <c r="W807" s="6"/>
      <c r="X807" s="6"/>
      <c r="Y807" s="6"/>
      <c r="Z807" s="6"/>
      <c r="AA807" s="6"/>
      <c r="AB807" s="6"/>
      <c r="AC807" s="6"/>
      <c r="AD807" s="6"/>
      <c r="AE807" s="6"/>
      <c r="AF807" s="6"/>
      <c r="AG807" s="6"/>
    </row>
    <row r="808" ht="14.25" customHeight="1">
      <c r="A808" s="6"/>
      <c r="B808" s="6"/>
      <c r="C808" s="6">
        <v>801.0</v>
      </c>
      <c r="D808" s="6"/>
      <c r="E808" s="6">
        <v>6907409.674306862</v>
      </c>
      <c r="F808" s="6">
        <v>440.3683330000641</v>
      </c>
      <c r="G808" s="6">
        <v>6.043021965123771</v>
      </c>
      <c r="H808" s="6">
        <v>6821628.6233790545</v>
      </c>
      <c r="I808" s="6">
        <v>437.4475923416897</v>
      </c>
      <c r="J808" s="6">
        <v>4.375402406846554</v>
      </c>
      <c r="K808" s="6"/>
      <c r="L808" s="6"/>
      <c r="M808" s="6"/>
      <c r="N808" s="6">
        <f t="shared" ref="N808:P808" si="811">IF(LEN($C808)&gt;0,H808-E808,"")</f>
        <v>-85781.05093</v>
      </c>
      <c r="O808" s="6">
        <f t="shared" si="811"/>
        <v>-2.920740658</v>
      </c>
      <c r="P808" s="6">
        <f t="shared" si="811"/>
        <v>-1.667619558</v>
      </c>
      <c r="Q808" s="6"/>
      <c r="R808" s="6"/>
      <c r="S808" s="6"/>
      <c r="T808" s="6"/>
      <c r="U808" s="6"/>
      <c r="V808" s="6"/>
      <c r="W808" s="6"/>
      <c r="X808" s="6"/>
      <c r="Y808" s="6"/>
      <c r="Z808" s="6"/>
      <c r="AA808" s="6"/>
      <c r="AB808" s="6"/>
      <c r="AC808" s="6"/>
      <c r="AD808" s="6"/>
      <c r="AE808" s="6"/>
      <c r="AF808" s="6"/>
      <c r="AG808" s="6"/>
    </row>
    <row r="809" ht="14.25" customHeight="1">
      <c r="A809" s="6"/>
      <c r="B809" s="6"/>
      <c r="C809" s="6">
        <v>802.0</v>
      </c>
      <c r="D809" s="6"/>
      <c r="E809" s="6">
        <v>6475524.838454984</v>
      </c>
      <c r="F809" s="6">
        <v>483.76370381804384</v>
      </c>
      <c r="G809" s="6">
        <v>5.840065032525749</v>
      </c>
      <c r="H809" s="6">
        <v>6394581.764171802</v>
      </c>
      <c r="I809" s="6">
        <v>481.43032686319634</v>
      </c>
      <c r="J809" s="6">
        <v>4.543315450879861</v>
      </c>
      <c r="K809" s="6"/>
      <c r="L809" s="6"/>
      <c r="M809" s="6"/>
      <c r="N809" s="6">
        <f t="shared" ref="N809:P809" si="812">IF(LEN($C809)&gt;0,H809-E809,"")</f>
        <v>-80943.07428</v>
      </c>
      <c r="O809" s="6">
        <f t="shared" si="812"/>
        <v>-2.333376955</v>
      </c>
      <c r="P809" s="6">
        <f t="shared" si="812"/>
        <v>-1.296749582</v>
      </c>
      <c r="Q809" s="6"/>
      <c r="R809" s="6"/>
      <c r="S809" s="6"/>
      <c r="T809" s="6"/>
      <c r="U809" s="6"/>
      <c r="V809" s="6"/>
      <c r="W809" s="6"/>
      <c r="X809" s="6"/>
      <c r="Y809" s="6"/>
      <c r="Z809" s="6"/>
      <c r="AA809" s="6"/>
      <c r="AB809" s="6"/>
      <c r="AC809" s="6"/>
      <c r="AD809" s="6"/>
      <c r="AE809" s="6"/>
      <c r="AF809" s="6"/>
      <c r="AG809" s="6"/>
    </row>
    <row r="810" ht="14.25" customHeight="1">
      <c r="A810" s="6"/>
      <c r="B810" s="6"/>
      <c r="C810" s="6">
        <v>803.0</v>
      </c>
      <c r="D810" s="6"/>
      <c r="E810" s="6">
        <v>8476693.07708713</v>
      </c>
      <c r="F810" s="6">
        <v>454.54570417992556</v>
      </c>
      <c r="G810" s="6">
        <v>6.150949128708777</v>
      </c>
      <c r="H810" s="6">
        <v>8290724.320307584</v>
      </c>
      <c r="I810" s="6">
        <v>447.2339403336411</v>
      </c>
      <c r="J810" s="6">
        <v>4.591813508121895</v>
      </c>
      <c r="K810" s="6"/>
      <c r="L810" s="6"/>
      <c r="M810" s="6"/>
      <c r="N810" s="6">
        <f t="shared" ref="N810:P810" si="813">IF(LEN($C810)&gt;0,H810-E810,"")</f>
        <v>-185968.7568</v>
      </c>
      <c r="O810" s="6">
        <f t="shared" si="813"/>
        <v>-7.311763846</v>
      </c>
      <c r="P810" s="6">
        <f t="shared" si="813"/>
        <v>-1.559135621</v>
      </c>
      <c r="Q810" s="6"/>
      <c r="R810" s="6"/>
      <c r="S810" s="6"/>
      <c r="T810" s="6"/>
      <c r="U810" s="6"/>
      <c r="V810" s="6"/>
      <c r="W810" s="6"/>
      <c r="X810" s="6"/>
      <c r="Y810" s="6"/>
      <c r="Z810" s="6"/>
      <c r="AA810" s="6"/>
      <c r="AB810" s="6"/>
      <c r="AC810" s="6"/>
      <c r="AD810" s="6"/>
      <c r="AE810" s="6"/>
      <c r="AF810" s="6"/>
      <c r="AG810" s="6"/>
    </row>
    <row r="811" ht="14.25" customHeight="1">
      <c r="A811" s="6"/>
      <c r="B811" s="6"/>
      <c r="C811" s="6">
        <v>804.0</v>
      </c>
      <c r="D811" s="6"/>
      <c r="E811" s="6">
        <v>7126632.090698067</v>
      </c>
      <c r="F811" s="6">
        <v>481.13289582110417</v>
      </c>
      <c r="G811" s="6">
        <v>4.967726059447341</v>
      </c>
      <c r="H811" s="6">
        <v>7018636.972834599</v>
      </c>
      <c r="I811" s="6">
        <v>476.88824914335567</v>
      </c>
      <c r="J811" s="6">
        <v>3.559592103609383</v>
      </c>
      <c r="K811" s="6"/>
      <c r="L811" s="6"/>
      <c r="M811" s="6"/>
      <c r="N811" s="6">
        <f t="shared" ref="N811:P811" si="814">IF(LEN($C811)&gt;0,H811-E811,"")</f>
        <v>-107995.1179</v>
      </c>
      <c r="O811" s="6">
        <f t="shared" si="814"/>
        <v>-4.244646678</v>
      </c>
      <c r="P811" s="6">
        <f t="shared" si="814"/>
        <v>-1.408133956</v>
      </c>
      <c r="Q811" s="6"/>
      <c r="R811" s="6"/>
      <c r="S811" s="6"/>
      <c r="T811" s="6"/>
      <c r="U811" s="6"/>
      <c r="V811" s="6"/>
      <c r="W811" s="6"/>
      <c r="X811" s="6"/>
      <c r="Y811" s="6"/>
      <c r="Z811" s="6"/>
      <c r="AA811" s="6"/>
      <c r="AB811" s="6"/>
      <c r="AC811" s="6"/>
      <c r="AD811" s="6"/>
      <c r="AE811" s="6"/>
      <c r="AF811" s="6"/>
      <c r="AG811" s="6"/>
    </row>
    <row r="812" ht="14.25" customHeight="1">
      <c r="A812" s="6"/>
      <c r="B812" s="6"/>
      <c r="C812" s="6">
        <v>805.0</v>
      </c>
      <c r="D812" s="6"/>
      <c r="E812" s="6">
        <v>7022297.192241308</v>
      </c>
      <c r="F812" s="6">
        <v>469.01900945383727</v>
      </c>
      <c r="G812" s="6">
        <v>5.325738002621604</v>
      </c>
      <c r="H812" s="6">
        <v>6941431.304924918</v>
      </c>
      <c r="I812" s="6">
        <v>465.8147958112397</v>
      </c>
      <c r="J812" s="6">
        <v>4.2286607166040415</v>
      </c>
      <c r="K812" s="6"/>
      <c r="L812" s="6"/>
      <c r="M812" s="6"/>
      <c r="N812" s="6">
        <f t="shared" ref="N812:P812" si="815">IF(LEN($C812)&gt;0,H812-E812,"")</f>
        <v>-80865.88732</v>
      </c>
      <c r="O812" s="6">
        <f t="shared" si="815"/>
        <v>-3.204213643</v>
      </c>
      <c r="P812" s="6">
        <f t="shared" si="815"/>
        <v>-1.097077286</v>
      </c>
      <c r="Q812" s="6"/>
      <c r="R812" s="6"/>
      <c r="S812" s="6"/>
      <c r="T812" s="6"/>
      <c r="U812" s="6"/>
      <c r="V812" s="6"/>
      <c r="W812" s="6"/>
      <c r="X812" s="6"/>
      <c r="Y812" s="6"/>
      <c r="Z812" s="6"/>
      <c r="AA812" s="6"/>
      <c r="AB812" s="6"/>
      <c r="AC812" s="6"/>
      <c r="AD812" s="6"/>
      <c r="AE812" s="6"/>
      <c r="AF812" s="6"/>
      <c r="AG812" s="6"/>
    </row>
    <row r="813" ht="14.25" customHeight="1">
      <c r="A813" s="6"/>
      <c r="B813" s="6"/>
      <c r="C813" s="6">
        <v>806.0</v>
      </c>
      <c r="D813" s="6"/>
      <c r="E813" s="6">
        <v>7819034.9282221235</v>
      </c>
      <c r="F813" s="6">
        <v>471.3768101069971</v>
      </c>
      <c r="G813" s="6">
        <v>5.228032708076178</v>
      </c>
      <c r="H813" s="6">
        <v>7697139.772538077</v>
      </c>
      <c r="I813" s="6">
        <v>464.7273879590456</v>
      </c>
      <c r="J813" s="6">
        <v>3.915343101776827</v>
      </c>
      <c r="K813" s="6"/>
      <c r="L813" s="6"/>
      <c r="M813" s="6"/>
      <c r="N813" s="6">
        <f t="shared" ref="N813:P813" si="816">IF(LEN($C813)&gt;0,H813-E813,"")</f>
        <v>-121895.1557</v>
      </c>
      <c r="O813" s="6">
        <f t="shared" si="816"/>
        <v>-6.649422148</v>
      </c>
      <c r="P813" s="6">
        <f t="shared" si="816"/>
        <v>-1.312689606</v>
      </c>
      <c r="Q813" s="6"/>
      <c r="R813" s="6"/>
      <c r="S813" s="6"/>
      <c r="T813" s="6"/>
      <c r="U813" s="6"/>
      <c r="V813" s="6"/>
      <c r="W813" s="6"/>
      <c r="X813" s="6"/>
      <c r="Y813" s="6"/>
      <c r="Z813" s="6"/>
      <c r="AA813" s="6"/>
      <c r="AB813" s="6"/>
      <c r="AC813" s="6"/>
      <c r="AD813" s="6"/>
      <c r="AE813" s="6"/>
      <c r="AF813" s="6"/>
      <c r="AG813" s="6"/>
    </row>
    <row r="814" ht="14.25" customHeight="1">
      <c r="A814" s="6"/>
      <c r="B814" s="6"/>
      <c r="C814" s="6">
        <v>807.0</v>
      </c>
      <c r="D814" s="6"/>
      <c r="E814" s="6">
        <v>7682845.457246791</v>
      </c>
      <c r="F814" s="6">
        <v>483.89475497845353</v>
      </c>
      <c r="G814" s="6">
        <v>4.834925716455023</v>
      </c>
      <c r="H814" s="6">
        <v>7602935.359121848</v>
      </c>
      <c r="I814" s="6">
        <v>481.6020572314443</v>
      </c>
      <c r="J814" s="6">
        <v>3.631065478912715</v>
      </c>
      <c r="K814" s="6"/>
      <c r="L814" s="6"/>
      <c r="M814" s="6"/>
      <c r="N814" s="6">
        <f t="shared" ref="N814:P814" si="817">IF(LEN($C814)&gt;0,H814-E814,"")</f>
        <v>-79910.09812</v>
      </c>
      <c r="O814" s="6">
        <f t="shared" si="817"/>
        <v>-2.292697747</v>
      </c>
      <c r="P814" s="6">
        <f t="shared" si="817"/>
        <v>-1.203860238</v>
      </c>
      <c r="Q814" s="6"/>
      <c r="R814" s="6"/>
      <c r="S814" s="6"/>
      <c r="T814" s="6"/>
      <c r="U814" s="6"/>
      <c r="V814" s="6"/>
      <c r="W814" s="6"/>
      <c r="X814" s="6"/>
      <c r="Y814" s="6"/>
      <c r="Z814" s="6"/>
      <c r="AA814" s="6"/>
      <c r="AB814" s="6"/>
      <c r="AC814" s="6"/>
      <c r="AD814" s="6"/>
      <c r="AE814" s="6"/>
      <c r="AF814" s="6"/>
      <c r="AG814" s="6"/>
    </row>
    <row r="815" ht="14.25" customHeight="1">
      <c r="A815" s="6"/>
      <c r="B815" s="6"/>
      <c r="C815" s="6">
        <v>808.0</v>
      </c>
      <c r="D815" s="6"/>
      <c r="E815" s="6">
        <v>7163415.369779127</v>
      </c>
      <c r="F815" s="6">
        <v>465.7647213604351</v>
      </c>
      <c r="G815" s="6">
        <v>6.480390003464874</v>
      </c>
      <c r="H815" s="6">
        <v>7056356.544688234</v>
      </c>
      <c r="I815" s="6">
        <v>460.9972165378458</v>
      </c>
      <c r="J815" s="6">
        <v>4.93491776487425</v>
      </c>
      <c r="K815" s="6"/>
      <c r="L815" s="6"/>
      <c r="M815" s="6"/>
      <c r="N815" s="6">
        <f t="shared" ref="N815:P815" si="818">IF(LEN($C815)&gt;0,H815-E815,"")</f>
        <v>-107058.8251</v>
      </c>
      <c r="O815" s="6">
        <f t="shared" si="818"/>
        <v>-4.767504823</v>
      </c>
      <c r="P815" s="6">
        <f t="shared" si="818"/>
        <v>-1.545472239</v>
      </c>
      <c r="Q815" s="6"/>
      <c r="R815" s="6"/>
      <c r="S815" s="6"/>
      <c r="T815" s="6"/>
      <c r="U815" s="6"/>
      <c r="V815" s="6"/>
      <c r="W815" s="6"/>
      <c r="X815" s="6"/>
      <c r="Y815" s="6"/>
      <c r="Z815" s="6"/>
      <c r="AA815" s="6"/>
      <c r="AB815" s="6"/>
      <c r="AC815" s="6"/>
      <c r="AD815" s="6"/>
      <c r="AE815" s="6"/>
      <c r="AF815" s="6"/>
      <c r="AG815" s="6"/>
    </row>
    <row r="816" ht="14.25" customHeight="1">
      <c r="A816" s="6"/>
      <c r="B816" s="6"/>
      <c r="C816" s="6">
        <v>809.0</v>
      </c>
      <c r="D816" s="6"/>
      <c r="E816" s="6">
        <v>8126374.351314379</v>
      </c>
      <c r="F816" s="6">
        <v>439.2563960134121</v>
      </c>
      <c r="G816" s="6">
        <v>4.840904105713165</v>
      </c>
      <c r="H816" s="6">
        <v>8069960.427141147</v>
      </c>
      <c r="I816" s="6">
        <v>437.2942977955734</v>
      </c>
      <c r="J816" s="6">
        <v>4.22816453950219</v>
      </c>
      <c r="K816" s="6"/>
      <c r="L816" s="6"/>
      <c r="M816" s="6"/>
      <c r="N816" s="6">
        <f t="shared" ref="N816:P816" si="819">IF(LEN($C816)&gt;0,H816-E816,"")</f>
        <v>-56413.92417</v>
      </c>
      <c r="O816" s="6">
        <f t="shared" si="819"/>
        <v>-1.962098218</v>
      </c>
      <c r="P816" s="6">
        <f t="shared" si="819"/>
        <v>-0.6127395662</v>
      </c>
      <c r="Q816" s="6"/>
      <c r="R816" s="6"/>
      <c r="S816" s="6"/>
      <c r="T816" s="6"/>
      <c r="U816" s="6"/>
      <c r="V816" s="6"/>
      <c r="W816" s="6"/>
      <c r="X816" s="6"/>
      <c r="Y816" s="6"/>
      <c r="Z816" s="6"/>
      <c r="AA816" s="6"/>
      <c r="AB816" s="6"/>
      <c r="AC816" s="6"/>
      <c r="AD816" s="6"/>
      <c r="AE816" s="6"/>
      <c r="AF816" s="6"/>
      <c r="AG816" s="6"/>
    </row>
    <row r="817" ht="14.25" customHeight="1">
      <c r="A817" s="6"/>
      <c r="B817" s="6"/>
      <c r="C817" s="6">
        <v>810.0</v>
      </c>
      <c r="D817" s="6"/>
      <c r="E817" s="6">
        <v>7749073.395773564</v>
      </c>
      <c r="F817" s="6">
        <v>484.4917054768756</v>
      </c>
      <c r="G817" s="6">
        <v>4.775821387374261</v>
      </c>
      <c r="H817" s="6">
        <v>7616368.3382601105</v>
      </c>
      <c r="I817" s="6">
        <v>480.0744713260477</v>
      </c>
      <c r="J817" s="6">
        <v>3.4850135861158815</v>
      </c>
      <c r="K817" s="6"/>
      <c r="L817" s="6"/>
      <c r="M817" s="6"/>
      <c r="N817" s="6">
        <f t="shared" ref="N817:P817" si="820">IF(LEN($C817)&gt;0,H817-E817,"")</f>
        <v>-132705.0575</v>
      </c>
      <c r="O817" s="6">
        <f t="shared" si="820"/>
        <v>-4.417234151</v>
      </c>
      <c r="P817" s="6">
        <f t="shared" si="820"/>
        <v>-1.290807801</v>
      </c>
      <c r="Q817" s="6"/>
      <c r="R817" s="6"/>
      <c r="S817" s="6"/>
      <c r="T817" s="6"/>
      <c r="U817" s="6"/>
      <c r="V817" s="6"/>
      <c r="W817" s="6"/>
      <c r="X817" s="6"/>
      <c r="Y817" s="6"/>
      <c r="Z817" s="6"/>
      <c r="AA817" s="6"/>
      <c r="AB817" s="6"/>
      <c r="AC817" s="6"/>
      <c r="AD817" s="6"/>
      <c r="AE817" s="6"/>
      <c r="AF817" s="6"/>
      <c r="AG817" s="6"/>
    </row>
    <row r="818" ht="14.25" customHeight="1">
      <c r="A818" s="6"/>
      <c r="B818" s="6"/>
      <c r="C818" s="6">
        <v>811.0</v>
      </c>
      <c r="D818" s="6"/>
      <c r="E818" s="6">
        <v>6256730.934683282</v>
      </c>
      <c r="F818" s="6">
        <v>447.5047139922329</v>
      </c>
      <c r="G818" s="6">
        <v>6.181995558446361</v>
      </c>
      <c r="H818" s="6">
        <v>6126141.056706349</v>
      </c>
      <c r="I818" s="6">
        <v>442.32311519408273</v>
      </c>
      <c r="J818" s="6">
        <v>4.5310842796460715</v>
      </c>
      <c r="K818" s="6"/>
      <c r="L818" s="6"/>
      <c r="M818" s="6"/>
      <c r="N818" s="6">
        <f t="shared" ref="N818:P818" si="821">IF(LEN($C818)&gt;0,H818-E818,"")</f>
        <v>-130589.878</v>
      </c>
      <c r="O818" s="6">
        <f t="shared" si="821"/>
        <v>-5.181598798</v>
      </c>
      <c r="P818" s="6">
        <f t="shared" si="821"/>
        <v>-1.650911279</v>
      </c>
      <c r="Q818" s="6"/>
      <c r="R818" s="6"/>
      <c r="S818" s="6"/>
      <c r="T818" s="6"/>
      <c r="U818" s="6"/>
      <c r="V818" s="6"/>
      <c r="W818" s="6"/>
      <c r="X818" s="6"/>
      <c r="Y818" s="6"/>
      <c r="Z818" s="6"/>
      <c r="AA818" s="6"/>
      <c r="AB818" s="6"/>
      <c r="AC818" s="6"/>
      <c r="AD818" s="6"/>
      <c r="AE818" s="6"/>
      <c r="AF818" s="6"/>
      <c r="AG818" s="6"/>
    </row>
    <row r="819" ht="14.25" customHeight="1">
      <c r="A819" s="6"/>
      <c r="B819" s="6"/>
      <c r="C819" s="6">
        <v>812.0</v>
      </c>
      <c r="D819" s="6"/>
      <c r="E819" s="6">
        <v>6495028.214204563</v>
      </c>
      <c r="F819" s="6">
        <v>470.603930375316</v>
      </c>
      <c r="G819" s="6">
        <v>4.581175340381919</v>
      </c>
      <c r="H819" s="6">
        <v>6395036.075665208</v>
      </c>
      <c r="I819" s="6">
        <v>465.14546568497576</v>
      </c>
      <c r="J819" s="6">
        <v>3.6229044667473325</v>
      </c>
      <c r="K819" s="6"/>
      <c r="L819" s="6"/>
      <c r="M819" s="6"/>
      <c r="N819" s="6">
        <f t="shared" ref="N819:P819" si="822">IF(LEN($C819)&gt;0,H819-E819,"")</f>
        <v>-99992.13854</v>
      </c>
      <c r="O819" s="6">
        <f t="shared" si="822"/>
        <v>-5.45846469</v>
      </c>
      <c r="P819" s="6">
        <f t="shared" si="822"/>
        <v>-0.9582708736</v>
      </c>
      <c r="Q819" s="6"/>
      <c r="R819" s="6"/>
      <c r="S819" s="6"/>
      <c r="T819" s="6"/>
      <c r="U819" s="6"/>
      <c r="V819" s="6"/>
      <c r="W819" s="6"/>
      <c r="X819" s="6"/>
      <c r="Y819" s="6"/>
      <c r="Z819" s="6"/>
      <c r="AA819" s="6"/>
      <c r="AB819" s="6"/>
      <c r="AC819" s="6"/>
      <c r="AD819" s="6"/>
      <c r="AE819" s="6"/>
      <c r="AF819" s="6"/>
      <c r="AG819" s="6"/>
    </row>
    <row r="820" ht="14.25" customHeight="1">
      <c r="A820" s="6"/>
      <c r="B820" s="6"/>
      <c r="C820" s="6">
        <v>813.0</v>
      </c>
      <c r="D820" s="6"/>
      <c r="E820" s="6">
        <v>9277932.217774438</v>
      </c>
      <c r="F820" s="6">
        <v>449.46378915779803</v>
      </c>
      <c r="G820" s="6">
        <v>4.4360203153492295</v>
      </c>
      <c r="H820" s="6">
        <v>9118594.411611306</v>
      </c>
      <c r="I820" s="6">
        <v>442.8811267454033</v>
      </c>
      <c r="J820" s="6">
        <v>2.9611859537959244</v>
      </c>
      <c r="K820" s="6"/>
      <c r="L820" s="6"/>
      <c r="M820" s="6"/>
      <c r="N820" s="6">
        <f t="shared" ref="N820:P820" si="823">IF(LEN($C820)&gt;0,H820-E820,"")</f>
        <v>-159337.8062</v>
      </c>
      <c r="O820" s="6">
        <f t="shared" si="823"/>
        <v>-6.582662412</v>
      </c>
      <c r="P820" s="6">
        <f t="shared" si="823"/>
        <v>-1.474834362</v>
      </c>
      <c r="Q820" s="6"/>
      <c r="R820" s="6"/>
      <c r="S820" s="6"/>
      <c r="T820" s="6"/>
      <c r="U820" s="6"/>
      <c r="V820" s="6"/>
      <c r="W820" s="6"/>
      <c r="X820" s="6"/>
      <c r="Y820" s="6"/>
      <c r="Z820" s="6"/>
      <c r="AA820" s="6"/>
      <c r="AB820" s="6"/>
      <c r="AC820" s="6"/>
      <c r="AD820" s="6"/>
      <c r="AE820" s="6"/>
      <c r="AF820" s="6"/>
      <c r="AG820" s="6"/>
    </row>
    <row r="821" ht="14.25" customHeight="1">
      <c r="A821" s="6"/>
      <c r="B821" s="6"/>
      <c r="C821" s="6">
        <v>814.0</v>
      </c>
      <c r="D821" s="6"/>
      <c r="E821" s="6">
        <v>6314545.914696106</v>
      </c>
      <c r="F821" s="6">
        <v>496.062069487168</v>
      </c>
      <c r="G821" s="6">
        <v>5.8654233711608015</v>
      </c>
      <c r="H821" s="6">
        <v>6140750.929275553</v>
      </c>
      <c r="I821" s="6">
        <v>489.82187260030105</v>
      </c>
      <c r="J821" s="6">
        <v>3.8065922625917397</v>
      </c>
      <c r="K821" s="6"/>
      <c r="L821" s="6"/>
      <c r="M821" s="6"/>
      <c r="N821" s="6">
        <f t="shared" ref="N821:P821" si="824">IF(LEN($C821)&gt;0,H821-E821,"")</f>
        <v>-173794.9854</v>
      </c>
      <c r="O821" s="6">
        <f t="shared" si="824"/>
        <v>-6.240196887</v>
      </c>
      <c r="P821" s="6">
        <f t="shared" si="824"/>
        <v>-2.058831109</v>
      </c>
      <c r="Q821" s="6"/>
      <c r="R821" s="6"/>
      <c r="S821" s="6"/>
      <c r="T821" s="6"/>
      <c r="U821" s="6"/>
      <c r="V821" s="6"/>
      <c r="W821" s="6"/>
      <c r="X821" s="6"/>
      <c r="Y821" s="6"/>
      <c r="Z821" s="6"/>
      <c r="AA821" s="6"/>
      <c r="AB821" s="6"/>
      <c r="AC821" s="6"/>
      <c r="AD821" s="6"/>
      <c r="AE821" s="6"/>
      <c r="AF821" s="6"/>
      <c r="AG821" s="6"/>
    </row>
    <row r="822" ht="14.25" customHeight="1">
      <c r="A822" s="6"/>
      <c r="B822" s="6"/>
      <c r="C822" s="6">
        <v>815.0</v>
      </c>
      <c r="D822" s="6"/>
      <c r="E822" s="6">
        <v>7675583.962368215</v>
      </c>
      <c r="F822" s="6">
        <v>474.8704414029686</v>
      </c>
      <c r="G822" s="6">
        <v>4.870047551804145</v>
      </c>
      <c r="H822" s="6">
        <v>7555439.925981998</v>
      </c>
      <c r="I822" s="6">
        <v>471.26769951538733</v>
      </c>
      <c r="J822" s="6">
        <v>3.557732287477307</v>
      </c>
      <c r="K822" s="6"/>
      <c r="L822" s="6"/>
      <c r="M822" s="6"/>
      <c r="N822" s="6">
        <f t="shared" ref="N822:P822" si="825">IF(LEN($C822)&gt;0,H822-E822,"")</f>
        <v>-120144.0364</v>
      </c>
      <c r="O822" s="6">
        <f t="shared" si="825"/>
        <v>-3.602741888</v>
      </c>
      <c r="P822" s="6">
        <f t="shared" si="825"/>
        <v>-1.312315264</v>
      </c>
      <c r="Q822" s="6"/>
      <c r="R822" s="6"/>
      <c r="S822" s="6"/>
      <c r="T822" s="6"/>
      <c r="U822" s="6"/>
      <c r="V822" s="6"/>
      <c r="W822" s="6"/>
      <c r="X822" s="6"/>
      <c r="Y822" s="6"/>
      <c r="Z822" s="6"/>
      <c r="AA822" s="6"/>
      <c r="AB822" s="6"/>
      <c r="AC822" s="6"/>
      <c r="AD822" s="6"/>
      <c r="AE822" s="6"/>
      <c r="AF822" s="6"/>
      <c r="AG822" s="6"/>
    </row>
    <row r="823" ht="14.25" customHeight="1">
      <c r="A823" s="6"/>
      <c r="B823" s="6"/>
      <c r="C823" s="6">
        <v>816.0</v>
      </c>
      <c r="D823" s="6"/>
      <c r="E823" s="6">
        <v>6184377.150565224</v>
      </c>
      <c r="F823" s="6">
        <v>447.40841749832623</v>
      </c>
      <c r="G823" s="6">
        <v>5.895744209269359</v>
      </c>
      <c r="H823" s="6">
        <v>6082327.961910324</v>
      </c>
      <c r="I823" s="6">
        <v>442.2761774491879</v>
      </c>
      <c r="J823" s="6">
        <v>4.519457275561372</v>
      </c>
      <c r="K823" s="6"/>
      <c r="L823" s="6"/>
      <c r="M823" s="6"/>
      <c r="N823" s="6">
        <f t="shared" ref="N823:P823" si="826">IF(LEN($C823)&gt;0,H823-E823,"")</f>
        <v>-102049.1887</v>
      </c>
      <c r="O823" s="6">
        <f t="shared" si="826"/>
        <v>-5.132240049</v>
      </c>
      <c r="P823" s="6">
        <f t="shared" si="826"/>
        <v>-1.376286934</v>
      </c>
      <c r="Q823" s="6"/>
      <c r="R823" s="6"/>
      <c r="S823" s="6"/>
      <c r="T823" s="6"/>
      <c r="U823" s="6"/>
      <c r="V823" s="6"/>
      <c r="W823" s="6"/>
      <c r="X823" s="6"/>
      <c r="Y823" s="6"/>
      <c r="Z823" s="6"/>
      <c r="AA823" s="6"/>
      <c r="AB823" s="6"/>
      <c r="AC823" s="6"/>
      <c r="AD823" s="6"/>
      <c r="AE823" s="6"/>
      <c r="AF823" s="6"/>
      <c r="AG823" s="6"/>
    </row>
    <row r="824" ht="14.25" customHeight="1">
      <c r="A824" s="6"/>
      <c r="B824" s="6"/>
      <c r="C824" s="6">
        <v>817.0</v>
      </c>
      <c r="D824" s="6"/>
      <c r="E824" s="6">
        <v>6191688.926274946</v>
      </c>
      <c r="F824" s="6">
        <v>495.3571171808677</v>
      </c>
      <c r="G824" s="6">
        <v>4.028608699393455</v>
      </c>
      <c r="H824" s="6">
        <v>6097754.3951766165</v>
      </c>
      <c r="I824" s="6">
        <v>490.9267980152197</v>
      </c>
      <c r="J824" s="6">
        <v>3.0397812249678338</v>
      </c>
      <c r="K824" s="6"/>
      <c r="L824" s="6"/>
      <c r="M824" s="6"/>
      <c r="N824" s="6">
        <f t="shared" ref="N824:P824" si="827">IF(LEN($C824)&gt;0,H824-E824,"")</f>
        <v>-93934.5311</v>
      </c>
      <c r="O824" s="6">
        <f t="shared" si="827"/>
        <v>-4.430319166</v>
      </c>
      <c r="P824" s="6">
        <f t="shared" si="827"/>
        <v>-0.9888274744</v>
      </c>
      <c r="Q824" s="6"/>
      <c r="R824" s="6"/>
      <c r="S824" s="6"/>
      <c r="T824" s="6"/>
      <c r="U824" s="6"/>
      <c r="V824" s="6"/>
      <c r="W824" s="6"/>
      <c r="X824" s="6"/>
      <c r="Y824" s="6"/>
      <c r="Z824" s="6"/>
      <c r="AA824" s="6"/>
      <c r="AB824" s="6"/>
      <c r="AC824" s="6"/>
      <c r="AD824" s="6"/>
      <c r="AE824" s="6"/>
      <c r="AF824" s="6"/>
      <c r="AG824" s="6"/>
    </row>
    <row r="825" ht="14.25" customHeight="1">
      <c r="A825" s="6"/>
      <c r="B825" s="6"/>
      <c r="C825" s="6">
        <v>818.0</v>
      </c>
      <c r="D825" s="6"/>
      <c r="E825" s="6">
        <v>7126711.733945453</v>
      </c>
      <c r="F825" s="6">
        <v>437.43045519044574</v>
      </c>
      <c r="G825" s="6">
        <v>4.312455210865967</v>
      </c>
      <c r="H825" s="6">
        <v>7042261.063731609</v>
      </c>
      <c r="I825" s="6">
        <v>434.4409493930615</v>
      </c>
      <c r="J825" s="6">
        <v>3.155820202990607</v>
      </c>
      <c r="K825" s="6"/>
      <c r="L825" s="6"/>
      <c r="M825" s="6"/>
      <c r="N825" s="6">
        <f t="shared" ref="N825:P825" si="828">IF(LEN($C825)&gt;0,H825-E825,"")</f>
        <v>-84450.67021</v>
      </c>
      <c r="O825" s="6">
        <f t="shared" si="828"/>
        <v>-2.989505797</v>
      </c>
      <c r="P825" s="6">
        <f t="shared" si="828"/>
        <v>-1.156635008</v>
      </c>
      <c r="Q825" s="6"/>
      <c r="R825" s="6"/>
      <c r="S825" s="6"/>
      <c r="T825" s="6"/>
      <c r="U825" s="6"/>
      <c r="V825" s="6"/>
      <c r="W825" s="6"/>
      <c r="X825" s="6"/>
      <c r="Y825" s="6"/>
      <c r="Z825" s="6"/>
      <c r="AA825" s="6"/>
      <c r="AB825" s="6"/>
      <c r="AC825" s="6"/>
      <c r="AD825" s="6"/>
      <c r="AE825" s="6"/>
      <c r="AF825" s="6"/>
      <c r="AG825" s="6"/>
    </row>
    <row r="826" ht="14.25" customHeight="1">
      <c r="A826" s="6"/>
      <c r="B826" s="6"/>
      <c r="C826" s="6">
        <v>819.0</v>
      </c>
      <c r="D826" s="6"/>
      <c r="E826" s="6">
        <v>7555138.662847852</v>
      </c>
      <c r="F826" s="6">
        <v>485.2029511462355</v>
      </c>
      <c r="G826" s="6">
        <v>4.799930302565136</v>
      </c>
      <c r="H826" s="6">
        <v>7415554.099754693</v>
      </c>
      <c r="I826" s="6">
        <v>480.1428824477038</v>
      </c>
      <c r="J826" s="6">
        <v>3.0794657891816475</v>
      </c>
      <c r="K826" s="6"/>
      <c r="L826" s="6"/>
      <c r="M826" s="6"/>
      <c r="N826" s="6">
        <f t="shared" ref="N826:P826" si="829">IF(LEN($C826)&gt;0,H826-E826,"")</f>
        <v>-139584.5631</v>
      </c>
      <c r="O826" s="6">
        <f t="shared" si="829"/>
        <v>-5.060068699</v>
      </c>
      <c r="P826" s="6">
        <f t="shared" si="829"/>
        <v>-1.720464513</v>
      </c>
      <c r="Q826" s="6"/>
      <c r="R826" s="6"/>
      <c r="S826" s="6"/>
      <c r="T826" s="6"/>
      <c r="U826" s="6"/>
      <c r="V826" s="6"/>
      <c r="W826" s="6"/>
      <c r="X826" s="6"/>
      <c r="Y826" s="6"/>
      <c r="Z826" s="6"/>
      <c r="AA826" s="6"/>
      <c r="AB826" s="6"/>
      <c r="AC826" s="6"/>
      <c r="AD826" s="6"/>
      <c r="AE826" s="6"/>
      <c r="AF826" s="6"/>
      <c r="AG826" s="6"/>
    </row>
    <row r="827" ht="14.25" customHeight="1">
      <c r="A827" s="6"/>
      <c r="B827" s="6"/>
      <c r="C827" s="6">
        <v>820.0</v>
      </c>
      <c r="D827" s="6"/>
      <c r="E827" s="6">
        <v>6765535.479949838</v>
      </c>
      <c r="F827" s="6">
        <v>463.4047513018463</v>
      </c>
      <c r="G827" s="6">
        <v>5.126506442758309</v>
      </c>
      <c r="H827" s="6">
        <v>6594246.810678571</v>
      </c>
      <c r="I827" s="6">
        <v>457.0296224546266</v>
      </c>
      <c r="J827" s="6">
        <v>3.6723290617782074</v>
      </c>
      <c r="K827" s="6"/>
      <c r="L827" s="6"/>
      <c r="M827" s="6"/>
      <c r="N827" s="6">
        <f t="shared" ref="N827:P827" si="830">IF(LEN($C827)&gt;0,H827-E827,"")</f>
        <v>-171288.6693</v>
      </c>
      <c r="O827" s="6">
        <f t="shared" si="830"/>
        <v>-6.375128847</v>
      </c>
      <c r="P827" s="6">
        <f t="shared" si="830"/>
        <v>-1.454177381</v>
      </c>
      <c r="Q827" s="6"/>
      <c r="R827" s="6"/>
      <c r="S827" s="6"/>
      <c r="T827" s="6"/>
      <c r="U827" s="6"/>
      <c r="V827" s="6"/>
      <c r="W827" s="6"/>
      <c r="X827" s="6"/>
      <c r="Y827" s="6"/>
      <c r="Z827" s="6"/>
      <c r="AA827" s="6"/>
      <c r="AB827" s="6"/>
      <c r="AC827" s="6"/>
      <c r="AD827" s="6"/>
      <c r="AE827" s="6"/>
      <c r="AF827" s="6"/>
      <c r="AG827" s="6"/>
    </row>
    <row r="828" ht="14.25" customHeight="1">
      <c r="A828" s="6"/>
      <c r="B828" s="6"/>
      <c r="C828" s="6">
        <v>821.0</v>
      </c>
      <c r="D828" s="6"/>
      <c r="E828" s="6">
        <v>7121746.2768497635</v>
      </c>
      <c r="F828" s="6">
        <v>482.41911647920153</v>
      </c>
      <c r="G828" s="6">
        <v>5.447988440383524</v>
      </c>
      <c r="H828" s="6">
        <v>7000163.477564319</v>
      </c>
      <c r="I828" s="6">
        <v>479.6015995214959</v>
      </c>
      <c r="J828" s="6">
        <v>3.5034317675213567</v>
      </c>
      <c r="K828" s="6"/>
      <c r="L828" s="6"/>
      <c r="M828" s="6"/>
      <c r="N828" s="6">
        <f t="shared" ref="N828:P828" si="831">IF(LEN($C828)&gt;0,H828-E828,"")</f>
        <v>-121582.7993</v>
      </c>
      <c r="O828" s="6">
        <f t="shared" si="831"/>
        <v>-2.817516958</v>
      </c>
      <c r="P828" s="6">
        <f t="shared" si="831"/>
        <v>-1.944556673</v>
      </c>
      <c r="Q828" s="6"/>
      <c r="R828" s="6"/>
      <c r="S828" s="6"/>
      <c r="T828" s="6"/>
      <c r="U828" s="6"/>
      <c r="V828" s="6"/>
      <c r="W828" s="6"/>
      <c r="X828" s="6"/>
      <c r="Y828" s="6"/>
      <c r="Z828" s="6"/>
      <c r="AA828" s="6"/>
      <c r="AB828" s="6"/>
      <c r="AC828" s="6"/>
      <c r="AD828" s="6"/>
      <c r="AE828" s="6"/>
      <c r="AF828" s="6"/>
      <c r="AG828" s="6"/>
    </row>
    <row r="829" ht="14.25" customHeight="1">
      <c r="A829" s="6"/>
      <c r="B829" s="6"/>
      <c r="C829" s="6">
        <v>822.0</v>
      </c>
      <c r="D829" s="6"/>
      <c r="E829" s="6">
        <v>7392865.886071482</v>
      </c>
      <c r="F829" s="6">
        <v>494.31928938227145</v>
      </c>
      <c r="G829" s="6">
        <v>5.466797233017932</v>
      </c>
      <c r="H829" s="6">
        <v>7296602.757476918</v>
      </c>
      <c r="I829" s="6">
        <v>491.1170009049796</v>
      </c>
      <c r="J829" s="6">
        <v>4.307187770911427</v>
      </c>
      <c r="K829" s="6"/>
      <c r="L829" s="6"/>
      <c r="M829" s="6"/>
      <c r="N829" s="6">
        <f t="shared" ref="N829:P829" si="832">IF(LEN($C829)&gt;0,H829-E829,"")</f>
        <v>-96263.12859</v>
      </c>
      <c r="O829" s="6">
        <f t="shared" si="832"/>
        <v>-3.202288477</v>
      </c>
      <c r="P829" s="6">
        <f t="shared" si="832"/>
        <v>-1.159609462</v>
      </c>
      <c r="Q829" s="6"/>
      <c r="R829" s="6"/>
      <c r="S829" s="6"/>
      <c r="T829" s="6"/>
      <c r="U829" s="6"/>
      <c r="V829" s="6"/>
      <c r="W829" s="6"/>
      <c r="X829" s="6"/>
      <c r="Y829" s="6"/>
      <c r="Z829" s="6"/>
      <c r="AA829" s="6"/>
      <c r="AB829" s="6"/>
      <c r="AC829" s="6"/>
      <c r="AD829" s="6"/>
      <c r="AE829" s="6"/>
      <c r="AF829" s="6"/>
      <c r="AG829" s="6"/>
    </row>
    <row r="830" ht="14.25" customHeight="1">
      <c r="A830" s="6"/>
      <c r="B830" s="6"/>
      <c r="C830" s="6">
        <v>823.0</v>
      </c>
      <c r="D830" s="6"/>
      <c r="E830" s="6">
        <v>9526876.54080555</v>
      </c>
      <c r="F830" s="6">
        <v>466.86482509032857</v>
      </c>
      <c r="G830" s="6">
        <v>4.5669885083015975</v>
      </c>
      <c r="H830" s="6">
        <v>9370313.67809323</v>
      </c>
      <c r="I830" s="6">
        <v>460.2578715306484</v>
      </c>
      <c r="J830" s="6">
        <v>3.0237878420429576</v>
      </c>
      <c r="K830" s="6"/>
      <c r="L830" s="6"/>
      <c r="M830" s="6"/>
      <c r="N830" s="6">
        <f t="shared" ref="N830:P830" si="833">IF(LEN($C830)&gt;0,H830-E830,"")</f>
        <v>-156562.8627</v>
      </c>
      <c r="O830" s="6">
        <f t="shared" si="833"/>
        <v>-6.60695356</v>
      </c>
      <c r="P830" s="6">
        <f t="shared" si="833"/>
        <v>-1.543200666</v>
      </c>
      <c r="Q830" s="6"/>
      <c r="R830" s="6"/>
      <c r="S830" s="6"/>
      <c r="T830" s="6"/>
      <c r="U830" s="6"/>
      <c r="V830" s="6"/>
      <c r="W830" s="6"/>
      <c r="X830" s="6"/>
      <c r="Y830" s="6"/>
      <c r="Z830" s="6"/>
      <c r="AA830" s="6"/>
      <c r="AB830" s="6"/>
      <c r="AC830" s="6"/>
      <c r="AD830" s="6"/>
      <c r="AE830" s="6"/>
      <c r="AF830" s="6"/>
      <c r="AG830" s="6"/>
    </row>
    <row r="831" ht="14.25" customHeight="1">
      <c r="A831" s="6"/>
      <c r="B831" s="6"/>
      <c r="C831" s="6">
        <v>824.0</v>
      </c>
      <c r="D831" s="6"/>
      <c r="E831" s="6">
        <v>6208461.347577824</v>
      </c>
      <c r="F831" s="6">
        <v>446.8731279922432</v>
      </c>
      <c r="G831" s="6">
        <v>4.173351724389966</v>
      </c>
      <c r="H831" s="6">
        <v>6109650.961339017</v>
      </c>
      <c r="I831" s="6">
        <v>443.71585755906085</v>
      </c>
      <c r="J831" s="6">
        <v>2.8517637148677295</v>
      </c>
      <c r="K831" s="6"/>
      <c r="L831" s="6"/>
      <c r="M831" s="6"/>
      <c r="N831" s="6">
        <f t="shared" ref="N831:P831" si="834">IF(LEN($C831)&gt;0,H831-E831,"")</f>
        <v>-98810.38624</v>
      </c>
      <c r="O831" s="6">
        <f t="shared" si="834"/>
        <v>-3.157270433</v>
      </c>
      <c r="P831" s="6">
        <f t="shared" si="834"/>
        <v>-1.32158801</v>
      </c>
      <c r="Q831" s="6"/>
      <c r="R831" s="6"/>
      <c r="S831" s="6"/>
      <c r="T831" s="6"/>
      <c r="U831" s="6"/>
      <c r="V831" s="6"/>
      <c r="W831" s="6"/>
      <c r="X831" s="6"/>
      <c r="Y831" s="6"/>
      <c r="Z831" s="6"/>
      <c r="AA831" s="6"/>
      <c r="AB831" s="6"/>
      <c r="AC831" s="6"/>
      <c r="AD831" s="6"/>
      <c r="AE831" s="6"/>
      <c r="AF831" s="6"/>
      <c r="AG831" s="6"/>
    </row>
    <row r="832" ht="14.25" customHeight="1">
      <c r="A832" s="6"/>
      <c r="B832" s="6"/>
      <c r="C832" s="6">
        <v>825.0</v>
      </c>
      <c r="D832" s="6"/>
      <c r="E832" s="6">
        <v>5336274.187441549</v>
      </c>
      <c r="F832" s="6">
        <v>423.05321569840163</v>
      </c>
      <c r="G832" s="6">
        <v>6.64891771818685</v>
      </c>
      <c r="H832" s="6">
        <v>5273024.535759515</v>
      </c>
      <c r="I832" s="6">
        <v>420.8354703334611</v>
      </c>
      <c r="J832" s="6">
        <v>4.845022124299919</v>
      </c>
      <c r="K832" s="6"/>
      <c r="L832" s="6"/>
      <c r="M832" s="6"/>
      <c r="N832" s="6">
        <f t="shared" ref="N832:P832" si="835">IF(LEN($C832)&gt;0,H832-E832,"")</f>
        <v>-63249.65168</v>
      </c>
      <c r="O832" s="6">
        <f t="shared" si="835"/>
        <v>-2.217745365</v>
      </c>
      <c r="P832" s="6">
        <f t="shared" si="835"/>
        <v>-1.803895594</v>
      </c>
      <c r="Q832" s="6"/>
      <c r="R832" s="6"/>
      <c r="S832" s="6"/>
      <c r="T832" s="6"/>
      <c r="U832" s="6"/>
      <c r="V832" s="6"/>
      <c r="W832" s="6"/>
      <c r="X832" s="6"/>
      <c r="Y832" s="6"/>
      <c r="Z832" s="6"/>
      <c r="AA832" s="6"/>
      <c r="AB832" s="6"/>
      <c r="AC832" s="6"/>
      <c r="AD832" s="6"/>
      <c r="AE832" s="6"/>
      <c r="AF832" s="6"/>
      <c r="AG832" s="6"/>
    </row>
    <row r="833" ht="14.25" customHeight="1">
      <c r="A833" s="6"/>
      <c r="B833" s="6"/>
      <c r="C833" s="6">
        <v>826.0</v>
      </c>
      <c r="D833" s="6"/>
      <c r="E833" s="6">
        <v>7134313.614182689</v>
      </c>
      <c r="F833" s="6">
        <v>481.41875960965604</v>
      </c>
      <c r="G833" s="6">
        <v>5.138682141210221</v>
      </c>
      <c r="H833" s="6">
        <v>7017394.303512539</v>
      </c>
      <c r="I833" s="6">
        <v>477.7529955406694</v>
      </c>
      <c r="J833" s="6">
        <v>3.8183245002140325</v>
      </c>
      <c r="K833" s="6"/>
      <c r="L833" s="6"/>
      <c r="M833" s="6"/>
      <c r="N833" s="6">
        <f t="shared" ref="N833:P833" si="836">IF(LEN($C833)&gt;0,H833-E833,"")</f>
        <v>-116919.3107</v>
      </c>
      <c r="O833" s="6">
        <f t="shared" si="836"/>
        <v>-3.665764069</v>
      </c>
      <c r="P833" s="6">
        <f t="shared" si="836"/>
        <v>-1.320357641</v>
      </c>
      <c r="Q833" s="6"/>
      <c r="R833" s="6"/>
      <c r="S833" s="6"/>
      <c r="T833" s="6"/>
      <c r="U833" s="6"/>
      <c r="V833" s="6"/>
      <c r="W833" s="6"/>
      <c r="X833" s="6"/>
      <c r="Y833" s="6"/>
      <c r="Z833" s="6"/>
      <c r="AA833" s="6"/>
      <c r="AB833" s="6"/>
      <c r="AC833" s="6"/>
      <c r="AD833" s="6"/>
      <c r="AE833" s="6"/>
      <c r="AF833" s="6"/>
      <c r="AG833" s="6"/>
    </row>
    <row r="834" ht="14.25" customHeight="1">
      <c r="A834" s="6"/>
      <c r="B834" s="6"/>
      <c r="C834" s="6">
        <v>827.0</v>
      </c>
      <c r="D834" s="6"/>
      <c r="E834" s="6">
        <v>7291310.753252155</v>
      </c>
      <c r="F834" s="6">
        <v>468.9895023895966</v>
      </c>
      <c r="G834" s="6">
        <v>5.111874511769053</v>
      </c>
      <c r="H834" s="6">
        <v>7172046.9732675385</v>
      </c>
      <c r="I834" s="6">
        <v>464.92663103101626</v>
      </c>
      <c r="J834" s="6">
        <v>3.8487249419211795</v>
      </c>
      <c r="K834" s="6"/>
      <c r="L834" s="6"/>
      <c r="M834" s="6"/>
      <c r="N834" s="6">
        <f t="shared" ref="N834:P834" si="837">IF(LEN($C834)&gt;0,H834-E834,"")</f>
        <v>-119263.78</v>
      </c>
      <c r="O834" s="6">
        <f t="shared" si="837"/>
        <v>-4.062871359</v>
      </c>
      <c r="P834" s="6">
        <f t="shared" si="837"/>
        <v>-1.26314957</v>
      </c>
      <c r="Q834" s="6"/>
      <c r="R834" s="6"/>
      <c r="S834" s="6"/>
      <c r="T834" s="6"/>
      <c r="U834" s="6"/>
      <c r="V834" s="6"/>
      <c r="W834" s="6"/>
      <c r="X834" s="6"/>
      <c r="Y834" s="6"/>
      <c r="Z834" s="6"/>
      <c r="AA834" s="6"/>
      <c r="AB834" s="6"/>
      <c r="AC834" s="6"/>
      <c r="AD834" s="6"/>
      <c r="AE834" s="6"/>
      <c r="AF834" s="6"/>
      <c r="AG834" s="6"/>
    </row>
    <row r="835" ht="14.25" customHeight="1">
      <c r="A835" s="6"/>
      <c r="B835" s="6"/>
      <c r="C835" s="6">
        <v>828.0</v>
      </c>
      <c r="D835" s="6"/>
      <c r="E835" s="6">
        <v>5719079.965522948</v>
      </c>
      <c r="F835" s="6">
        <v>454.3651287928328</v>
      </c>
      <c r="G835" s="6">
        <v>5.525208186473575</v>
      </c>
      <c r="H835" s="6">
        <v>5623872.4857061505</v>
      </c>
      <c r="I835" s="6">
        <v>449.7720050307525</v>
      </c>
      <c r="J835" s="6">
        <v>4.332949529946513</v>
      </c>
      <c r="K835" s="6"/>
      <c r="L835" s="6"/>
      <c r="M835" s="6"/>
      <c r="N835" s="6">
        <f t="shared" ref="N835:P835" si="838">IF(LEN($C835)&gt;0,H835-E835,"")</f>
        <v>-95207.47982</v>
      </c>
      <c r="O835" s="6">
        <f t="shared" si="838"/>
        <v>-4.593123762</v>
      </c>
      <c r="P835" s="6">
        <f t="shared" si="838"/>
        <v>-1.192258657</v>
      </c>
      <c r="Q835" s="6"/>
      <c r="R835" s="6"/>
      <c r="S835" s="6"/>
      <c r="T835" s="6"/>
      <c r="U835" s="6"/>
      <c r="V835" s="6"/>
      <c r="W835" s="6"/>
      <c r="X835" s="6"/>
      <c r="Y835" s="6"/>
      <c r="Z835" s="6"/>
      <c r="AA835" s="6"/>
      <c r="AB835" s="6"/>
      <c r="AC835" s="6"/>
      <c r="AD835" s="6"/>
      <c r="AE835" s="6"/>
      <c r="AF835" s="6"/>
      <c r="AG835" s="6"/>
    </row>
    <row r="836" ht="14.25" customHeight="1">
      <c r="A836" s="6"/>
      <c r="B836" s="6"/>
      <c r="C836" s="6">
        <v>829.0</v>
      </c>
      <c r="D836" s="6"/>
      <c r="E836" s="6">
        <v>7326472.296730517</v>
      </c>
      <c r="F836" s="6">
        <v>485.67017953994656</v>
      </c>
      <c r="G836" s="6">
        <v>5.941190666664181</v>
      </c>
      <c r="H836" s="6">
        <v>7259024.697642281</v>
      </c>
      <c r="I836" s="6">
        <v>482.23401413006945</v>
      </c>
      <c r="J836" s="6">
        <v>4.785788994662579</v>
      </c>
      <c r="K836" s="6"/>
      <c r="L836" s="6"/>
      <c r="M836" s="6"/>
      <c r="N836" s="6">
        <f t="shared" ref="N836:P836" si="839">IF(LEN($C836)&gt;0,H836-E836,"")</f>
        <v>-67447.59909</v>
      </c>
      <c r="O836" s="6">
        <f t="shared" si="839"/>
        <v>-3.43616541</v>
      </c>
      <c r="P836" s="6">
        <f t="shared" si="839"/>
        <v>-1.155401672</v>
      </c>
      <c r="Q836" s="6"/>
      <c r="R836" s="6"/>
      <c r="S836" s="6"/>
      <c r="T836" s="6"/>
      <c r="U836" s="6"/>
      <c r="V836" s="6"/>
      <c r="W836" s="6"/>
      <c r="X836" s="6"/>
      <c r="Y836" s="6"/>
      <c r="Z836" s="6"/>
      <c r="AA836" s="6"/>
      <c r="AB836" s="6"/>
      <c r="AC836" s="6"/>
      <c r="AD836" s="6"/>
      <c r="AE836" s="6"/>
      <c r="AF836" s="6"/>
      <c r="AG836" s="6"/>
    </row>
    <row r="837" ht="14.25" customHeight="1">
      <c r="A837" s="6"/>
      <c r="B837" s="6"/>
      <c r="C837" s="6">
        <v>830.0</v>
      </c>
      <c r="D837" s="6"/>
      <c r="E837" s="6">
        <v>7223687.857936377</v>
      </c>
      <c r="F837" s="6">
        <v>475.54907910871026</v>
      </c>
      <c r="G837" s="6">
        <v>4.797681215005794</v>
      </c>
      <c r="H837" s="6">
        <v>7114922.23881025</v>
      </c>
      <c r="I837" s="6">
        <v>470.51141721035077</v>
      </c>
      <c r="J837" s="6">
        <v>3.459282340578881</v>
      </c>
      <c r="K837" s="6"/>
      <c r="L837" s="6"/>
      <c r="M837" s="6"/>
      <c r="N837" s="6">
        <f t="shared" ref="N837:P837" si="840">IF(LEN($C837)&gt;0,H837-E837,"")</f>
        <v>-108765.6191</v>
      </c>
      <c r="O837" s="6">
        <f t="shared" si="840"/>
        <v>-5.037661898</v>
      </c>
      <c r="P837" s="6">
        <f t="shared" si="840"/>
        <v>-1.338398874</v>
      </c>
      <c r="Q837" s="6"/>
      <c r="R837" s="6"/>
      <c r="S837" s="6"/>
      <c r="T837" s="6"/>
      <c r="U837" s="6"/>
      <c r="V837" s="6"/>
      <c r="W837" s="6"/>
      <c r="X837" s="6"/>
      <c r="Y837" s="6"/>
      <c r="Z837" s="6"/>
      <c r="AA837" s="6"/>
      <c r="AB837" s="6"/>
      <c r="AC837" s="6"/>
      <c r="AD837" s="6"/>
      <c r="AE837" s="6"/>
      <c r="AF837" s="6"/>
      <c r="AG837" s="6"/>
    </row>
    <row r="838" ht="14.25" customHeight="1">
      <c r="A838" s="6"/>
      <c r="B838" s="6"/>
      <c r="C838" s="6">
        <v>831.0</v>
      </c>
      <c r="D838" s="6"/>
      <c r="E838" s="6">
        <v>7443461.162161493</v>
      </c>
      <c r="F838" s="6">
        <v>467.62287417033787</v>
      </c>
      <c r="G838" s="6">
        <v>5.397267760910134</v>
      </c>
      <c r="H838" s="6">
        <v>7313322.511194532</v>
      </c>
      <c r="I838" s="6">
        <v>462.62035080992877</v>
      </c>
      <c r="J838" s="6">
        <v>4.2762167643895275</v>
      </c>
      <c r="K838" s="6"/>
      <c r="L838" s="6"/>
      <c r="M838" s="6"/>
      <c r="N838" s="6">
        <f t="shared" ref="N838:P838" si="841">IF(LEN($C838)&gt;0,H838-E838,"")</f>
        <v>-130138.651</v>
      </c>
      <c r="O838" s="6">
        <f t="shared" si="841"/>
        <v>-5.00252336</v>
      </c>
      <c r="P838" s="6">
        <f t="shared" si="841"/>
        <v>-1.121050997</v>
      </c>
      <c r="Q838" s="6"/>
      <c r="R838" s="6"/>
      <c r="S838" s="6"/>
      <c r="T838" s="6"/>
      <c r="U838" s="6"/>
      <c r="V838" s="6"/>
      <c r="W838" s="6"/>
      <c r="X838" s="6"/>
      <c r="Y838" s="6"/>
      <c r="Z838" s="6"/>
      <c r="AA838" s="6"/>
      <c r="AB838" s="6"/>
      <c r="AC838" s="6"/>
      <c r="AD838" s="6"/>
      <c r="AE838" s="6"/>
      <c r="AF838" s="6"/>
      <c r="AG838" s="6"/>
    </row>
    <row r="839" ht="14.25" customHeight="1">
      <c r="A839" s="6"/>
      <c r="B839" s="6"/>
      <c r="C839" s="6">
        <v>832.0</v>
      </c>
      <c r="D839" s="6"/>
      <c r="E839" s="6">
        <v>7488115.691114027</v>
      </c>
      <c r="F839" s="6">
        <v>482.94266470580413</v>
      </c>
      <c r="G839" s="6">
        <v>4.154177081359654</v>
      </c>
      <c r="H839" s="6">
        <v>7421277.362680986</v>
      </c>
      <c r="I839" s="6">
        <v>480.87585620936096</v>
      </c>
      <c r="J839" s="6">
        <v>3.416968554440214</v>
      </c>
      <c r="K839" s="6"/>
      <c r="L839" s="6"/>
      <c r="M839" s="6"/>
      <c r="N839" s="6">
        <f t="shared" ref="N839:P839" si="842">IF(LEN($C839)&gt;0,H839-E839,"")</f>
        <v>-66838.32843</v>
      </c>
      <c r="O839" s="6">
        <f t="shared" si="842"/>
        <v>-2.066808496</v>
      </c>
      <c r="P839" s="6">
        <f t="shared" si="842"/>
        <v>-0.7372085269</v>
      </c>
      <c r="Q839" s="6"/>
      <c r="R839" s="6"/>
      <c r="S839" s="6"/>
      <c r="T839" s="6"/>
      <c r="U839" s="6"/>
      <c r="V839" s="6"/>
      <c r="W839" s="6"/>
      <c r="X839" s="6"/>
      <c r="Y839" s="6"/>
      <c r="Z839" s="6"/>
      <c r="AA839" s="6"/>
      <c r="AB839" s="6"/>
      <c r="AC839" s="6"/>
      <c r="AD839" s="6"/>
      <c r="AE839" s="6"/>
      <c r="AF839" s="6"/>
      <c r="AG839" s="6"/>
    </row>
    <row r="840" ht="14.25" customHeight="1">
      <c r="A840" s="6"/>
      <c r="B840" s="6"/>
      <c r="C840" s="6">
        <v>833.0</v>
      </c>
      <c r="D840" s="6"/>
      <c r="E840" s="6">
        <v>6428763.318817181</v>
      </c>
      <c r="F840" s="6">
        <v>458.02630761890583</v>
      </c>
      <c r="G840" s="6">
        <v>5.579714692154162</v>
      </c>
      <c r="H840" s="6">
        <v>6359023.546978024</v>
      </c>
      <c r="I840" s="6">
        <v>455.79759848686587</v>
      </c>
      <c r="J840" s="6">
        <v>4.331831916606669</v>
      </c>
      <c r="K840" s="6"/>
      <c r="L840" s="6"/>
      <c r="M840" s="6"/>
      <c r="N840" s="6">
        <f t="shared" ref="N840:P840" si="843">IF(LEN($C840)&gt;0,H840-E840,"")</f>
        <v>-69739.77184</v>
      </c>
      <c r="O840" s="6">
        <f t="shared" si="843"/>
        <v>-2.228709132</v>
      </c>
      <c r="P840" s="6">
        <f t="shared" si="843"/>
        <v>-1.247882776</v>
      </c>
      <c r="Q840" s="6"/>
      <c r="R840" s="6"/>
      <c r="S840" s="6"/>
      <c r="T840" s="6"/>
      <c r="U840" s="6"/>
      <c r="V840" s="6"/>
      <c r="W840" s="6"/>
      <c r="X840" s="6"/>
      <c r="Y840" s="6"/>
      <c r="Z840" s="6"/>
      <c r="AA840" s="6"/>
      <c r="AB840" s="6"/>
      <c r="AC840" s="6"/>
      <c r="AD840" s="6"/>
      <c r="AE840" s="6"/>
      <c r="AF840" s="6"/>
      <c r="AG840" s="6"/>
    </row>
    <row r="841" ht="14.25" customHeight="1">
      <c r="A841" s="6"/>
      <c r="B841" s="6"/>
      <c r="C841" s="6">
        <v>834.0</v>
      </c>
      <c r="D841" s="6"/>
      <c r="E841" s="6">
        <v>6983843.4615085535</v>
      </c>
      <c r="F841" s="6">
        <v>499.6185427266579</v>
      </c>
      <c r="G841" s="6">
        <v>4.429257564213369</v>
      </c>
      <c r="H841" s="6">
        <v>6864435.409545891</v>
      </c>
      <c r="I841" s="6">
        <v>493.9403945861531</v>
      </c>
      <c r="J841" s="6">
        <v>3.165476287048824</v>
      </c>
      <c r="K841" s="6"/>
      <c r="L841" s="6"/>
      <c r="M841" s="6"/>
      <c r="N841" s="6">
        <f t="shared" ref="N841:P841" si="844">IF(LEN($C841)&gt;0,H841-E841,"")</f>
        <v>-119408.052</v>
      </c>
      <c r="O841" s="6">
        <f t="shared" si="844"/>
        <v>-5.678148141</v>
      </c>
      <c r="P841" s="6">
        <f t="shared" si="844"/>
        <v>-1.263781277</v>
      </c>
      <c r="Q841" s="6"/>
      <c r="R841" s="6"/>
      <c r="S841" s="6"/>
      <c r="T841" s="6"/>
      <c r="U841" s="6"/>
      <c r="V841" s="6"/>
      <c r="W841" s="6"/>
      <c r="X841" s="6"/>
      <c r="Y841" s="6"/>
      <c r="Z841" s="6"/>
      <c r="AA841" s="6"/>
      <c r="AB841" s="6"/>
      <c r="AC841" s="6"/>
      <c r="AD841" s="6"/>
      <c r="AE841" s="6"/>
      <c r="AF841" s="6"/>
      <c r="AG841" s="6"/>
    </row>
    <row r="842" ht="14.25" customHeight="1">
      <c r="A842" s="6"/>
      <c r="B842" s="6"/>
      <c r="C842" s="6">
        <v>835.0</v>
      </c>
      <c r="D842" s="6"/>
      <c r="E842" s="6">
        <v>6108539.023521794</v>
      </c>
      <c r="F842" s="6">
        <v>440.81703198860447</v>
      </c>
      <c r="G842" s="6">
        <v>5.088440502875027</v>
      </c>
      <c r="H842" s="6">
        <v>5955999.690019664</v>
      </c>
      <c r="I842" s="6">
        <v>436.17930466699966</v>
      </c>
      <c r="J842" s="6">
        <v>3.542398860628574</v>
      </c>
      <c r="K842" s="6"/>
      <c r="L842" s="6"/>
      <c r="M842" s="6"/>
      <c r="N842" s="6">
        <f t="shared" ref="N842:P842" si="845">IF(LEN($C842)&gt;0,H842-E842,"")</f>
        <v>-152539.3335</v>
      </c>
      <c r="O842" s="6">
        <f t="shared" si="845"/>
        <v>-4.637727322</v>
      </c>
      <c r="P842" s="6">
        <f t="shared" si="845"/>
        <v>-1.546041642</v>
      </c>
      <c r="Q842" s="6"/>
      <c r="R842" s="6"/>
      <c r="S842" s="6"/>
      <c r="T842" s="6"/>
      <c r="U842" s="6"/>
      <c r="V842" s="6"/>
      <c r="W842" s="6"/>
      <c r="X842" s="6"/>
      <c r="Y842" s="6"/>
      <c r="Z842" s="6"/>
      <c r="AA842" s="6"/>
      <c r="AB842" s="6"/>
      <c r="AC842" s="6"/>
      <c r="AD842" s="6"/>
      <c r="AE842" s="6"/>
      <c r="AF842" s="6"/>
      <c r="AG842" s="6"/>
    </row>
    <row r="843" ht="14.25" customHeight="1">
      <c r="A843" s="6"/>
      <c r="B843" s="6"/>
      <c r="C843" s="6">
        <v>836.0</v>
      </c>
      <c r="D843" s="6"/>
      <c r="E843" s="6">
        <v>6849684.40452056</v>
      </c>
      <c r="F843" s="6">
        <v>495.1822384021889</v>
      </c>
      <c r="G843" s="6">
        <v>5.072554762033835</v>
      </c>
      <c r="H843" s="6">
        <v>6719903.994473218</v>
      </c>
      <c r="I843" s="6">
        <v>488.7383344509811</v>
      </c>
      <c r="J843" s="6">
        <v>3.952924765160188</v>
      </c>
      <c r="K843" s="6"/>
      <c r="L843" s="6"/>
      <c r="M843" s="6"/>
      <c r="N843" s="6">
        <f t="shared" ref="N843:P843" si="846">IF(LEN($C843)&gt;0,H843-E843,"")</f>
        <v>-129780.41</v>
      </c>
      <c r="O843" s="6">
        <f t="shared" si="846"/>
        <v>-6.443903951</v>
      </c>
      <c r="P843" s="6">
        <f t="shared" si="846"/>
        <v>-1.119629997</v>
      </c>
      <c r="Q843" s="6"/>
      <c r="R843" s="6"/>
      <c r="S843" s="6"/>
      <c r="T843" s="6"/>
      <c r="U843" s="6"/>
      <c r="V843" s="6"/>
      <c r="W843" s="6"/>
      <c r="X843" s="6"/>
      <c r="Y843" s="6"/>
      <c r="Z843" s="6"/>
      <c r="AA843" s="6"/>
      <c r="AB843" s="6"/>
      <c r="AC843" s="6"/>
      <c r="AD843" s="6"/>
      <c r="AE843" s="6"/>
      <c r="AF843" s="6"/>
      <c r="AG843" s="6"/>
    </row>
    <row r="844" ht="14.25" customHeight="1">
      <c r="A844" s="6"/>
      <c r="B844" s="6"/>
      <c r="C844" s="6">
        <v>837.0</v>
      </c>
      <c r="D844" s="6"/>
      <c r="E844" s="6">
        <v>7702048.718439687</v>
      </c>
      <c r="F844" s="6">
        <v>441.1546165031309</v>
      </c>
      <c r="G844" s="6">
        <v>5.258364827531326</v>
      </c>
      <c r="H844" s="6">
        <v>7605204.472534819</v>
      </c>
      <c r="I844" s="6">
        <v>437.52455605091615</v>
      </c>
      <c r="J844" s="6">
        <v>4.063276471567386</v>
      </c>
      <c r="K844" s="6"/>
      <c r="L844" s="6"/>
      <c r="M844" s="6"/>
      <c r="N844" s="6">
        <f t="shared" ref="N844:P844" si="847">IF(LEN($C844)&gt;0,H844-E844,"")</f>
        <v>-96844.2459</v>
      </c>
      <c r="O844" s="6">
        <f t="shared" si="847"/>
        <v>-3.630060452</v>
      </c>
      <c r="P844" s="6">
        <f t="shared" si="847"/>
        <v>-1.195088356</v>
      </c>
      <c r="Q844" s="6"/>
      <c r="R844" s="6"/>
      <c r="S844" s="6"/>
      <c r="T844" s="6"/>
      <c r="U844" s="6"/>
      <c r="V844" s="6"/>
      <c r="W844" s="6"/>
      <c r="X844" s="6"/>
      <c r="Y844" s="6"/>
      <c r="Z844" s="6"/>
      <c r="AA844" s="6"/>
      <c r="AB844" s="6"/>
      <c r="AC844" s="6"/>
      <c r="AD844" s="6"/>
      <c r="AE844" s="6"/>
      <c r="AF844" s="6"/>
      <c r="AG844" s="6"/>
    </row>
    <row r="845" ht="14.25" customHeight="1">
      <c r="A845" s="6"/>
      <c r="B845" s="6"/>
      <c r="C845" s="6">
        <v>838.0</v>
      </c>
      <c r="D845" s="6"/>
      <c r="E845" s="6">
        <v>8039079.3707295675</v>
      </c>
      <c r="F845" s="6">
        <v>442.87187322315174</v>
      </c>
      <c r="G845" s="6">
        <v>4.596395727831583</v>
      </c>
      <c r="H845" s="6">
        <v>7937407.510526304</v>
      </c>
      <c r="I845" s="6">
        <v>437.45972829554177</v>
      </c>
      <c r="J845" s="6">
        <v>3.482897330262941</v>
      </c>
      <c r="K845" s="6"/>
      <c r="L845" s="6"/>
      <c r="M845" s="6"/>
      <c r="N845" s="6">
        <f t="shared" ref="N845:P845" si="848">IF(LEN($C845)&gt;0,H845-E845,"")</f>
        <v>-101671.8602</v>
      </c>
      <c r="O845" s="6">
        <f t="shared" si="848"/>
        <v>-5.412144928</v>
      </c>
      <c r="P845" s="6">
        <f t="shared" si="848"/>
        <v>-1.113498398</v>
      </c>
      <c r="Q845" s="6"/>
      <c r="R845" s="6"/>
      <c r="S845" s="6"/>
      <c r="T845" s="6"/>
      <c r="U845" s="6"/>
      <c r="V845" s="6"/>
      <c r="W845" s="6"/>
      <c r="X845" s="6"/>
      <c r="Y845" s="6"/>
      <c r="Z845" s="6"/>
      <c r="AA845" s="6"/>
      <c r="AB845" s="6"/>
      <c r="AC845" s="6"/>
      <c r="AD845" s="6"/>
      <c r="AE845" s="6"/>
      <c r="AF845" s="6"/>
      <c r="AG845" s="6"/>
    </row>
    <row r="846" ht="14.25" customHeight="1">
      <c r="A846" s="6"/>
      <c r="B846" s="6"/>
      <c r="C846" s="6">
        <v>839.0</v>
      </c>
      <c r="D846" s="6"/>
      <c r="E846" s="6">
        <v>6392723.395323189</v>
      </c>
      <c r="F846" s="6">
        <v>435.42374332453744</v>
      </c>
      <c r="G846" s="6">
        <v>5.475072567897404</v>
      </c>
      <c r="H846" s="6">
        <v>6303251.557414459</v>
      </c>
      <c r="I846" s="6">
        <v>433.1715559330335</v>
      </c>
      <c r="J846" s="6">
        <v>4.248574782658846</v>
      </c>
      <c r="K846" s="6"/>
      <c r="L846" s="6"/>
      <c r="M846" s="6"/>
      <c r="N846" s="6">
        <f t="shared" ref="N846:P846" si="849">IF(LEN($C846)&gt;0,H846-E846,"")</f>
        <v>-89471.83791</v>
      </c>
      <c r="O846" s="6">
        <f t="shared" si="849"/>
        <v>-2.252187392</v>
      </c>
      <c r="P846" s="6">
        <f t="shared" si="849"/>
        <v>-1.226497785</v>
      </c>
      <c r="Q846" s="6"/>
      <c r="R846" s="6"/>
      <c r="S846" s="6"/>
      <c r="T846" s="6"/>
      <c r="U846" s="6"/>
      <c r="V846" s="6"/>
      <c r="W846" s="6"/>
      <c r="X846" s="6"/>
      <c r="Y846" s="6"/>
      <c r="Z846" s="6"/>
      <c r="AA846" s="6"/>
      <c r="AB846" s="6"/>
      <c r="AC846" s="6"/>
      <c r="AD846" s="6"/>
      <c r="AE846" s="6"/>
      <c r="AF846" s="6"/>
      <c r="AG846" s="6"/>
    </row>
    <row r="847" ht="14.25" customHeight="1">
      <c r="A847" s="6"/>
      <c r="B847" s="6"/>
      <c r="C847" s="6">
        <v>840.0</v>
      </c>
      <c r="D847" s="6"/>
      <c r="E847" s="6">
        <v>8183125.178873748</v>
      </c>
      <c r="F847" s="6">
        <v>447.39367669428407</v>
      </c>
      <c r="G847" s="6">
        <v>4.6573808481827355</v>
      </c>
      <c r="H847" s="6">
        <v>8100789.409815576</v>
      </c>
      <c r="I847" s="6">
        <v>443.3689809663616</v>
      </c>
      <c r="J847" s="6">
        <v>3.4861292145573177</v>
      </c>
      <c r="K847" s="6"/>
      <c r="L847" s="6"/>
      <c r="M847" s="6"/>
      <c r="N847" s="6">
        <f t="shared" ref="N847:P847" si="850">IF(LEN($C847)&gt;0,H847-E847,"")</f>
        <v>-82335.76906</v>
      </c>
      <c r="O847" s="6">
        <f t="shared" si="850"/>
        <v>-4.024695728</v>
      </c>
      <c r="P847" s="6">
        <f t="shared" si="850"/>
        <v>-1.171251634</v>
      </c>
      <c r="Q847" s="6"/>
      <c r="R847" s="6"/>
      <c r="S847" s="6"/>
      <c r="T847" s="6"/>
      <c r="U847" s="6"/>
      <c r="V847" s="6"/>
      <c r="W847" s="6"/>
      <c r="X847" s="6"/>
      <c r="Y847" s="6"/>
      <c r="Z847" s="6"/>
      <c r="AA847" s="6"/>
      <c r="AB847" s="6"/>
      <c r="AC847" s="6"/>
      <c r="AD847" s="6"/>
      <c r="AE847" s="6"/>
      <c r="AF847" s="6"/>
      <c r="AG847" s="6"/>
    </row>
    <row r="848" ht="14.25" customHeight="1">
      <c r="A848" s="6"/>
      <c r="B848" s="6"/>
      <c r="C848" s="6">
        <v>841.0</v>
      </c>
      <c r="D848" s="6"/>
      <c r="E848" s="6">
        <v>8752570.76771477</v>
      </c>
      <c r="F848" s="6">
        <v>479.52778168637815</v>
      </c>
      <c r="G848" s="6">
        <v>5.320278273742822</v>
      </c>
      <c r="H848" s="6">
        <v>8579388.05900266</v>
      </c>
      <c r="I848" s="6">
        <v>472.47325869925385</v>
      </c>
      <c r="J848" s="6">
        <v>4.103076063226207</v>
      </c>
      <c r="K848" s="6"/>
      <c r="L848" s="6"/>
      <c r="M848" s="6"/>
      <c r="N848" s="6">
        <f t="shared" ref="N848:P848" si="851">IF(LEN($C848)&gt;0,H848-E848,"")</f>
        <v>-173182.7087</v>
      </c>
      <c r="O848" s="6">
        <f t="shared" si="851"/>
        <v>-7.054522987</v>
      </c>
      <c r="P848" s="6">
        <f t="shared" si="851"/>
        <v>-1.217202211</v>
      </c>
      <c r="Q848" s="6"/>
      <c r="R848" s="6"/>
      <c r="S848" s="6"/>
      <c r="T848" s="6"/>
      <c r="U848" s="6"/>
      <c r="V848" s="6"/>
      <c r="W848" s="6"/>
      <c r="X848" s="6"/>
      <c r="Y848" s="6"/>
      <c r="Z848" s="6"/>
      <c r="AA848" s="6"/>
      <c r="AB848" s="6"/>
      <c r="AC848" s="6"/>
      <c r="AD848" s="6"/>
      <c r="AE848" s="6"/>
      <c r="AF848" s="6"/>
      <c r="AG848" s="6"/>
    </row>
    <row r="849" ht="14.25" customHeight="1">
      <c r="A849" s="6"/>
      <c r="B849" s="6"/>
      <c r="C849" s="6">
        <v>842.0</v>
      </c>
      <c r="D849" s="6"/>
      <c r="E849" s="6">
        <v>7387325.871138918</v>
      </c>
      <c r="F849" s="6">
        <v>483.5953474020367</v>
      </c>
      <c r="G849" s="6">
        <v>4.5827044994680834</v>
      </c>
      <c r="H849" s="6">
        <v>7297166.385159711</v>
      </c>
      <c r="I849" s="6">
        <v>479.8893682335432</v>
      </c>
      <c r="J849" s="6">
        <v>3.501022001888889</v>
      </c>
      <c r="K849" s="6"/>
      <c r="L849" s="6"/>
      <c r="M849" s="6"/>
      <c r="N849" s="6">
        <f t="shared" ref="N849:P849" si="852">IF(LEN($C849)&gt;0,H849-E849,"")</f>
        <v>-90159.48598</v>
      </c>
      <c r="O849" s="6">
        <f t="shared" si="852"/>
        <v>-3.705979168</v>
      </c>
      <c r="P849" s="6">
        <f t="shared" si="852"/>
        <v>-1.081682498</v>
      </c>
      <c r="Q849" s="6"/>
      <c r="R849" s="6"/>
      <c r="S849" s="6"/>
      <c r="T849" s="6"/>
      <c r="U849" s="6"/>
      <c r="V849" s="6"/>
      <c r="W849" s="6"/>
      <c r="X849" s="6"/>
      <c r="Y849" s="6"/>
      <c r="Z849" s="6"/>
      <c r="AA849" s="6"/>
      <c r="AB849" s="6"/>
      <c r="AC849" s="6"/>
      <c r="AD849" s="6"/>
      <c r="AE849" s="6"/>
      <c r="AF849" s="6"/>
      <c r="AG849" s="6"/>
    </row>
    <row r="850" ht="14.25" customHeight="1">
      <c r="A850" s="6"/>
      <c r="B850" s="6"/>
      <c r="C850" s="6">
        <v>843.0</v>
      </c>
      <c r="D850" s="6"/>
      <c r="E850" s="6">
        <v>7030650.431847053</v>
      </c>
      <c r="F850" s="6">
        <v>486.3951812559601</v>
      </c>
      <c r="G850" s="6">
        <v>4.3001263390541515</v>
      </c>
      <c r="H850" s="6">
        <v>6928330.549306303</v>
      </c>
      <c r="I850" s="6">
        <v>481.882101216284</v>
      </c>
      <c r="J850" s="6">
        <v>2.9989613836791316</v>
      </c>
      <c r="K850" s="6"/>
      <c r="L850" s="6"/>
      <c r="M850" s="6"/>
      <c r="N850" s="6">
        <f t="shared" ref="N850:P850" si="853">IF(LEN($C850)&gt;0,H850-E850,"")</f>
        <v>-102319.8825</v>
      </c>
      <c r="O850" s="6">
        <f t="shared" si="853"/>
        <v>-4.51308004</v>
      </c>
      <c r="P850" s="6">
        <f t="shared" si="853"/>
        <v>-1.301164955</v>
      </c>
      <c r="Q850" s="6"/>
      <c r="R850" s="6"/>
      <c r="S850" s="6"/>
      <c r="T850" s="6"/>
      <c r="U850" s="6"/>
      <c r="V850" s="6"/>
      <c r="W850" s="6"/>
      <c r="X850" s="6"/>
      <c r="Y850" s="6"/>
      <c r="Z850" s="6"/>
      <c r="AA850" s="6"/>
      <c r="AB850" s="6"/>
      <c r="AC850" s="6"/>
      <c r="AD850" s="6"/>
      <c r="AE850" s="6"/>
      <c r="AF850" s="6"/>
      <c r="AG850" s="6"/>
    </row>
    <row r="851" ht="14.25" customHeight="1">
      <c r="A851" s="6"/>
      <c r="B851" s="6"/>
      <c r="C851" s="6">
        <v>844.0</v>
      </c>
      <c r="D851" s="6"/>
      <c r="E851" s="6">
        <v>4911097.57443527</v>
      </c>
      <c r="F851" s="6">
        <v>460.6547883461861</v>
      </c>
      <c r="G851" s="6">
        <v>6.532897431555715</v>
      </c>
      <c r="H851" s="6">
        <v>4847036.634401125</v>
      </c>
      <c r="I851" s="6">
        <v>457.50506661247834</v>
      </c>
      <c r="J851" s="6">
        <v>5.684214583222939</v>
      </c>
      <c r="K851" s="6"/>
      <c r="L851" s="6"/>
      <c r="M851" s="6"/>
      <c r="N851" s="6">
        <f t="shared" ref="N851:P851" si="854">IF(LEN($C851)&gt;0,H851-E851,"")</f>
        <v>-64060.94003</v>
      </c>
      <c r="O851" s="6">
        <f t="shared" si="854"/>
        <v>-3.149721734</v>
      </c>
      <c r="P851" s="6">
        <f t="shared" si="854"/>
        <v>-0.8486828483</v>
      </c>
      <c r="Q851" s="6"/>
      <c r="R851" s="6"/>
      <c r="S851" s="6"/>
      <c r="T851" s="6"/>
      <c r="U851" s="6"/>
      <c r="V851" s="6"/>
      <c r="W851" s="6"/>
      <c r="X851" s="6"/>
      <c r="Y851" s="6"/>
      <c r="Z851" s="6"/>
      <c r="AA851" s="6"/>
      <c r="AB851" s="6"/>
      <c r="AC851" s="6"/>
      <c r="AD851" s="6"/>
      <c r="AE851" s="6"/>
      <c r="AF851" s="6"/>
      <c r="AG851" s="6"/>
    </row>
    <row r="852" ht="14.25" customHeight="1">
      <c r="A852" s="6"/>
      <c r="B852" s="6"/>
      <c r="C852" s="6">
        <v>845.0</v>
      </c>
      <c r="D852" s="6"/>
      <c r="E852" s="6">
        <v>6916405.1494817035</v>
      </c>
      <c r="F852" s="6">
        <v>442.2011054228223</v>
      </c>
      <c r="G852" s="6">
        <v>5.077188880677592</v>
      </c>
      <c r="H852" s="6">
        <v>6833794.91592375</v>
      </c>
      <c r="I852" s="6">
        <v>439.38298479010325</v>
      </c>
      <c r="J852" s="6">
        <v>4.062025082446675</v>
      </c>
      <c r="K852" s="6"/>
      <c r="L852" s="6"/>
      <c r="M852" s="6"/>
      <c r="N852" s="6">
        <f t="shared" ref="N852:P852" si="855">IF(LEN($C852)&gt;0,H852-E852,"")</f>
        <v>-82610.23356</v>
      </c>
      <c r="O852" s="6">
        <f t="shared" si="855"/>
        <v>-2.818120633</v>
      </c>
      <c r="P852" s="6">
        <f t="shared" si="855"/>
        <v>-1.015163798</v>
      </c>
      <c r="Q852" s="6"/>
      <c r="R852" s="6"/>
      <c r="S852" s="6"/>
      <c r="T852" s="6"/>
      <c r="U852" s="6"/>
      <c r="V852" s="6"/>
      <c r="W852" s="6"/>
      <c r="X852" s="6"/>
      <c r="Y852" s="6"/>
      <c r="Z852" s="6"/>
      <c r="AA852" s="6"/>
      <c r="AB852" s="6"/>
      <c r="AC852" s="6"/>
      <c r="AD852" s="6"/>
      <c r="AE852" s="6"/>
      <c r="AF852" s="6"/>
      <c r="AG852" s="6"/>
    </row>
    <row r="853" ht="14.25" customHeight="1">
      <c r="A853" s="6"/>
      <c r="B853" s="6"/>
      <c r="C853" s="6">
        <v>846.0</v>
      </c>
      <c r="D853" s="6"/>
      <c r="E853" s="6">
        <v>9466290.537595471</v>
      </c>
      <c r="F853" s="6">
        <v>486.8744349531778</v>
      </c>
      <c r="G853" s="6">
        <v>4.976039048418878</v>
      </c>
      <c r="H853" s="6">
        <v>9228624.54639286</v>
      </c>
      <c r="I853" s="6">
        <v>476.0929016437982</v>
      </c>
      <c r="J853" s="6">
        <v>3.4085023367816656</v>
      </c>
      <c r="K853" s="6"/>
      <c r="L853" s="6"/>
      <c r="M853" s="6"/>
      <c r="N853" s="6">
        <f t="shared" ref="N853:P853" si="856">IF(LEN($C853)&gt;0,H853-E853,"")</f>
        <v>-237665.9912</v>
      </c>
      <c r="O853" s="6">
        <f t="shared" si="856"/>
        <v>-10.78153331</v>
      </c>
      <c r="P853" s="6">
        <f t="shared" si="856"/>
        <v>-1.567536712</v>
      </c>
      <c r="Q853" s="6"/>
      <c r="R853" s="6"/>
      <c r="S853" s="6"/>
      <c r="T853" s="6"/>
      <c r="U853" s="6"/>
      <c r="V853" s="6"/>
      <c r="W853" s="6"/>
      <c r="X853" s="6"/>
      <c r="Y853" s="6"/>
      <c r="Z853" s="6"/>
      <c r="AA853" s="6"/>
      <c r="AB853" s="6"/>
      <c r="AC853" s="6"/>
      <c r="AD853" s="6"/>
      <c r="AE853" s="6"/>
      <c r="AF853" s="6"/>
      <c r="AG853" s="6"/>
    </row>
    <row r="854" ht="14.25" customHeight="1">
      <c r="A854" s="6"/>
      <c r="B854" s="6"/>
      <c r="C854" s="6">
        <v>847.0</v>
      </c>
      <c r="D854" s="6"/>
      <c r="E854" s="6">
        <v>1.0092201282190327E7</v>
      </c>
      <c r="F854" s="6">
        <v>482.82725395644786</v>
      </c>
      <c r="G854" s="6">
        <v>4.125727293590524</v>
      </c>
      <c r="H854" s="6">
        <v>9956847.35222205</v>
      </c>
      <c r="I854" s="6">
        <v>480.01722321198724</v>
      </c>
      <c r="J854" s="6">
        <v>2.734570125607973</v>
      </c>
      <c r="K854" s="6"/>
      <c r="L854" s="6"/>
      <c r="M854" s="6"/>
      <c r="N854" s="6">
        <f t="shared" ref="N854:P854" si="857">IF(LEN($C854)&gt;0,H854-E854,"")</f>
        <v>-135353.93</v>
      </c>
      <c r="O854" s="6">
        <f t="shared" si="857"/>
        <v>-2.810030744</v>
      </c>
      <c r="P854" s="6">
        <f t="shared" si="857"/>
        <v>-1.391157168</v>
      </c>
      <c r="Q854" s="6"/>
      <c r="R854" s="6"/>
      <c r="S854" s="6"/>
      <c r="T854" s="6"/>
      <c r="U854" s="6"/>
      <c r="V854" s="6"/>
      <c r="W854" s="6"/>
      <c r="X854" s="6"/>
      <c r="Y854" s="6"/>
      <c r="Z854" s="6"/>
      <c r="AA854" s="6"/>
      <c r="AB854" s="6"/>
      <c r="AC854" s="6"/>
      <c r="AD854" s="6"/>
      <c r="AE854" s="6"/>
      <c r="AF854" s="6"/>
      <c r="AG854" s="6"/>
    </row>
    <row r="855" ht="14.25" customHeight="1">
      <c r="A855" s="6"/>
      <c r="B855" s="6"/>
      <c r="C855" s="6">
        <v>848.0</v>
      </c>
      <c r="D855" s="6"/>
      <c r="E855" s="6">
        <v>7227511.610982678</v>
      </c>
      <c r="F855" s="6">
        <v>487.05920950807666</v>
      </c>
      <c r="G855" s="6">
        <v>4.484940069167214</v>
      </c>
      <c r="H855" s="6">
        <v>7136433.938240938</v>
      </c>
      <c r="I855" s="6">
        <v>482.6850411355199</v>
      </c>
      <c r="J855" s="6">
        <v>3.618484534767695</v>
      </c>
      <c r="K855" s="6"/>
      <c r="L855" s="6"/>
      <c r="M855" s="6"/>
      <c r="N855" s="6">
        <f t="shared" ref="N855:P855" si="858">IF(LEN($C855)&gt;0,H855-E855,"")</f>
        <v>-91077.67274</v>
      </c>
      <c r="O855" s="6">
        <f t="shared" si="858"/>
        <v>-4.374168373</v>
      </c>
      <c r="P855" s="6">
        <f t="shared" si="858"/>
        <v>-0.8664555344</v>
      </c>
      <c r="Q855" s="6"/>
      <c r="R855" s="6"/>
      <c r="S855" s="6"/>
      <c r="T855" s="6"/>
      <c r="U855" s="6"/>
      <c r="V855" s="6"/>
      <c r="W855" s="6"/>
      <c r="X855" s="6"/>
      <c r="Y855" s="6"/>
      <c r="Z855" s="6"/>
      <c r="AA855" s="6"/>
      <c r="AB855" s="6"/>
      <c r="AC855" s="6"/>
      <c r="AD855" s="6"/>
      <c r="AE855" s="6"/>
      <c r="AF855" s="6"/>
      <c r="AG855" s="6"/>
    </row>
    <row r="856" ht="14.25" customHeight="1">
      <c r="A856" s="6"/>
      <c r="B856" s="6"/>
      <c r="C856" s="6">
        <v>849.0</v>
      </c>
      <c r="D856" s="6"/>
      <c r="E856" s="6">
        <v>8285268.800542045</v>
      </c>
      <c r="F856" s="6">
        <v>467.3351821934043</v>
      </c>
      <c r="G856" s="6">
        <v>4.1168654959154045</v>
      </c>
      <c r="H856" s="6">
        <v>8217088.05754487</v>
      </c>
      <c r="I856" s="6">
        <v>463.74133936453654</v>
      </c>
      <c r="J856" s="6">
        <v>3.069481498675856</v>
      </c>
      <c r="K856" s="6"/>
      <c r="L856" s="6"/>
      <c r="M856" s="6"/>
      <c r="N856" s="6">
        <f t="shared" ref="N856:P856" si="859">IF(LEN($C856)&gt;0,H856-E856,"")</f>
        <v>-68180.743</v>
      </c>
      <c r="O856" s="6">
        <f t="shared" si="859"/>
        <v>-3.593842829</v>
      </c>
      <c r="P856" s="6">
        <f t="shared" si="859"/>
        <v>-1.047383997</v>
      </c>
      <c r="Q856" s="6"/>
      <c r="R856" s="6"/>
      <c r="S856" s="6"/>
      <c r="T856" s="6"/>
      <c r="U856" s="6"/>
      <c r="V856" s="6"/>
      <c r="W856" s="6"/>
      <c r="X856" s="6"/>
      <c r="Y856" s="6"/>
      <c r="Z856" s="6"/>
      <c r="AA856" s="6"/>
      <c r="AB856" s="6"/>
      <c r="AC856" s="6"/>
      <c r="AD856" s="6"/>
      <c r="AE856" s="6"/>
      <c r="AF856" s="6"/>
      <c r="AG856" s="6"/>
    </row>
    <row r="857" ht="14.25" customHeight="1">
      <c r="A857" s="6"/>
      <c r="B857" s="6"/>
      <c r="C857" s="6">
        <v>850.0</v>
      </c>
      <c r="D857" s="6"/>
      <c r="E857" s="6">
        <v>6599459.6137267845</v>
      </c>
      <c r="F857" s="6">
        <v>440.81083125491426</v>
      </c>
      <c r="G857" s="6">
        <v>4.8377300425405725</v>
      </c>
      <c r="H857" s="6">
        <v>6495665.252777577</v>
      </c>
      <c r="I857" s="6">
        <v>435.66576266030665</v>
      </c>
      <c r="J857" s="6">
        <v>3.2840300362267287</v>
      </c>
      <c r="K857" s="6"/>
      <c r="L857" s="6"/>
      <c r="M857" s="6"/>
      <c r="N857" s="6">
        <f t="shared" ref="N857:P857" si="860">IF(LEN($C857)&gt;0,H857-E857,"")</f>
        <v>-103794.3609</v>
      </c>
      <c r="O857" s="6">
        <f t="shared" si="860"/>
        <v>-5.145068595</v>
      </c>
      <c r="P857" s="6">
        <f t="shared" si="860"/>
        <v>-1.553700006</v>
      </c>
      <c r="Q857" s="6"/>
      <c r="R857" s="6"/>
      <c r="S857" s="6"/>
      <c r="T857" s="6"/>
      <c r="U857" s="6"/>
      <c r="V857" s="6"/>
      <c r="W857" s="6"/>
      <c r="X857" s="6"/>
      <c r="Y857" s="6"/>
      <c r="Z857" s="6"/>
      <c r="AA857" s="6"/>
      <c r="AB857" s="6"/>
      <c r="AC857" s="6"/>
      <c r="AD857" s="6"/>
      <c r="AE857" s="6"/>
      <c r="AF857" s="6"/>
      <c r="AG857" s="6"/>
    </row>
    <row r="858" ht="14.25" customHeight="1">
      <c r="A858" s="6"/>
      <c r="B858" s="6"/>
      <c r="C858" s="6">
        <v>851.0</v>
      </c>
      <c r="D858" s="6"/>
      <c r="E858" s="6">
        <v>7685562.190646507</v>
      </c>
      <c r="F858" s="6">
        <v>474.22841120276286</v>
      </c>
      <c r="G858" s="6">
        <v>3.8249830166179026</v>
      </c>
      <c r="H858" s="6">
        <v>7625356.925113061</v>
      </c>
      <c r="I858" s="6">
        <v>471.0682783021524</v>
      </c>
      <c r="J858" s="6">
        <v>3.0626970332624395</v>
      </c>
      <c r="K858" s="6"/>
      <c r="L858" s="6"/>
      <c r="M858" s="6"/>
      <c r="N858" s="6">
        <f t="shared" ref="N858:P858" si="861">IF(LEN($C858)&gt;0,H858-E858,"")</f>
        <v>-60205.26553</v>
      </c>
      <c r="O858" s="6">
        <f t="shared" si="861"/>
        <v>-3.160132901</v>
      </c>
      <c r="P858" s="6">
        <f t="shared" si="861"/>
        <v>-0.7622859834</v>
      </c>
      <c r="Q858" s="6"/>
      <c r="R858" s="6"/>
      <c r="S858" s="6"/>
      <c r="T858" s="6"/>
      <c r="U858" s="6"/>
      <c r="V858" s="6"/>
      <c r="W858" s="6"/>
      <c r="X858" s="6"/>
      <c r="Y858" s="6"/>
      <c r="Z858" s="6"/>
      <c r="AA858" s="6"/>
      <c r="AB858" s="6"/>
      <c r="AC858" s="6"/>
      <c r="AD858" s="6"/>
      <c r="AE858" s="6"/>
      <c r="AF858" s="6"/>
      <c r="AG858" s="6"/>
    </row>
    <row r="859" ht="14.25" customHeight="1">
      <c r="A859" s="6"/>
      <c r="B859" s="6"/>
      <c r="C859" s="6">
        <v>852.0</v>
      </c>
      <c r="D859" s="6"/>
      <c r="E859" s="6">
        <v>8461709.044327062</v>
      </c>
      <c r="F859" s="6">
        <v>469.9119671073485</v>
      </c>
      <c r="G859" s="6">
        <v>4.713229648852519</v>
      </c>
      <c r="H859" s="6">
        <v>8351478.823700469</v>
      </c>
      <c r="I859" s="6">
        <v>465.9135090440112</v>
      </c>
      <c r="J859" s="6">
        <v>3.2882460363677772</v>
      </c>
      <c r="K859" s="6"/>
      <c r="L859" s="6"/>
      <c r="M859" s="6"/>
      <c r="N859" s="6">
        <f t="shared" ref="N859:P859" si="862">IF(LEN($C859)&gt;0,H859-E859,"")</f>
        <v>-110230.2206</v>
      </c>
      <c r="O859" s="6">
        <f t="shared" si="862"/>
        <v>-3.998458063</v>
      </c>
      <c r="P859" s="6">
        <f t="shared" si="862"/>
        <v>-1.424983612</v>
      </c>
      <c r="Q859" s="6"/>
      <c r="R859" s="6"/>
      <c r="S859" s="6"/>
      <c r="T859" s="6"/>
      <c r="U859" s="6"/>
      <c r="V859" s="6"/>
      <c r="W859" s="6"/>
      <c r="X859" s="6"/>
      <c r="Y859" s="6"/>
      <c r="Z859" s="6"/>
      <c r="AA859" s="6"/>
      <c r="AB859" s="6"/>
      <c r="AC859" s="6"/>
      <c r="AD859" s="6"/>
      <c r="AE859" s="6"/>
      <c r="AF859" s="6"/>
      <c r="AG859" s="6"/>
    </row>
    <row r="860" ht="14.25" customHeight="1">
      <c r="A860" s="6"/>
      <c r="B860" s="6"/>
      <c r="C860" s="6">
        <v>853.0</v>
      </c>
      <c r="D860" s="6"/>
      <c r="E860" s="6">
        <v>6342782.912283974</v>
      </c>
      <c r="F860" s="6">
        <v>445.54981016701004</v>
      </c>
      <c r="G860" s="6">
        <v>4.760527501963472</v>
      </c>
      <c r="H860" s="6">
        <v>6299855.092236936</v>
      </c>
      <c r="I860" s="6">
        <v>443.91011053023135</v>
      </c>
      <c r="J860" s="6">
        <v>3.4869342992734995</v>
      </c>
      <c r="K860" s="6"/>
      <c r="L860" s="6"/>
      <c r="M860" s="6"/>
      <c r="N860" s="6">
        <f t="shared" ref="N860:P860" si="863">IF(LEN($C860)&gt;0,H860-E860,"")</f>
        <v>-42927.82005</v>
      </c>
      <c r="O860" s="6">
        <f t="shared" si="863"/>
        <v>-1.639699637</v>
      </c>
      <c r="P860" s="6">
        <f t="shared" si="863"/>
        <v>-1.273593203</v>
      </c>
      <c r="Q860" s="6"/>
      <c r="R860" s="6"/>
      <c r="S860" s="6"/>
      <c r="T860" s="6"/>
      <c r="U860" s="6"/>
      <c r="V860" s="6"/>
      <c r="W860" s="6"/>
      <c r="X860" s="6"/>
      <c r="Y860" s="6"/>
      <c r="Z860" s="6"/>
      <c r="AA860" s="6"/>
      <c r="AB860" s="6"/>
      <c r="AC860" s="6"/>
      <c r="AD860" s="6"/>
      <c r="AE860" s="6"/>
      <c r="AF860" s="6"/>
      <c r="AG860" s="6"/>
    </row>
    <row r="861" ht="14.25" customHeight="1">
      <c r="A861" s="6"/>
      <c r="B861" s="6"/>
      <c r="C861" s="6">
        <v>854.0</v>
      </c>
      <c r="D861" s="6"/>
      <c r="E861" s="6">
        <v>6794482.534948143</v>
      </c>
      <c r="F861" s="6">
        <v>487.60467631320364</v>
      </c>
      <c r="G861" s="6">
        <v>5.082488014768239</v>
      </c>
      <c r="H861" s="6">
        <v>6685039.239557888</v>
      </c>
      <c r="I861" s="6">
        <v>482.45468125435355</v>
      </c>
      <c r="J861" s="6">
        <v>4.043694497855459</v>
      </c>
      <c r="K861" s="6"/>
      <c r="L861" s="6"/>
      <c r="M861" s="6"/>
      <c r="N861" s="6">
        <f t="shared" ref="N861:P861" si="864">IF(LEN($C861)&gt;0,H861-E861,"")</f>
        <v>-109443.2954</v>
      </c>
      <c r="O861" s="6">
        <f t="shared" si="864"/>
        <v>-5.149995059</v>
      </c>
      <c r="P861" s="6">
        <f t="shared" si="864"/>
        <v>-1.038793517</v>
      </c>
      <c r="Q861" s="6"/>
      <c r="R861" s="6"/>
      <c r="S861" s="6"/>
      <c r="T861" s="6"/>
      <c r="U861" s="6"/>
      <c r="V861" s="6"/>
      <c r="W861" s="6"/>
      <c r="X861" s="6"/>
      <c r="Y861" s="6"/>
      <c r="Z861" s="6"/>
      <c r="AA861" s="6"/>
      <c r="AB861" s="6"/>
      <c r="AC861" s="6"/>
      <c r="AD861" s="6"/>
      <c r="AE861" s="6"/>
      <c r="AF861" s="6"/>
      <c r="AG861" s="6"/>
    </row>
    <row r="862" ht="14.25" customHeight="1">
      <c r="A862" s="6"/>
      <c r="B862" s="6"/>
      <c r="C862" s="6">
        <v>855.0</v>
      </c>
      <c r="D862" s="6"/>
      <c r="E862" s="6">
        <v>8238645.500032324</v>
      </c>
      <c r="F862" s="6">
        <v>498.451355920149</v>
      </c>
      <c r="G862" s="6">
        <v>5.097769518895444</v>
      </c>
      <c r="H862" s="6">
        <v>8035590.996928472</v>
      </c>
      <c r="I862" s="6">
        <v>491.3814829256884</v>
      </c>
      <c r="J862" s="6">
        <v>3.4893119799179297</v>
      </c>
      <c r="K862" s="6"/>
      <c r="L862" s="6"/>
      <c r="M862" s="6"/>
      <c r="N862" s="6">
        <f t="shared" ref="N862:P862" si="865">IF(LEN($C862)&gt;0,H862-E862,"")</f>
        <v>-203054.5031</v>
      </c>
      <c r="O862" s="6">
        <f t="shared" si="865"/>
        <v>-7.069872994</v>
      </c>
      <c r="P862" s="6">
        <f t="shared" si="865"/>
        <v>-1.608457539</v>
      </c>
      <c r="Q862" s="6"/>
      <c r="R862" s="6"/>
      <c r="S862" s="6"/>
      <c r="T862" s="6"/>
      <c r="U862" s="6"/>
      <c r="V862" s="6"/>
      <c r="W862" s="6"/>
      <c r="X862" s="6"/>
      <c r="Y862" s="6"/>
      <c r="Z862" s="6"/>
      <c r="AA862" s="6"/>
      <c r="AB862" s="6"/>
      <c r="AC862" s="6"/>
      <c r="AD862" s="6"/>
      <c r="AE862" s="6"/>
      <c r="AF862" s="6"/>
      <c r="AG862" s="6"/>
    </row>
    <row r="863" ht="14.25" customHeight="1">
      <c r="A863" s="6"/>
      <c r="B863" s="6"/>
      <c r="C863" s="6">
        <v>856.0</v>
      </c>
      <c r="D863" s="6"/>
      <c r="E863" s="6">
        <v>8622403.450981343</v>
      </c>
      <c r="F863" s="6">
        <v>466.2554945563386</v>
      </c>
      <c r="G863" s="6">
        <v>5.9074674822411195</v>
      </c>
      <c r="H863" s="6">
        <v>8520290.454027465</v>
      </c>
      <c r="I863" s="6">
        <v>462.19428593842366</v>
      </c>
      <c r="J863" s="6">
        <v>4.38372440621767</v>
      </c>
      <c r="K863" s="6"/>
      <c r="L863" s="6"/>
      <c r="M863" s="6"/>
      <c r="N863" s="6">
        <f t="shared" ref="N863:P863" si="866">IF(LEN($C863)&gt;0,H863-E863,"")</f>
        <v>-102112.997</v>
      </c>
      <c r="O863" s="6">
        <f t="shared" si="866"/>
        <v>-4.061208618</v>
      </c>
      <c r="P863" s="6">
        <f t="shared" si="866"/>
        <v>-1.523743076</v>
      </c>
      <c r="Q863" s="6"/>
      <c r="R863" s="6"/>
      <c r="S863" s="6"/>
      <c r="T863" s="6"/>
      <c r="U863" s="6"/>
      <c r="V863" s="6"/>
      <c r="W863" s="6"/>
      <c r="X863" s="6"/>
      <c r="Y863" s="6"/>
      <c r="Z863" s="6"/>
      <c r="AA863" s="6"/>
      <c r="AB863" s="6"/>
      <c r="AC863" s="6"/>
      <c r="AD863" s="6"/>
      <c r="AE863" s="6"/>
      <c r="AF863" s="6"/>
      <c r="AG863" s="6"/>
    </row>
    <row r="864" ht="14.25" customHeight="1">
      <c r="A864" s="6"/>
      <c r="B864" s="6"/>
      <c r="C864" s="6">
        <v>857.0</v>
      </c>
      <c r="D864" s="6"/>
      <c r="E864" s="6">
        <v>8586160.96049396</v>
      </c>
      <c r="F864" s="6">
        <v>502.8651448793382</v>
      </c>
      <c r="G864" s="6">
        <v>5.202061758168047</v>
      </c>
      <c r="H864" s="6">
        <v>8400404.736267116</v>
      </c>
      <c r="I864" s="6">
        <v>495.34263437136434</v>
      </c>
      <c r="J864" s="6">
        <v>3.856088223417201</v>
      </c>
      <c r="K864" s="6"/>
      <c r="L864" s="6"/>
      <c r="M864" s="6"/>
      <c r="N864" s="6">
        <f t="shared" ref="N864:P864" si="867">IF(LEN($C864)&gt;0,H864-E864,"")</f>
        <v>-185756.2242</v>
      </c>
      <c r="O864" s="6">
        <f t="shared" si="867"/>
        <v>-7.522510508</v>
      </c>
      <c r="P864" s="6">
        <f t="shared" si="867"/>
        <v>-1.345973535</v>
      </c>
      <c r="Q864" s="6"/>
      <c r="R864" s="6"/>
      <c r="S864" s="6"/>
      <c r="T864" s="6"/>
      <c r="U864" s="6"/>
      <c r="V864" s="6"/>
      <c r="W864" s="6"/>
      <c r="X864" s="6"/>
      <c r="Y864" s="6"/>
      <c r="Z864" s="6"/>
      <c r="AA864" s="6"/>
      <c r="AB864" s="6"/>
      <c r="AC864" s="6"/>
      <c r="AD864" s="6"/>
      <c r="AE864" s="6"/>
      <c r="AF864" s="6"/>
      <c r="AG864" s="6"/>
    </row>
    <row r="865" ht="14.25" customHeight="1">
      <c r="A865" s="6"/>
      <c r="B865" s="6"/>
      <c r="C865" s="6">
        <v>858.0</v>
      </c>
      <c r="D865" s="6"/>
      <c r="E865" s="6">
        <v>6881445.124245944</v>
      </c>
      <c r="F865" s="6">
        <v>437.9762320604713</v>
      </c>
      <c r="G865" s="6">
        <v>4.370716818386509</v>
      </c>
      <c r="H865" s="6">
        <v>6814390.8200712865</v>
      </c>
      <c r="I865" s="6">
        <v>434.86239675190126</v>
      </c>
      <c r="J865" s="6">
        <v>3.288911640645317</v>
      </c>
      <c r="K865" s="6"/>
      <c r="L865" s="6"/>
      <c r="M865" s="6"/>
      <c r="N865" s="6">
        <f t="shared" ref="N865:P865" si="868">IF(LEN($C865)&gt;0,H865-E865,"")</f>
        <v>-67054.30417</v>
      </c>
      <c r="O865" s="6">
        <f t="shared" si="868"/>
        <v>-3.113835309</v>
      </c>
      <c r="P865" s="6">
        <f t="shared" si="868"/>
        <v>-1.081805178</v>
      </c>
      <c r="Q865" s="6"/>
      <c r="R865" s="6"/>
      <c r="S865" s="6"/>
      <c r="T865" s="6"/>
      <c r="U865" s="6"/>
      <c r="V865" s="6"/>
      <c r="W865" s="6"/>
      <c r="X865" s="6"/>
      <c r="Y865" s="6"/>
      <c r="Z865" s="6"/>
      <c r="AA865" s="6"/>
      <c r="AB865" s="6"/>
      <c r="AC865" s="6"/>
      <c r="AD865" s="6"/>
      <c r="AE865" s="6"/>
      <c r="AF865" s="6"/>
      <c r="AG865" s="6"/>
    </row>
    <row r="866" ht="14.25" customHeight="1">
      <c r="A866" s="6"/>
      <c r="B866" s="6"/>
      <c r="C866" s="6">
        <v>859.0</v>
      </c>
      <c r="D866" s="6"/>
      <c r="E866" s="6">
        <v>5938877.42388927</v>
      </c>
      <c r="F866" s="6">
        <v>470.0861078201024</v>
      </c>
      <c r="G866" s="6">
        <v>5.083686485318964</v>
      </c>
      <c r="H866" s="6">
        <v>5849001.650542482</v>
      </c>
      <c r="I866" s="6">
        <v>466.80630124150485</v>
      </c>
      <c r="J866" s="6">
        <v>3.4909036319045414</v>
      </c>
      <c r="K866" s="6"/>
      <c r="L866" s="6"/>
      <c r="M866" s="6"/>
      <c r="N866" s="6">
        <f t="shared" ref="N866:P866" si="869">IF(LEN($C866)&gt;0,H866-E866,"")</f>
        <v>-89875.77335</v>
      </c>
      <c r="O866" s="6">
        <f t="shared" si="869"/>
        <v>-3.279806579</v>
      </c>
      <c r="P866" s="6">
        <f t="shared" si="869"/>
        <v>-1.592782853</v>
      </c>
      <c r="Q866" s="6"/>
      <c r="R866" s="6"/>
      <c r="S866" s="6"/>
      <c r="T866" s="6"/>
      <c r="U866" s="6"/>
      <c r="V866" s="6"/>
      <c r="W866" s="6"/>
      <c r="X866" s="6"/>
      <c r="Y866" s="6"/>
      <c r="Z866" s="6"/>
      <c r="AA866" s="6"/>
      <c r="AB866" s="6"/>
      <c r="AC866" s="6"/>
      <c r="AD866" s="6"/>
      <c r="AE866" s="6"/>
      <c r="AF866" s="6"/>
      <c r="AG866" s="6"/>
    </row>
    <row r="867" ht="14.25" customHeight="1">
      <c r="A867" s="6"/>
      <c r="B867" s="6"/>
      <c r="C867" s="6">
        <v>860.0</v>
      </c>
      <c r="D867" s="6"/>
      <c r="E867" s="6">
        <v>7690249.151519524</v>
      </c>
      <c r="F867" s="6">
        <v>516.3209083416475</v>
      </c>
      <c r="G867" s="6">
        <v>4.411794126653702</v>
      </c>
      <c r="H867" s="6">
        <v>7496633.251599871</v>
      </c>
      <c r="I867" s="6">
        <v>506.11091625347206</v>
      </c>
      <c r="J867" s="6">
        <v>3.074575969030651</v>
      </c>
      <c r="K867" s="6"/>
      <c r="L867" s="6"/>
      <c r="M867" s="6"/>
      <c r="N867" s="6">
        <f t="shared" ref="N867:P867" si="870">IF(LEN($C867)&gt;0,H867-E867,"")</f>
        <v>-193615.8999</v>
      </c>
      <c r="O867" s="6">
        <f t="shared" si="870"/>
        <v>-10.20999209</v>
      </c>
      <c r="P867" s="6">
        <f t="shared" si="870"/>
        <v>-1.337218158</v>
      </c>
      <c r="Q867" s="6"/>
      <c r="R867" s="6"/>
      <c r="S867" s="6"/>
      <c r="T867" s="6"/>
      <c r="U867" s="6"/>
      <c r="V867" s="6"/>
      <c r="W867" s="6"/>
      <c r="X867" s="6"/>
      <c r="Y867" s="6"/>
      <c r="Z867" s="6"/>
      <c r="AA867" s="6"/>
      <c r="AB867" s="6"/>
      <c r="AC867" s="6"/>
      <c r="AD867" s="6"/>
      <c r="AE867" s="6"/>
      <c r="AF867" s="6"/>
      <c r="AG867" s="6"/>
    </row>
    <row r="868" ht="14.25" customHeight="1">
      <c r="A868" s="6"/>
      <c r="B868" s="6"/>
      <c r="C868" s="6">
        <v>861.0</v>
      </c>
      <c r="D868" s="6"/>
      <c r="E868" s="6">
        <v>6075721.351303123</v>
      </c>
      <c r="F868" s="6">
        <v>464.66172249004785</v>
      </c>
      <c r="G868" s="6">
        <v>5.9532348603825245</v>
      </c>
      <c r="H868" s="6">
        <v>5987340.001309739</v>
      </c>
      <c r="I868" s="6">
        <v>461.082244201498</v>
      </c>
      <c r="J868" s="6">
        <v>4.736567039451491</v>
      </c>
      <c r="K868" s="6"/>
      <c r="L868" s="6"/>
      <c r="M868" s="6"/>
      <c r="N868" s="6">
        <f t="shared" ref="N868:P868" si="871">IF(LEN($C868)&gt;0,H868-E868,"")</f>
        <v>-88381.34999</v>
      </c>
      <c r="O868" s="6">
        <f t="shared" si="871"/>
        <v>-3.579478289</v>
      </c>
      <c r="P868" s="6">
        <f t="shared" si="871"/>
        <v>-1.216667821</v>
      </c>
      <c r="Q868" s="6"/>
      <c r="R868" s="6"/>
      <c r="S868" s="6"/>
      <c r="T868" s="6"/>
      <c r="U868" s="6"/>
      <c r="V868" s="6"/>
      <c r="W868" s="6"/>
      <c r="X868" s="6"/>
      <c r="Y868" s="6"/>
      <c r="Z868" s="6"/>
      <c r="AA868" s="6"/>
      <c r="AB868" s="6"/>
      <c r="AC868" s="6"/>
      <c r="AD868" s="6"/>
      <c r="AE868" s="6"/>
      <c r="AF868" s="6"/>
      <c r="AG868" s="6"/>
    </row>
    <row r="869" ht="14.25" customHeight="1">
      <c r="A869" s="6"/>
      <c r="B869" s="6"/>
      <c r="C869" s="6">
        <v>862.0</v>
      </c>
      <c r="D869" s="6"/>
      <c r="E869" s="6">
        <v>7206835.977353052</v>
      </c>
      <c r="F869" s="6">
        <v>443.3822239488063</v>
      </c>
      <c r="G869" s="6">
        <v>5.4856724775308505</v>
      </c>
      <c r="H869" s="6">
        <v>7097071.233693172</v>
      </c>
      <c r="I869" s="6">
        <v>439.8774262668107</v>
      </c>
      <c r="J869" s="6">
        <v>3.7894213932119643</v>
      </c>
      <c r="K869" s="6"/>
      <c r="L869" s="6"/>
      <c r="M869" s="6"/>
      <c r="N869" s="6">
        <f t="shared" ref="N869:P869" si="872">IF(LEN($C869)&gt;0,H869-E869,"")</f>
        <v>-109764.7437</v>
      </c>
      <c r="O869" s="6">
        <f t="shared" si="872"/>
        <v>-3.504797682</v>
      </c>
      <c r="P869" s="6">
        <f t="shared" si="872"/>
        <v>-1.696251084</v>
      </c>
      <c r="Q869" s="6"/>
      <c r="R869" s="6"/>
      <c r="S869" s="6"/>
      <c r="T869" s="6"/>
      <c r="U869" s="6"/>
      <c r="V869" s="6"/>
      <c r="W869" s="6"/>
      <c r="X869" s="6"/>
      <c r="Y869" s="6"/>
      <c r="Z869" s="6"/>
      <c r="AA869" s="6"/>
      <c r="AB869" s="6"/>
      <c r="AC869" s="6"/>
      <c r="AD869" s="6"/>
      <c r="AE869" s="6"/>
      <c r="AF869" s="6"/>
      <c r="AG869" s="6"/>
    </row>
    <row r="870" ht="14.25" customHeight="1">
      <c r="A870" s="6"/>
      <c r="B870" s="6"/>
      <c r="C870" s="6">
        <v>863.0</v>
      </c>
      <c r="D870" s="6"/>
      <c r="E870" s="6">
        <v>8700358.647951841</v>
      </c>
      <c r="F870" s="6">
        <v>462.0745195759483</v>
      </c>
      <c r="G870" s="6">
        <v>4.876147866079805</v>
      </c>
      <c r="H870" s="6">
        <v>8490903.870823497</v>
      </c>
      <c r="I870" s="6">
        <v>452.05284191021036</v>
      </c>
      <c r="J870" s="6">
        <v>3.301525521329548</v>
      </c>
      <c r="K870" s="6"/>
      <c r="L870" s="6"/>
      <c r="M870" s="6"/>
      <c r="N870" s="6">
        <f t="shared" ref="N870:P870" si="873">IF(LEN($C870)&gt;0,H870-E870,"")</f>
        <v>-209454.7771</v>
      </c>
      <c r="O870" s="6">
        <f t="shared" si="873"/>
        <v>-10.02167767</v>
      </c>
      <c r="P870" s="6">
        <f t="shared" si="873"/>
        <v>-1.574622345</v>
      </c>
      <c r="Q870" s="6"/>
      <c r="R870" s="6"/>
      <c r="S870" s="6"/>
      <c r="T870" s="6"/>
      <c r="U870" s="6"/>
      <c r="V870" s="6"/>
      <c r="W870" s="6"/>
      <c r="X870" s="6"/>
      <c r="Y870" s="6"/>
      <c r="Z870" s="6"/>
      <c r="AA870" s="6"/>
      <c r="AB870" s="6"/>
      <c r="AC870" s="6"/>
      <c r="AD870" s="6"/>
      <c r="AE870" s="6"/>
      <c r="AF870" s="6"/>
      <c r="AG870" s="6"/>
    </row>
    <row r="871" ht="14.25" customHeight="1">
      <c r="A871" s="6"/>
      <c r="B871" s="6"/>
      <c r="C871" s="6">
        <v>864.0</v>
      </c>
      <c r="D871" s="6"/>
      <c r="E871" s="6">
        <v>9855018.840551492</v>
      </c>
      <c r="F871" s="6">
        <v>503.1940165637519</v>
      </c>
      <c r="G871" s="6">
        <v>5.278183480775948</v>
      </c>
      <c r="H871" s="6">
        <v>9592637.954442902</v>
      </c>
      <c r="I871" s="6">
        <v>489.72004868141727</v>
      </c>
      <c r="J871" s="6">
        <v>3.7027788024263804</v>
      </c>
      <c r="K871" s="6"/>
      <c r="L871" s="6"/>
      <c r="M871" s="6"/>
      <c r="N871" s="6">
        <f t="shared" ref="N871:P871" si="874">IF(LEN($C871)&gt;0,H871-E871,"")</f>
        <v>-262380.8861</v>
      </c>
      <c r="O871" s="6">
        <f t="shared" si="874"/>
        <v>-13.47396788</v>
      </c>
      <c r="P871" s="6">
        <f t="shared" si="874"/>
        <v>-1.575404678</v>
      </c>
      <c r="Q871" s="6"/>
      <c r="R871" s="6"/>
      <c r="S871" s="6"/>
      <c r="T871" s="6"/>
      <c r="U871" s="6"/>
      <c r="V871" s="6"/>
      <c r="W871" s="6"/>
      <c r="X871" s="6"/>
      <c r="Y871" s="6"/>
      <c r="Z871" s="6"/>
      <c r="AA871" s="6"/>
      <c r="AB871" s="6"/>
      <c r="AC871" s="6"/>
      <c r="AD871" s="6"/>
      <c r="AE871" s="6"/>
      <c r="AF871" s="6"/>
      <c r="AG871" s="6"/>
    </row>
    <row r="872" ht="14.25" customHeight="1">
      <c r="A872" s="6"/>
      <c r="B872" s="6"/>
      <c r="C872" s="6">
        <v>865.0</v>
      </c>
      <c r="D872" s="6"/>
      <c r="E872" s="6">
        <v>8160790.931176294</v>
      </c>
      <c r="F872" s="6">
        <v>499.9808612790138</v>
      </c>
      <c r="G872" s="6">
        <v>5.308019488769334</v>
      </c>
      <c r="H872" s="6">
        <v>8089835.554444299</v>
      </c>
      <c r="I872" s="6">
        <v>497.3040746116516</v>
      </c>
      <c r="J872" s="6">
        <v>4.199460681676141</v>
      </c>
      <c r="K872" s="6"/>
      <c r="L872" s="6"/>
      <c r="M872" s="6"/>
      <c r="N872" s="6">
        <f t="shared" ref="N872:P872" si="875">IF(LEN($C872)&gt;0,H872-E872,"")</f>
        <v>-70955.37673</v>
      </c>
      <c r="O872" s="6">
        <f t="shared" si="875"/>
        <v>-2.676786667</v>
      </c>
      <c r="P872" s="6">
        <f t="shared" si="875"/>
        <v>-1.108558807</v>
      </c>
      <c r="Q872" s="6"/>
      <c r="R872" s="6"/>
      <c r="S872" s="6"/>
      <c r="T872" s="6"/>
      <c r="U872" s="6"/>
      <c r="V872" s="6"/>
      <c r="W872" s="6"/>
      <c r="X872" s="6"/>
      <c r="Y872" s="6"/>
      <c r="Z872" s="6"/>
      <c r="AA872" s="6"/>
      <c r="AB872" s="6"/>
      <c r="AC872" s="6"/>
      <c r="AD872" s="6"/>
      <c r="AE872" s="6"/>
      <c r="AF872" s="6"/>
      <c r="AG872" s="6"/>
    </row>
    <row r="873" ht="14.25" customHeight="1">
      <c r="A873" s="6"/>
      <c r="B873" s="6"/>
      <c r="C873" s="6">
        <v>866.0</v>
      </c>
      <c r="D873" s="6"/>
      <c r="E873" s="6">
        <v>5959603.98113841</v>
      </c>
      <c r="F873" s="6">
        <v>440.4018027737941</v>
      </c>
      <c r="G873" s="6">
        <v>4.085529066846281</v>
      </c>
      <c r="H873" s="6">
        <v>5873642.07841374</v>
      </c>
      <c r="I873" s="6">
        <v>436.8969605358553</v>
      </c>
      <c r="J873" s="6">
        <v>3.1183841385006557</v>
      </c>
      <c r="K873" s="6"/>
      <c r="L873" s="6"/>
      <c r="M873" s="6"/>
      <c r="N873" s="6">
        <f t="shared" ref="N873:P873" si="876">IF(LEN($C873)&gt;0,H873-E873,"")</f>
        <v>-85961.90272</v>
      </c>
      <c r="O873" s="6">
        <f t="shared" si="876"/>
        <v>-3.504842238</v>
      </c>
      <c r="P873" s="6">
        <f t="shared" si="876"/>
        <v>-0.9671449283</v>
      </c>
      <c r="Q873" s="6"/>
      <c r="R873" s="6"/>
      <c r="S873" s="6"/>
      <c r="T873" s="6"/>
      <c r="U873" s="6"/>
      <c r="V873" s="6"/>
      <c r="W873" s="6"/>
      <c r="X873" s="6"/>
      <c r="Y873" s="6"/>
      <c r="Z873" s="6"/>
      <c r="AA873" s="6"/>
      <c r="AB873" s="6"/>
      <c r="AC873" s="6"/>
      <c r="AD873" s="6"/>
      <c r="AE873" s="6"/>
      <c r="AF873" s="6"/>
      <c r="AG873" s="6"/>
    </row>
    <row r="874" ht="14.25" customHeight="1">
      <c r="A874" s="6"/>
      <c r="B874" s="6"/>
      <c r="C874" s="6">
        <v>867.0</v>
      </c>
      <c r="D874" s="6"/>
      <c r="E874" s="6">
        <v>7694774.76805292</v>
      </c>
      <c r="F874" s="6">
        <v>500.0223633890003</v>
      </c>
      <c r="G874" s="6">
        <v>5.2705100522818</v>
      </c>
      <c r="H874" s="6">
        <v>7566172.857450857</v>
      </c>
      <c r="I874" s="6">
        <v>493.12808854246725</v>
      </c>
      <c r="J874" s="6">
        <v>3.9635705514489397</v>
      </c>
      <c r="K874" s="6"/>
      <c r="L874" s="6"/>
      <c r="M874" s="6"/>
      <c r="N874" s="6">
        <f t="shared" ref="N874:P874" si="877">IF(LEN($C874)&gt;0,H874-E874,"")</f>
        <v>-128601.9106</v>
      </c>
      <c r="O874" s="6">
        <f t="shared" si="877"/>
        <v>-6.894274847</v>
      </c>
      <c r="P874" s="6">
        <f t="shared" si="877"/>
        <v>-1.306939501</v>
      </c>
      <c r="Q874" s="6"/>
      <c r="R874" s="6"/>
      <c r="S874" s="6"/>
      <c r="T874" s="6"/>
      <c r="U874" s="6"/>
      <c r="V874" s="6"/>
      <c r="W874" s="6"/>
      <c r="X874" s="6"/>
      <c r="Y874" s="6"/>
      <c r="Z874" s="6"/>
      <c r="AA874" s="6"/>
      <c r="AB874" s="6"/>
      <c r="AC874" s="6"/>
      <c r="AD874" s="6"/>
      <c r="AE874" s="6"/>
      <c r="AF874" s="6"/>
      <c r="AG874" s="6"/>
    </row>
    <row r="875" ht="14.25" customHeight="1">
      <c r="A875" s="6"/>
      <c r="B875" s="6"/>
      <c r="C875" s="6">
        <v>868.0</v>
      </c>
      <c r="D875" s="6"/>
      <c r="E875" s="6">
        <v>5089806.79851453</v>
      </c>
      <c r="F875" s="6">
        <v>453.0781454414329</v>
      </c>
      <c r="G875" s="6">
        <v>6.141502037855037</v>
      </c>
      <c r="H875" s="6">
        <v>4976914.156429212</v>
      </c>
      <c r="I875" s="6">
        <v>447.99658482366215</v>
      </c>
      <c r="J875" s="6">
        <v>4.713378549164249</v>
      </c>
      <c r="K875" s="6"/>
      <c r="L875" s="6"/>
      <c r="M875" s="6"/>
      <c r="N875" s="6">
        <f t="shared" ref="N875:P875" si="878">IF(LEN($C875)&gt;0,H875-E875,"")</f>
        <v>-112892.6421</v>
      </c>
      <c r="O875" s="6">
        <f t="shared" si="878"/>
        <v>-5.081560618</v>
      </c>
      <c r="P875" s="6">
        <f t="shared" si="878"/>
        <v>-1.428123489</v>
      </c>
      <c r="Q875" s="6"/>
      <c r="R875" s="6"/>
      <c r="S875" s="6"/>
      <c r="T875" s="6"/>
      <c r="U875" s="6"/>
      <c r="V875" s="6"/>
      <c r="W875" s="6"/>
      <c r="X875" s="6"/>
      <c r="Y875" s="6"/>
      <c r="Z875" s="6"/>
      <c r="AA875" s="6"/>
      <c r="AB875" s="6"/>
      <c r="AC875" s="6"/>
      <c r="AD875" s="6"/>
      <c r="AE875" s="6"/>
      <c r="AF875" s="6"/>
      <c r="AG875" s="6"/>
    </row>
    <row r="876" ht="14.25" customHeight="1">
      <c r="A876" s="6"/>
      <c r="B876" s="6"/>
      <c r="C876" s="6">
        <v>869.0</v>
      </c>
      <c r="D876" s="6"/>
      <c r="E876" s="6">
        <v>7333084.293225806</v>
      </c>
      <c r="F876" s="6">
        <v>427.4032006485914</v>
      </c>
      <c r="G876" s="6">
        <v>4.143838521653705</v>
      </c>
      <c r="H876" s="6">
        <v>7196815.109648069</v>
      </c>
      <c r="I876" s="6">
        <v>423.97695401092903</v>
      </c>
      <c r="J876" s="6">
        <v>2.7308460048331242</v>
      </c>
      <c r="K876" s="6"/>
      <c r="L876" s="6"/>
      <c r="M876" s="6"/>
      <c r="N876" s="6">
        <f t="shared" ref="N876:P876" si="879">IF(LEN($C876)&gt;0,H876-E876,"")</f>
        <v>-136269.1836</v>
      </c>
      <c r="O876" s="6">
        <f t="shared" si="879"/>
        <v>-3.426246638</v>
      </c>
      <c r="P876" s="6">
        <f t="shared" si="879"/>
        <v>-1.412992517</v>
      </c>
      <c r="Q876" s="6"/>
      <c r="R876" s="6"/>
      <c r="S876" s="6"/>
      <c r="T876" s="6"/>
      <c r="U876" s="6"/>
      <c r="V876" s="6"/>
      <c r="W876" s="6"/>
      <c r="X876" s="6"/>
      <c r="Y876" s="6"/>
      <c r="Z876" s="6"/>
      <c r="AA876" s="6"/>
      <c r="AB876" s="6"/>
      <c r="AC876" s="6"/>
      <c r="AD876" s="6"/>
      <c r="AE876" s="6"/>
      <c r="AF876" s="6"/>
      <c r="AG876" s="6"/>
    </row>
    <row r="877" ht="14.25" customHeight="1">
      <c r="A877" s="6"/>
      <c r="B877" s="6"/>
      <c r="C877" s="6">
        <v>870.0</v>
      </c>
      <c r="D877" s="6"/>
      <c r="E877" s="6">
        <v>9451845.394461755</v>
      </c>
      <c r="F877" s="6">
        <v>466.3389665511291</v>
      </c>
      <c r="G877" s="6">
        <v>4.59543968556692</v>
      </c>
      <c r="H877" s="6">
        <v>9280386.294583939</v>
      </c>
      <c r="I877" s="6">
        <v>460.25034380246007</v>
      </c>
      <c r="J877" s="6">
        <v>3.0555541257809207</v>
      </c>
      <c r="K877" s="6"/>
      <c r="L877" s="6"/>
      <c r="M877" s="6"/>
      <c r="N877" s="6">
        <f t="shared" ref="N877:P877" si="880">IF(LEN($C877)&gt;0,H877-E877,"")</f>
        <v>-171459.0999</v>
      </c>
      <c r="O877" s="6">
        <f t="shared" si="880"/>
        <v>-6.088622749</v>
      </c>
      <c r="P877" s="6">
        <f t="shared" si="880"/>
        <v>-1.53988556</v>
      </c>
      <c r="Q877" s="6"/>
      <c r="R877" s="6"/>
      <c r="S877" s="6"/>
      <c r="T877" s="6"/>
      <c r="U877" s="6"/>
      <c r="V877" s="6"/>
      <c r="W877" s="6"/>
      <c r="X877" s="6"/>
      <c r="Y877" s="6"/>
      <c r="Z877" s="6"/>
      <c r="AA877" s="6"/>
      <c r="AB877" s="6"/>
      <c r="AC877" s="6"/>
      <c r="AD877" s="6"/>
      <c r="AE877" s="6"/>
      <c r="AF877" s="6"/>
      <c r="AG877" s="6"/>
    </row>
    <row r="878" ht="14.25" customHeight="1">
      <c r="A878" s="6"/>
      <c r="B878" s="6"/>
      <c r="C878" s="6">
        <v>871.0</v>
      </c>
      <c r="D878" s="6"/>
      <c r="E878" s="6">
        <v>6995675.140966077</v>
      </c>
      <c r="F878" s="6">
        <v>519.3156218484191</v>
      </c>
      <c r="G878" s="6">
        <v>5.641054059730831</v>
      </c>
      <c r="H878" s="6">
        <v>6748716.538969988</v>
      </c>
      <c r="I878" s="6">
        <v>506.9200495541423</v>
      </c>
      <c r="J878" s="6">
        <v>3.943055357430703</v>
      </c>
      <c r="K878" s="6"/>
      <c r="L878" s="6"/>
      <c r="M878" s="6"/>
      <c r="N878" s="6">
        <f t="shared" ref="N878:P878" si="881">IF(LEN($C878)&gt;0,H878-E878,"")</f>
        <v>-246958.602</v>
      </c>
      <c r="O878" s="6">
        <f t="shared" si="881"/>
        <v>-12.39557229</v>
      </c>
      <c r="P878" s="6">
        <f t="shared" si="881"/>
        <v>-1.697998702</v>
      </c>
      <c r="Q878" s="6"/>
      <c r="R878" s="6"/>
      <c r="S878" s="6"/>
      <c r="T878" s="6"/>
      <c r="U878" s="6"/>
      <c r="V878" s="6"/>
      <c r="W878" s="6"/>
      <c r="X878" s="6"/>
      <c r="Y878" s="6"/>
      <c r="Z878" s="6"/>
      <c r="AA878" s="6"/>
      <c r="AB878" s="6"/>
      <c r="AC878" s="6"/>
      <c r="AD878" s="6"/>
      <c r="AE878" s="6"/>
      <c r="AF878" s="6"/>
      <c r="AG878" s="6"/>
    </row>
    <row r="879" ht="14.25" customHeight="1">
      <c r="A879" s="6"/>
      <c r="B879" s="6"/>
      <c r="C879" s="6">
        <v>872.0</v>
      </c>
      <c r="D879" s="6"/>
      <c r="E879" s="6">
        <v>6383496.85412766</v>
      </c>
      <c r="F879" s="6">
        <v>433.35114111913936</v>
      </c>
      <c r="G879" s="6">
        <v>4.86290975242073</v>
      </c>
      <c r="H879" s="6">
        <v>6306729.850663669</v>
      </c>
      <c r="I879" s="6">
        <v>429.98802540819526</v>
      </c>
      <c r="J879" s="6">
        <v>3.8570314470412477</v>
      </c>
      <c r="K879" s="6"/>
      <c r="L879" s="6"/>
      <c r="M879" s="6"/>
      <c r="N879" s="6">
        <f t="shared" ref="N879:P879" si="882">IF(LEN($C879)&gt;0,H879-E879,"")</f>
        <v>-76767.00346</v>
      </c>
      <c r="O879" s="6">
        <f t="shared" si="882"/>
        <v>-3.363115711</v>
      </c>
      <c r="P879" s="6">
        <f t="shared" si="882"/>
        <v>-1.005878305</v>
      </c>
      <c r="Q879" s="6"/>
      <c r="R879" s="6"/>
      <c r="S879" s="6"/>
      <c r="T879" s="6"/>
      <c r="U879" s="6"/>
      <c r="V879" s="6"/>
      <c r="W879" s="6"/>
      <c r="X879" s="6"/>
      <c r="Y879" s="6"/>
      <c r="Z879" s="6"/>
      <c r="AA879" s="6"/>
      <c r="AB879" s="6"/>
      <c r="AC879" s="6"/>
      <c r="AD879" s="6"/>
      <c r="AE879" s="6"/>
      <c r="AF879" s="6"/>
      <c r="AG879" s="6"/>
    </row>
    <row r="880" ht="14.25" customHeight="1">
      <c r="A880" s="6"/>
      <c r="B880" s="6"/>
      <c r="C880" s="6">
        <v>873.0</v>
      </c>
      <c r="D880" s="6"/>
      <c r="E880" s="6">
        <v>8860067.046161504</v>
      </c>
      <c r="F880" s="6">
        <v>483.90169925761313</v>
      </c>
      <c r="G880" s="6">
        <v>4.563884105653885</v>
      </c>
      <c r="H880" s="6">
        <v>8765411.022762777</v>
      </c>
      <c r="I880" s="6">
        <v>480.51613300620835</v>
      </c>
      <c r="J880" s="6">
        <v>3.4711243728337426</v>
      </c>
      <c r="K880" s="6"/>
      <c r="L880" s="6"/>
      <c r="M880" s="6"/>
      <c r="N880" s="6">
        <f t="shared" ref="N880:P880" si="883">IF(LEN($C880)&gt;0,H880-E880,"")</f>
        <v>-94656.0234</v>
      </c>
      <c r="O880" s="6">
        <f t="shared" si="883"/>
        <v>-3.385566251</v>
      </c>
      <c r="P880" s="6">
        <f t="shared" si="883"/>
        <v>-1.092759733</v>
      </c>
      <c r="Q880" s="6"/>
      <c r="R880" s="6"/>
      <c r="S880" s="6"/>
      <c r="T880" s="6"/>
      <c r="U880" s="6"/>
      <c r="V880" s="6"/>
      <c r="W880" s="6"/>
      <c r="X880" s="6"/>
      <c r="Y880" s="6"/>
      <c r="Z880" s="6"/>
      <c r="AA880" s="6"/>
      <c r="AB880" s="6"/>
      <c r="AC880" s="6"/>
      <c r="AD880" s="6"/>
      <c r="AE880" s="6"/>
      <c r="AF880" s="6"/>
      <c r="AG880" s="6"/>
    </row>
    <row r="881" ht="14.25" customHeight="1">
      <c r="A881" s="6"/>
      <c r="B881" s="6"/>
      <c r="C881" s="6">
        <v>874.0</v>
      </c>
      <c r="D881" s="6"/>
      <c r="E881" s="6">
        <v>6676842.6325481525</v>
      </c>
      <c r="F881" s="6">
        <v>487.688481940911</v>
      </c>
      <c r="G881" s="6">
        <v>4.825031692693823</v>
      </c>
      <c r="H881" s="6">
        <v>6543684.362763664</v>
      </c>
      <c r="I881" s="6">
        <v>482.08251949360425</v>
      </c>
      <c r="J881" s="6">
        <v>3.116103750393607</v>
      </c>
      <c r="K881" s="6"/>
      <c r="L881" s="6"/>
      <c r="M881" s="6"/>
      <c r="N881" s="6">
        <f t="shared" ref="N881:P881" si="884">IF(LEN($C881)&gt;0,H881-E881,"")</f>
        <v>-133158.2698</v>
      </c>
      <c r="O881" s="6">
        <f t="shared" si="884"/>
        <v>-5.605962447</v>
      </c>
      <c r="P881" s="6">
        <f t="shared" si="884"/>
        <v>-1.708927942</v>
      </c>
      <c r="Q881" s="6"/>
      <c r="R881" s="6"/>
      <c r="S881" s="6"/>
      <c r="T881" s="6"/>
      <c r="U881" s="6"/>
      <c r="V881" s="6"/>
      <c r="W881" s="6"/>
      <c r="X881" s="6"/>
      <c r="Y881" s="6"/>
      <c r="Z881" s="6"/>
      <c r="AA881" s="6"/>
      <c r="AB881" s="6"/>
      <c r="AC881" s="6"/>
      <c r="AD881" s="6"/>
      <c r="AE881" s="6"/>
      <c r="AF881" s="6"/>
      <c r="AG881" s="6"/>
    </row>
    <row r="882" ht="14.25" customHeight="1">
      <c r="A882" s="6"/>
      <c r="B882" s="6"/>
      <c r="C882" s="6">
        <v>875.0</v>
      </c>
      <c r="D882" s="6"/>
      <c r="E882" s="6">
        <v>7846504.64948236</v>
      </c>
      <c r="F882" s="6">
        <v>481.75007302381016</v>
      </c>
      <c r="G882" s="6">
        <v>6.296185165571874</v>
      </c>
      <c r="H882" s="6">
        <v>7695666.678612231</v>
      </c>
      <c r="I882" s="6">
        <v>476.64560048924517</v>
      </c>
      <c r="J882" s="6">
        <v>4.298303646111817</v>
      </c>
      <c r="K882" s="6"/>
      <c r="L882" s="6"/>
      <c r="M882" s="6"/>
      <c r="N882" s="6">
        <f t="shared" ref="N882:P882" si="885">IF(LEN($C882)&gt;0,H882-E882,"")</f>
        <v>-150837.9709</v>
      </c>
      <c r="O882" s="6">
        <f t="shared" si="885"/>
        <v>-5.104472535</v>
      </c>
      <c r="P882" s="6">
        <f t="shared" si="885"/>
        <v>-1.997881519</v>
      </c>
      <c r="Q882" s="6"/>
      <c r="R882" s="6"/>
      <c r="S882" s="6"/>
      <c r="T882" s="6"/>
      <c r="U882" s="6"/>
      <c r="V882" s="6"/>
      <c r="W882" s="6"/>
      <c r="X882" s="6"/>
      <c r="Y882" s="6"/>
      <c r="Z882" s="6"/>
      <c r="AA882" s="6"/>
      <c r="AB882" s="6"/>
      <c r="AC882" s="6"/>
      <c r="AD882" s="6"/>
      <c r="AE882" s="6"/>
      <c r="AF882" s="6"/>
      <c r="AG882" s="6"/>
    </row>
    <row r="883" ht="14.25" customHeight="1">
      <c r="A883" s="6"/>
      <c r="B883" s="6"/>
      <c r="C883" s="6">
        <v>876.0</v>
      </c>
      <c r="D883" s="6"/>
      <c r="E883" s="6">
        <v>8343200.161288507</v>
      </c>
      <c r="F883" s="6">
        <v>444.4227971778539</v>
      </c>
      <c r="G883" s="6">
        <v>4.300520853589601</v>
      </c>
      <c r="H883" s="6">
        <v>8243905.322409904</v>
      </c>
      <c r="I883" s="6">
        <v>441.2321269503898</v>
      </c>
      <c r="J883" s="6">
        <v>3.002196760897096</v>
      </c>
      <c r="K883" s="6"/>
      <c r="L883" s="6"/>
      <c r="M883" s="6"/>
      <c r="N883" s="6">
        <f t="shared" ref="N883:P883" si="886">IF(LEN($C883)&gt;0,H883-E883,"")</f>
        <v>-99294.83888</v>
      </c>
      <c r="O883" s="6">
        <f t="shared" si="886"/>
        <v>-3.190670227</v>
      </c>
      <c r="P883" s="6">
        <f t="shared" si="886"/>
        <v>-1.298324093</v>
      </c>
      <c r="Q883" s="6"/>
      <c r="R883" s="6"/>
      <c r="S883" s="6"/>
      <c r="T883" s="6"/>
      <c r="U883" s="6"/>
      <c r="V883" s="6"/>
      <c r="W883" s="6"/>
      <c r="X883" s="6"/>
      <c r="Y883" s="6"/>
      <c r="Z883" s="6"/>
      <c r="AA883" s="6"/>
      <c r="AB883" s="6"/>
      <c r="AC883" s="6"/>
      <c r="AD883" s="6"/>
      <c r="AE883" s="6"/>
      <c r="AF883" s="6"/>
      <c r="AG883" s="6"/>
    </row>
    <row r="884" ht="14.25" customHeight="1">
      <c r="A884" s="6"/>
      <c r="B884" s="6"/>
      <c r="C884" s="6">
        <v>877.0</v>
      </c>
      <c r="D884" s="6"/>
      <c r="E884" s="6">
        <v>6230739.357764036</v>
      </c>
      <c r="F884" s="6">
        <v>484.7580416781914</v>
      </c>
      <c r="G884" s="6">
        <v>5.794623570474507</v>
      </c>
      <c r="H884" s="6">
        <v>6109829.299375455</v>
      </c>
      <c r="I884" s="6">
        <v>481.70797601611685</v>
      </c>
      <c r="J884" s="6">
        <v>4.3243267836546675</v>
      </c>
      <c r="K884" s="6"/>
      <c r="L884" s="6"/>
      <c r="M884" s="6"/>
      <c r="N884" s="6">
        <f t="shared" ref="N884:P884" si="887">IF(LEN($C884)&gt;0,H884-E884,"")</f>
        <v>-120910.0584</v>
      </c>
      <c r="O884" s="6">
        <f t="shared" si="887"/>
        <v>-3.050065662</v>
      </c>
      <c r="P884" s="6">
        <f t="shared" si="887"/>
        <v>-1.470296787</v>
      </c>
      <c r="Q884" s="6"/>
      <c r="R884" s="6"/>
      <c r="S884" s="6"/>
      <c r="T884" s="6"/>
      <c r="U884" s="6"/>
      <c r="V884" s="6"/>
      <c r="W884" s="6"/>
      <c r="X884" s="6"/>
      <c r="Y884" s="6"/>
      <c r="Z884" s="6"/>
      <c r="AA884" s="6"/>
      <c r="AB884" s="6"/>
      <c r="AC884" s="6"/>
      <c r="AD884" s="6"/>
      <c r="AE884" s="6"/>
      <c r="AF884" s="6"/>
      <c r="AG884" s="6"/>
    </row>
    <row r="885" ht="14.25" customHeight="1">
      <c r="A885" s="6"/>
      <c r="B885" s="6"/>
      <c r="C885" s="6">
        <v>878.0</v>
      </c>
      <c r="D885" s="6"/>
      <c r="E885" s="6">
        <v>7246691.234695731</v>
      </c>
      <c r="F885" s="6">
        <v>454.7561812562396</v>
      </c>
      <c r="G885" s="6">
        <v>6.167512714015076</v>
      </c>
      <c r="H885" s="6">
        <v>7053112.94992388</v>
      </c>
      <c r="I885" s="6">
        <v>446.443968748918</v>
      </c>
      <c r="J885" s="6">
        <v>4.285039332431427</v>
      </c>
      <c r="K885" s="6"/>
      <c r="L885" s="6"/>
      <c r="M885" s="6"/>
      <c r="N885" s="6">
        <f t="shared" ref="N885:P885" si="888">IF(LEN($C885)&gt;0,H885-E885,"")</f>
        <v>-193578.2848</v>
      </c>
      <c r="O885" s="6">
        <f t="shared" si="888"/>
        <v>-8.312212507</v>
      </c>
      <c r="P885" s="6">
        <f t="shared" si="888"/>
        <v>-1.882473382</v>
      </c>
      <c r="Q885" s="6"/>
      <c r="R885" s="6"/>
      <c r="S885" s="6"/>
      <c r="T885" s="6"/>
      <c r="U885" s="6"/>
      <c r="V885" s="6"/>
      <c r="W885" s="6"/>
      <c r="X885" s="6"/>
      <c r="Y885" s="6"/>
      <c r="Z885" s="6"/>
      <c r="AA885" s="6"/>
      <c r="AB885" s="6"/>
      <c r="AC885" s="6"/>
      <c r="AD885" s="6"/>
      <c r="AE885" s="6"/>
      <c r="AF885" s="6"/>
      <c r="AG885" s="6"/>
    </row>
    <row r="886" ht="14.25" customHeight="1">
      <c r="A886" s="6"/>
      <c r="B886" s="6"/>
      <c r="C886" s="6">
        <v>879.0</v>
      </c>
      <c r="D886" s="6"/>
      <c r="E886" s="6">
        <v>5983708.909535886</v>
      </c>
      <c r="F886" s="6">
        <v>460.12416770420106</v>
      </c>
      <c r="G886" s="6">
        <v>5.276601715855534</v>
      </c>
      <c r="H886" s="6">
        <v>5854224.585578587</v>
      </c>
      <c r="I886" s="6">
        <v>452.2980392360888</v>
      </c>
      <c r="J886" s="6">
        <v>4.052791326436664</v>
      </c>
      <c r="K886" s="6"/>
      <c r="L886" s="6"/>
      <c r="M886" s="6"/>
      <c r="N886" s="6">
        <f t="shared" ref="N886:P886" si="889">IF(LEN($C886)&gt;0,H886-E886,"")</f>
        <v>-129484.324</v>
      </c>
      <c r="O886" s="6">
        <f t="shared" si="889"/>
        <v>-7.826128468</v>
      </c>
      <c r="P886" s="6">
        <f t="shared" si="889"/>
        <v>-1.223810389</v>
      </c>
      <c r="Q886" s="6"/>
      <c r="R886" s="6"/>
      <c r="S886" s="6"/>
      <c r="T886" s="6"/>
      <c r="U886" s="6"/>
      <c r="V886" s="6"/>
      <c r="W886" s="6"/>
      <c r="X886" s="6"/>
      <c r="Y886" s="6"/>
      <c r="Z886" s="6"/>
      <c r="AA886" s="6"/>
      <c r="AB886" s="6"/>
      <c r="AC886" s="6"/>
      <c r="AD886" s="6"/>
      <c r="AE886" s="6"/>
      <c r="AF886" s="6"/>
      <c r="AG886" s="6"/>
    </row>
    <row r="887" ht="14.25" customHeight="1">
      <c r="A887" s="6"/>
      <c r="B887" s="6"/>
      <c r="C887" s="6">
        <v>880.0</v>
      </c>
      <c r="D887" s="6"/>
      <c r="E887" s="6">
        <v>6305260.1890241</v>
      </c>
      <c r="F887" s="6">
        <v>434.06308226892</v>
      </c>
      <c r="G887" s="6">
        <v>6.290226601114532</v>
      </c>
      <c r="H887" s="6">
        <v>6198406.711515877</v>
      </c>
      <c r="I887" s="6">
        <v>430.26539614349656</v>
      </c>
      <c r="J887" s="6">
        <v>5.095854056089947</v>
      </c>
      <c r="K887" s="6"/>
      <c r="L887" s="6"/>
      <c r="M887" s="6"/>
      <c r="N887" s="6">
        <f t="shared" ref="N887:P887" si="890">IF(LEN($C887)&gt;0,H887-E887,"")</f>
        <v>-106853.4775</v>
      </c>
      <c r="O887" s="6">
        <f t="shared" si="890"/>
        <v>-3.797686125</v>
      </c>
      <c r="P887" s="6">
        <f t="shared" si="890"/>
        <v>-1.194372545</v>
      </c>
      <c r="Q887" s="6"/>
      <c r="R887" s="6"/>
      <c r="S887" s="6"/>
      <c r="T887" s="6"/>
      <c r="U887" s="6"/>
      <c r="V887" s="6"/>
      <c r="W887" s="6"/>
      <c r="X887" s="6"/>
      <c r="Y887" s="6"/>
      <c r="Z887" s="6"/>
      <c r="AA887" s="6"/>
      <c r="AB887" s="6"/>
      <c r="AC887" s="6"/>
      <c r="AD887" s="6"/>
      <c r="AE887" s="6"/>
      <c r="AF887" s="6"/>
      <c r="AG887" s="6"/>
    </row>
    <row r="888" ht="14.25" customHeight="1">
      <c r="A888" s="6"/>
      <c r="B888" s="6"/>
      <c r="C888" s="6">
        <v>881.0</v>
      </c>
      <c r="D888" s="6"/>
      <c r="E888" s="6">
        <v>8461175.582691627</v>
      </c>
      <c r="F888" s="6">
        <v>471.6926312972647</v>
      </c>
      <c r="G888" s="6">
        <v>4.741856572310454</v>
      </c>
      <c r="H888" s="6">
        <v>8325379.042581741</v>
      </c>
      <c r="I888" s="6">
        <v>467.5536015724216</v>
      </c>
      <c r="J888" s="6">
        <v>3.2945970640422026</v>
      </c>
      <c r="K888" s="6"/>
      <c r="L888" s="6"/>
      <c r="M888" s="6"/>
      <c r="N888" s="6">
        <f t="shared" ref="N888:P888" si="891">IF(LEN($C888)&gt;0,H888-E888,"")</f>
        <v>-135796.5401</v>
      </c>
      <c r="O888" s="6">
        <f t="shared" si="891"/>
        <v>-4.139029725</v>
      </c>
      <c r="P888" s="6">
        <f t="shared" si="891"/>
        <v>-1.447259508</v>
      </c>
      <c r="Q888" s="6"/>
      <c r="R888" s="6"/>
      <c r="S888" s="6"/>
      <c r="T888" s="6"/>
      <c r="U888" s="6"/>
      <c r="V888" s="6"/>
      <c r="W888" s="6"/>
      <c r="X888" s="6"/>
      <c r="Y888" s="6"/>
      <c r="Z888" s="6"/>
      <c r="AA888" s="6"/>
      <c r="AB888" s="6"/>
      <c r="AC888" s="6"/>
      <c r="AD888" s="6"/>
      <c r="AE888" s="6"/>
      <c r="AF888" s="6"/>
      <c r="AG888" s="6"/>
    </row>
    <row r="889" ht="14.25" customHeight="1">
      <c r="A889" s="6"/>
      <c r="B889" s="6"/>
      <c r="C889" s="6">
        <v>882.0</v>
      </c>
      <c r="D889" s="6"/>
      <c r="E889" s="6">
        <v>6392912.870669658</v>
      </c>
      <c r="F889" s="6">
        <v>508.88981872665806</v>
      </c>
      <c r="G889" s="6">
        <v>6.613859576504582</v>
      </c>
      <c r="H889" s="6">
        <v>6266933.385518158</v>
      </c>
      <c r="I889" s="6">
        <v>503.5264181420996</v>
      </c>
      <c r="J889" s="6">
        <v>4.9609775510173035</v>
      </c>
      <c r="K889" s="6"/>
      <c r="L889" s="6"/>
      <c r="M889" s="6"/>
      <c r="N889" s="6">
        <f t="shared" ref="N889:P889" si="892">IF(LEN($C889)&gt;0,H889-E889,"")</f>
        <v>-125979.4852</v>
      </c>
      <c r="O889" s="6">
        <f t="shared" si="892"/>
        <v>-5.363400585</v>
      </c>
      <c r="P889" s="6">
        <f t="shared" si="892"/>
        <v>-1.652882025</v>
      </c>
      <c r="Q889" s="6"/>
      <c r="R889" s="6"/>
      <c r="S889" s="6"/>
      <c r="T889" s="6"/>
      <c r="U889" s="6"/>
      <c r="V889" s="6"/>
      <c r="W889" s="6"/>
      <c r="X889" s="6"/>
      <c r="Y889" s="6"/>
      <c r="Z889" s="6"/>
      <c r="AA889" s="6"/>
      <c r="AB889" s="6"/>
      <c r="AC889" s="6"/>
      <c r="AD889" s="6"/>
      <c r="AE889" s="6"/>
      <c r="AF889" s="6"/>
      <c r="AG889" s="6"/>
    </row>
    <row r="890" ht="14.25" customHeight="1">
      <c r="A890" s="6"/>
      <c r="B890" s="6"/>
      <c r="C890" s="6">
        <v>883.0</v>
      </c>
      <c r="D890" s="6"/>
      <c r="E890" s="6">
        <v>4633477.581328798</v>
      </c>
      <c r="F890" s="6">
        <v>444.61136001115625</v>
      </c>
      <c r="G890" s="6">
        <v>5.40253329127754</v>
      </c>
      <c r="H890" s="6">
        <v>4515897.259751179</v>
      </c>
      <c r="I890" s="6">
        <v>438.3833839819437</v>
      </c>
      <c r="J890" s="6">
        <v>3.7493677862138823</v>
      </c>
      <c r="K890" s="6"/>
      <c r="L890" s="6"/>
      <c r="M890" s="6"/>
      <c r="N890" s="6">
        <f t="shared" ref="N890:P890" si="893">IF(LEN($C890)&gt;0,H890-E890,"")</f>
        <v>-117580.3216</v>
      </c>
      <c r="O890" s="6">
        <f t="shared" si="893"/>
        <v>-6.227976029</v>
      </c>
      <c r="P890" s="6">
        <f t="shared" si="893"/>
        <v>-1.653165505</v>
      </c>
      <c r="Q890" s="6"/>
      <c r="R890" s="6"/>
      <c r="S890" s="6"/>
      <c r="T890" s="6"/>
      <c r="U890" s="6"/>
      <c r="V890" s="6"/>
      <c r="W890" s="6"/>
      <c r="X890" s="6"/>
      <c r="Y890" s="6"/>
      <c r="Z890" s="6"/>
      <c r="AA890" s="6"/>
      <c r="AB890" s="6"/>
      <c r="AC890" s="6"/>
      <c r="AD890" s="6"/>
      <c r="AE890" s="6"/>
      <c r="AF890" s="6"/>
      <c r="AG890" s="6"/>
    </row>
    <row r="891" ht="14.25" customHeight="1">
      <c r="A891" s="6"/>
      <c r="B891" s="6"/>
      <c r="C891" s="6">
        <v>884.0</v>
      </c>
      <c r="D891" s="6"/>
      <c r="E891" s="6">
        <v>7138015.686646841</v>
      </c>
      <c r="F891" s="6">
        <v>447.5086518412769</v>
      </c>
      <c r="G891" s="6">
        <v>5.260666350116216</v>
      </c>
      <c r="H891" s="6">
        <v>7056468.1485949885</v>
      </c>
      <c r="I891" s="6">
        <v>443.87345874269954</v>
      </c>
      <c r="J891" s="6">
        <v>4.0871448572002205</v>
      </c>
      <c r="K891" s="6"/>
      <c r="L891" s="6"/>
      <c r="M891" s="6"/>
      <c r="N891" s="6">
        <f t="shared" ref="N891:P891" si="894">IF(LEN($C891)&gt;0,H891-E891,"")</f>
        <v>-81547.53805</v>
      </c>
      <c r="O891" s="6">
        <f t="shared" si="894"/>
        <v>-3.635193099</v>
      </c>
      <c r="P891" s="6">
        <f t="shared" si="894"/>
        <v>-1.173521493</v>
      </c>
      <c r="Q891" s="6"/>
      <c r="R891" s="6"/>
      <c r="S891" s="6"/>
      <c r="T891" s="6"/>
      <c r="U891" s="6"/>
      <c r="V891" s="6"/>
      <c r="W891" s="6"/>
      <c r="X891" s="6"/>
      <c r="Y891" s="6"/>
      <c r="Z891" s="6"/>
      <c r="AA891" s="6"/>
      <c r="AB891" s="6"/>
      <c r="AC891" s="6"/>
      <c r="AD891" s="6"/>
      <c r="AE891" s="6"/>
      <c r="AF891" s="6"/>
      <c r="AG891" s="6"/>
    </row>
    <row r="892" ht="14.25" customHeight="1">
      <c r="A892" s="6"/>
      <c r="B892" s="6"/>
      <c r="C892" s="6">
        <v>885.0</v>
      </c>
      <c r="D892" s="6"/>
      <c r="E892" s="6">
        <v>7674068.401355716</v>
      </c>
      <c r="F892" s="6">
        <v>448.76019913591716</v>
      </c>
      <c r="G892" s="6">
        <v>5.596742076761349</v>
      </c>
      <c r="H892" s="6">
        <v>7557064.632529509</v>
      </c>
      <c r="I892" s="6">
        <v>441.6982965908889</v>
      </c>
      <c r="J892" s="6">
        <v>4.0203479199343555</v>
      </c>
      <c r="K892" s="6"/>
      <c r="L892" s="6"/>
      <c r="M892" s="6"/>
      <c r="N892" s="6">
        <f t="shared" ref="N892:P892" si="895">IF(LEN($C892)&gt;0,H892-E892,"")</f>
        <v>-117003.7688</v>
      </c>
      <c r="O892" s="6">
        <f t="shared" si="895"/>
        <v>-7.061902545</v>
      </c>
      <c r="P892" s="6">
        <f t="shared" si="895"/>
        <v>-1.576394157</v>
      </c>
      <c r="Q892" s="6"/>
      <c r="R892" s="6"/>
      <c r="S892" s="6"/>
      <c r="T892" s="6"/>
      <c r="U892" s="6"/>
      <c r="V892" s="6"/>
      <c r="W892" s="6"/>
      <c r="X892" s="6"/>
      <c r="Y892" s="6"/>
      <c r="Z892" s="6"/>
      <c r="AA892" s="6"/>
      <c r="AB892" s="6"/>
      <c r="AC892" s="6"/>
      <c r="AD892" s="6"/>
      <c r="AE892" s="6"/>
      <c r="AF892" s="6"/>
      <c r="AG892" s="6"/>
    </row>
    <row r="893" ht="14.25" customHeight="1">
      <c r="A893" s="6"/>
      <c r="B893" s="6"/>
      <c r="C893" s="6">
        <v>886.0</v>
      </c>
      <c r="D893" s="6"/>
      <c r="E893" s="6">
        <v>6471550.906671753</v>
      </c>
      <c r="F893" s="6">
        <v>441.0258706774461</v>
      </c>
      <c r="G893" s="6">
        <v>4.358175525340477</v>
      </c>
      <c r="H893" s="6">
        <v>6376192.392599755</v>
      </c>
      <c r="I893" s="6">
        <v>436.43948327736695</v>
      </c>
      <c r="J893" s="6">
        <v>3.062239587129133</v>
      </c>
      <c r="K893" s="6"/>
      <c r="L893" s="6"/>
      <c r="M893" s="6"/>
      <c r="N893" s="6">
        <f t="shared" ref="N893:P893" si="896">IF(LEN($C893)&gt;0,H893-E893,"")</f>
        <v>-95358.51407</v>
      </c>
      <c r="O893" s="6">
        <f t="shared" si="896"/>
        <v>-4.5863874</v>
      </c>
      <c r="P893" s="6">
        <f t="shared" si="896"/>
        <v>-1.295935938</v>
      </c>
      <c r="Q893" s="6"/>
      <c r="R893" s="6"/>
      <c r="S893" s="6"/>
      <c r="T893" s="6"/>
      <c r="U893" s="6"/>
      <c r="V893" s="6"/>
      <c r="W893" s="6"/>
      <c r="X893" s="6"/>
      <c r="Y893" s="6"/>
      <c r="Z893" s="6"/>
      <c r="AA893" s="6"/>
      <c r="AB893" s="6"/>
      <c r="AC893" s="6"/>
      <c r="AD893" s="6"/>
      <c r="AE893" s="6"/>
      <c r="AF893" s="6"/>
      <c r="AG893" s="6"/>
    </row>
    <row r="894" ht="14.25" customHeight="1">
      <c r="A894" s="6"/>
      <c r="B894" s="6"/>
      <c r="C894" s="6">
        <v>887.0</v>
      </c>
      <c r="D894" s="6"/>
      <c r="E894" s="6">
        <v>5469583.894501566</v>
      </c>
      <c r="F894" s="6">
        <v>494.5718822393458</v>
      </c>
      <c r="G894" s="6">
        <v>5.233909252207944</v>
      </c>
      <c r="H894" s="6">
        <v>5377773.83256483</v>
      </c>
      <c r="I894" s="6">
        <v>489.7580676414963</v>
      </c>
      <c r="J894" s="6">
        <v>3.996084448577625</v>
      </c>
      <c r="K894" s="6"/>
      <c r="L894" s="6"/>
      <c r="M894" s="6"/>
      <c r="N894" s="6">
        <f t="shared" ref="N894:P894" si="897">IF(LEN($C894)&gt;0,H894-E894,"")</f>
        <v>-91810.06194</v>
      </c>
      <c r="O894" s="6">
        <f t="shared" si="897"/>
        <v>-4.813814598</v>
      </c>
      <c r="P894" s="6">
        <f t="shared" si="897"/>
        <v>-1.237824804</v>
      </c>
      <c r="Q894" s="6"/>
      <c r="R894" s="6"/>
      <c r="S894" s="6"/>
      <c r="T894" s="6"/>
      <c r="U894" s="6"/>
      <c r="V894" s="6"/>
      <c r="W894" s="6"/>
      <c r="X894" s="6"/>
      <c r="Y894" s="6"/>
      <c r="Z894" s="6"/>
      <c r="AA894" s="6"/>
      <c r="AB894" s="6"/>
      <c r="AC894" s="6"/>
      <c r="AD894" s="6"/>
      <c r="AE894" s="6"/>
      <c r="AF894" s="6"/>
      <c r="AG894" s="6"/>
    </row>
    <row r="895" ht="14.25" customHeight="1">
      <c r="A895" s="6"/>
      <c r="B895" s="6"/>
      <c r="C895" s="6">
        <v>888.0</v>
      </c>
      <c r="D895" s="6"/>
      <c r="E895" s="6">
        <v>7006669.916522413</v>
      </c>
      <c r="F895" s="6">
        <v>496.7015128046346</v>
      </c>
      <c r="G895" s="6">
        <v>5.38218697556098</v>
      </c>
      <c r="H895" s="6">
        <v>6845920.556956153</v>
      </c>
      <c r="I895" s="6">
        <v>488.9353712341195</v>
      </c>
      <c r="J895" s="6">
        <v>3.664616357619542</v>
      </c>
      <c r="K895" s="6"/>
      <c r="L895" s="6"/>
      <c r="M895" s="6"/>
      <c r="N895" s="6">
        <f t="shared" ref="N895:P895" si="898">IF(LEN($C895)&gt;0,H895-E895,"")</f>
        <v>-160749.3596</v>
      </c>
      <c r="O895" s="6">
        <f t="shared" si="898"/>
        <v>-7.766141571</v>
      </c>
      <c r="P895" s="6">
        <f t="shared" si="898"/>
        <v>-1.717570618</v>
      </c>
      <c r="Q895" s="6"/>
      <c r="R895" s="6"/>
      <c r="S895" s="6"/>
      <c r="T895" s="6"/>
      <c r="U895" s="6"/>
      <c r="V895" s="6"/>
      <c r="W895" s="6"/>
      <c r="X895" s="6"/>
      <c r="Y895" s="6"/>
      <c r="Z895" s="6"/>
      <c r="AA895" s="6"/>
      <c r="AB895" s="6"/>
      <c r="AC895" s="6"/>
      <c r="AD895" s="6"/>
      <c r="AE895" s="6"/>
      <c r="AF895" s="6"/>
      <c r="AG895" s="6"/>
    </row>
    <row r="896" ht="14.25" customHeight="1">
      <c r="A896" s="6"/>
      <c r="B896" s="6"/>
      <c r="C896" s="6">
        <v>889.0</v>
      </c>
      <c r="D896" s="6"/>
      <c r="E896" s="6">
        <v>6211587.981875913</v>
      </c>
      <c r="F896" s="6">
        <v>433.6792736346003</v>
      </c>
      <c r="G896" s="6">
        <v>6.190697410089968</v>
      </c>
      <c r="H896" s="6">
        <v>6144479.5207116585</v>
      </c>
      <c r="I896" s="6">
        <v>431.4166643815215</v>
      </c>
      <c r="J896" s="6">
        <v>4.948782103745103</v>
      </c>
      <c r="K896" s="6"/>
      <c r="L896" s="6"/>
      <c r="M896" s="6"/>
      <c r="N896" s="6">
        <f t="shared" ref="N896:P896" si="899">IF(LEN($C896)&gt;0,H896-E896,"")</f>
        <v>-67108.46116</v>
      </c>
      <c r="O896" s="6">
        <f t="shared" si="899"/>
        <v>-2.262609253</v>
      </c>
      <c r="P896" s="6">
        <f t="shared" si="899"/>
        <v>-1.241915306</v>
      </c>
      <c r="Q896" s="6"/>
      <c r="R896" s="6"/>
      <c r="S896" s="6"/>
      <c r="T896" s="6"/>
      <c r="U896" s="6"/>
      <c r="V896" s="6"/>
      <c r="W896" s="6"/>
      <c r="X896" s="6"/>
      <c r="Y896" s="6"/>
      <c r="Z896" s="6"/>
      <c r="AA896" s="6"/>
      <c r="AB896" s="6"/>
      <c r="AC896" s="6"/>
      <c r="AD896" s="6"/>
      <c r="AE896" s="6"/>
      <c r="AF896" s="6"/>
      <c r="AG896" s="6"/>
    </row>
    <row r="897" ht="14.25" customHeight="1">
      <c r="A897" s="6"/>
      <c r="B897" s="6"/>
      <c r="C897" s="6">
        <v>890.0</v>
      </c>
      <c r="D897" s="6"/>
      <c r="E897" s="6">
        <v>7082463.248275437</v>
      </c>
      <c r="F897" s="6">
        <v>503.33259746676504</v>
      </c>
      <c r="G897" s="6">
        <v>4.265631174099719</v>
      </c>
      <c r="H897" s="6">
        <v>6991429.697365826</v>
      </c>
      <c r="I897" s="6">
        <v>499.4113227202321</v>
      </c>
      <c r="J897" s="6">
        <v>3.431819006402173</v>
      </c>
      <c r="K897" s="6"/>
      <c r="L897" s="6"/>
      <c r="M897" s="6"/>
      <c r="N897" s="6">
        <f t="shared" ref="N897:P897" si="900">IF(LEN($C897)&gt;0,H897-E897,"")</f>
        <v>-91033.55091</v>
      </c>
      <c r="O897" s="6">
        <f t="shared" si="900"/>
        <v>-3.921274747</v>
      </c>
      <c r="P897" s="6">
        <f t="shared" si="900"/>
        <v>-0.8338121677</v>
      </c>
      <c r="Q897" s="6"/>
      <c r="R897" s="6"/>
      <c r="S897" s="6"/>
      <c r="T897" s="6"/>
      <c r="U897" s="6"/>
      <c r="V897" s="6"/>
      <c r="W897" s="6"/>
      <c r="X897" s="6"/>
      <c r="Y897" s="6"/>
      <c r="Z897" s="6"/>
      <c r="AA897" s="6"/>
      <c r="AB897" s="6"/>
      <c r="AC897" s="6"/>
      <c r="AD897" s="6"/>
      <c r="AE897" s="6"/>
      <c r="AF897" s="6"/>
      <c r="AG897" s="6"/>
    </row>
    <row r="898" ht="14.25" customHeight="1">
      <c r="A898" s="6"/>
      <c r="B898" s="6"/>
      <c r="C898" s="6">
        <v>891.0</v>
      </c>
      <c r="D898" s="6"/>
      <c r="E898" s="6">
        <v>6060869.149157576</v>
      </c>
      <c r="F898" s="6">
        <v>506.83053412540414</v>
      </c>
      <c r="G898" s="6">
        <v>5.732970173269079</v>
      </c>
      <c r="H898" s="6">
        <v>5966465.005655745</v>
      </c>
      <c r="I898" s="6">
        <v>502.1080145862316</v>
      </c>
      <c r="J898" s="6">
        <v>4.803068224083993</v>
      </c>
      <c r="K898" s="6"/>
      <c r="L898" s="6"/>
      <c r="M898" s="6"/>
      <c r="N898" s="6">
        <f t="shared" ref="N898:P898" si="901">IF(LEN($C898)&gt;0,H898-E898,"")</f>
        <v>-94404.1435</v>
      </c>
      <c r="O898" s="6">
        <f t="shared" si="901"/>
        <v>-4.722519539</v>
      </c>
      <c r="P898" s="6">
        <f t="shared" si="901"/>
        <v>-0.9299019492</v>
      </c>
      <c r="Q898" s="6"/>
      <c r="R898" s="6"/>
      <c r="S898" s="6"/>
      <c r="T898" s="6"/>
      <c r="U898" s="6"/>
      <c r="V898" s="6"/>
      <c r="W898" s="6"/>
      <c r="X898" s="6"/>
      <c r="Y898" s="6"/>
      <c r="Z898" s="6"/>
      <c r="AA898" s="6"/>
      <c r="AB898" s="6"/>
      <c r="AC898" s="6"/>
      <c r="AD898" s="6"/>
      <c r="AE898" s="6"/>
      <c r="AF898" s="6"/>
      <c r="AG898" s="6"/>
    </row>
    <row r="899" ht="14.25" customHeight="1">
      <c r="A899" s="6"/>
      <c r="B899" s="6"/>
      <c r="C899" s="6">
        <v>892.0</v>
      </c>
      <c r="D899" s="6"/>
      <c r="E899" s="6">
        <v>6735228.795484972</v>
      </c>
      <c r="F899" s="6">
        <v>478.43364666245833</v>
      </c>
      <c r="G899" s="6">
        <v>5.456203455851116</v>
      </c>
      <c r="H899" s="6">
        <v>6623165.40722715</v>
      </c>
      <c r="I899" s="6">
        <v>473.2622762161597</v>
      </c>
      <c r="J899" s="6">
        <v>4.32245186783694</v>
      </c>
      <c r="K899" s="6"/>
      <c r="L899" s="6"/>
      <c r="M899" s="6"/>
      <c r="N899" s="6">
        <f t="shared" ref="N899:P899" si="902">IF(LEN($C899)&gt;0,H899-E899,"")</f>
        <v>-112063.3883</v>
      </c>
      <c r="O899" s="6">
        <f t="shared" si="902"/>
        <v>-5.171370446</v>
      </c>
      <c r="P899" s="6">
        <f t="shared" si="902"/>
        <v>-1.133751588</v>
      </c>
      <c r="Q899" s="6"/>
      <c r="R899" s="6"/>
      <c r="S899" s="6"/>
      <c r="T899" s="6"/>
      <c r="U899" s="6"/>
      <c r="V899" s="6"/>
      <c r="W899" s="6"/>
      <c r="X899" s="6"/>
      <c r="Y899" s="6"/>
      <c r="Z899" s="6"/>
      <c r="AA899" s="6"/>
      <c r="AB899" s="6"/>
      <c r="AC899" s="6"/>
      <c r="AD899" s="6"/>
      <c r="AE899" s="6"/>
      <c r="AF899" s="6"/>
      <c r="AG899" s="6"/>
    </row>
    <row r="900" ht="14.25" customHeight="1">
      <c r="A900" s="6"/>
      <c r="B900" s="6"/>
      <c r="C900" s="6">
        <v>893.0</v>
      </c>
      <c r="D900" s="6"/>
      <c r="E900" s="6">
        <v>7571509.168867228</v>
      </c>
      <c r="F900" s="6">
        <v>479.2673806765404</v>
      </c>
      <c r="G900" s="6">
        <v>4.495483512134036</v>
      </c>
      <c r="H900" s="6">
        <v>7494780.224230737</v>
      </c>
      <c r="I900" s="6">
        <v>475.95857685446117</v>
      </c>
      <c r="J900" s="6">
        <v>3.5403619248390346</v>
      </c>
      <c r="K900" s="6"/>
      <c r="L900" s="6"/>
      <c r="M900" s="6"/>
      <c r="N900" s="6">
        <f t="shared" ref="N900:P900" si="903">IF(LEN($C900)&gt;0,H900-E900,"")</f>
        <v>-76728.94464</v>
      </c>
      <c r="O900" s="6">
        <f t="shared" si="903"/>
        <v>-3.308803822</v>
      </c>
      <c r="P900" s="6">
        <f t="shared" si="903"/>
        <v>-0.9551215873</v>
      </c>
      <c r="Q900" s="6"/>
      <c r="R900" s="6"/>
      <c r="S900" s="6"/>
      <c r="T900" s="6"/>
      <c r="U900" s="6"/>
      <c r="V900" s="6"/>
      <c r="W900" s="6"/>
      <c r="X900" s="6"/>
      <c r="Y900" s="6"/>
      <c r="Z900" s="6"/>
      <c r="AA900" s="6"/>
      <c r="AB900" s="6"/>
      <c r="AC900" s="6"/>
      <c r="AD900" s="6"/>
      <c r="AE900" s="6"/>
      <c r="AF900" s="6"/>
      <c r="AG900" s="6"/>
    </row>
    <row r="901" ht="14.25" customHeight="1">
      <c r="A901" s="6"/>
      <c r="B901" s="6"/>
      <c r="C901" s="6">
        <v>894.0</v>
      </c>
      <c r="D901" s="6"/>
      <c r="E901" s="6">
        <v>8068520.157356579</v>
      </c>
      <c r="F901" s="6">
        <v>498.8016300901311</v>
      </c>
      <c r="G901" s="6">
        <v>4.209603355102744</v>
      </c>
      <c r="H901" s="6">
        <v>8011914.667780156</v>
      </c>
      <c r="I901" s="6">
        <v>496.3964017708371</v>
      </c>
      <c r="J901" s="6">
        <v>3.6281897576500755</v>
      </c>
      <c r="K901" s="6"/>
      <c r="L901" s="6"/>
      <c r="M901" s="6"/>
      <c r="N901" s="6">
        <f t="shared" ref="N901:P901" si="904">IF(LEN($C901)&gt;0,H901-E901,"")</f>
        <v>-56605.48958</v>
      </c>
      <c r="O901" s="6">
        <f t="shared" si="904"/>
        <v>-2.405228319</v>
      </c>
      <c r="P901" s="6">
        <f t="shared" si="904"/>
        <v>-0.5814135975</v>
      </c>
      <c r="Q901" s="6"/>
      <c r="R901" s="6"/>
      <c r="S901" s="6"/>
      <c r="T901" s="6"/>
      <c r="U901" s="6"/>
      <c r="V901" s="6"/>
      <c r="W901" s="6"/>
      <c r="X901" s="6"/>
      <c r="Y901" s="6"/>
      <c r="Z901" s="6"/>
      <c r="AA901" s="6"/>
      <c r="AB901" s="6"/>
      <c r="AC901" s="6"/>
      <c r="AD901" s="6"/>
      <c r="AE901" s="6"/>
      <c r="AF901" s="6"/>
      <c r="AG901" s="6"/>
    </row>
    <row r="902" ht="14.25" customHeight="1">
      <c r="A902" s="6"/>
      <c r="B902" s="6"/>
      <c r="C902" s="6">
        <v>895.0</v>
      </c>
      <c r="D902" s="6"/>
      <c r="E902" s="6">
        <v>7139696.942299594</v>
      </c>
      <c r="F902" s="6">
        <v>454.43465572668754</v>
      </c>
      <c r="G902" s="6">
        <v>6.93360592300859</v>
      </c>
      <c r="H902" s="6">
        <v>6948812.621106292</v>
      </c>
      <c r="I902" s="6">
        <v>446.571772230836</v>
      </c>
      <c r="J902" s="6">
        <v>5.02783754823202</v>
      </c>
      <c r="K902" s="6"/>
      <c r="L902" s="6"/>
      <c r="M902" s="6"/>
      <c r="N902" s="6">
        <f t="shared" ref="N902:P902" si="905">IF(LEN($C902)&gt;0,H902-E902,"")</f>
        <v>-190884.3212</v>
      </c>
      <c r="O902" s="6">
        <f t="shared" si="905"/>
        <v>-7.862883496</v>
      </c>
      <c r="P902" s="6">
        <f t="shared" si="905"/>
        <v>-1.905768375</v>
      </c>
      <c r="Q902" s="6"/>
      <c r="R902" s="6"/>
      <c r="S902" s="6"/>
      <c r="T902" s="6"/>
      <c r="U902" s="6"/>
      <c r="V902" s="6"/>
      <c r="W902" s="6"/>
      <c r="X902" s="6"/>
      <c r="Y902" s="6"/>
      <c r="Z902" s="6"/>
      <c r="AA902" s="6"/>
      <c r="AB902" s="6"/>
      <c r="AC902" s="6"/>
      <c r="AD902" s="6"/>
      <c r="AE902" s="6"/>
      <c r="AF902" s="6"/>
      <c r="AG902" s="6"/>
    </row>
    <row r="903" ht="14.25" customHeight="1">
      <c r="A903" s="6"/>
      <c r="B903" s="6"/>
      <c r="C903" s="6">
        <v>896.0</v>
      </c>
      <c r="D903" s="6"/>
      <c r="E903" s="6">
        <v>8205903.276277995</v>
      </c>
      <c r="F903" s="6">
        <v>436.73477020554776</v>
      </c>
      <c r="G903" s="6">
        <v>3.6579344277836734</v>
      </c>
      <c r="H903" s="6">
        <v>8109768.057945509</v>
      </c>
      <c r="I903" s="6">
        <v>433.7733504396615</v>
      </c>
      <c r="J903" s="6">
        <v>2.6601432293118865</v>
      </c>
      <c r="K903" s="6"/>
      <c r="L903" s="6"/>
      <c r="M903" s="6"/>
      <c r="N903" s="6">
        <f t="shared" ref="N903:P903" si="906">IF(LEN($C903)&gt;0,H903-E903,"")</f>
        <v>-96135.21833</v>
      </c>
      <c r="O903" s="6">
        <f t="shared" si="906"/>
        <v>-2.961419766</v>
      </c>
      <c r="P903" s="6">
        <f t="shared" si="906"/>
        <v>-0.9977911985</v>
      </c>
      <c r="Q903" s="6"/>
      <c r="R903" s="6"/>
      <c r="S903" s="6"/>
      <c r="T903" s="6"/>
      <c r="U903" s="6"/>
      <c r="V903" s="6"/>
      <c r="W903" s="6"/>
      <c r="X903" s="6"/>
      <c r="Y903" s="6"/>
      <c r="Z903" s="6"/>
      <c r="AA903" s="6"/>
      <c r="AB903" s="6"/>
      <c r="AC903" s="6"/>
      <c r="AD903" s="6"/>
      <c r="AE903" s="6"/>
      <c r="AF903" s="6"/>
      <c r="AG903" s="6"/>
    </row>
    <row r="904" ht="14.25" customHeight="1">
      <c r="A904" s="6"/>
      <c r="B904" s="6"/>
      <c r="C904" s="6">
        <v>897.0</v>
      </c>
      <c r="D904" s="6"/>
      <c r="E904" s="6">
        <v>6518620.907765016</v>
      </c>
      <c r="F904" s="6">
        <v>489.5362703479411</v>
      </c>
      <c r="G904" s="6">
        <v>4.83651697102497</v>
      </c>
      <c r="H904" s="6">
        <v>6468431.283050089</v>
      </c>
      <c r="I904" s="6">
        <v>487.38327079353496</v>
      </c>
      <c r="J904" s="6">
        <v>3.664645247591311</v>
      </c>
      <c r="K904" s="6"/>
      <c r="L904" s="6"/>
      <c r="M904" s="6"/>
      <c r="N904" s="6">
        <f t="shared" ref="N904:P904" si="907">IF(LEN($C904)&gt;0,H904-E904,"")</f>
        <v>-50189.62471</v>
      </c>
      <c r="O904" s="6">
        <f t="shared" si="907"/>
        <v>-2.152999554</v>
      </c>
      <c r="P904" s="6">
        <f t="shared" si="907"/>
        <v>-1.171871723</v>
      </c>
      <c r="Q904" s="6"/>
      <c r="R904" s="6"/>
      <c r="S904" s="6"/>
      <c r="T904" s="6"/>
      <c r="U904" s="6"/>
      <c r="V904" s="6"/>
      <c r="W904" s="6"/>
      <c r="X904" s="6"/>
      <c r="Y904" s="6"/>
      <c r="Z904" s="6"/>
      <c r="AA904" s="6"/>
      <c r="AB904" s="6"/>
      <c r="AC904" s="6"/>
      <c r="AD904" s="6"/>
      <c r="AE904" s="6"/>
      <c r="AF904" s="6"/>
      <c r="AG904" s="6"/>
    </row>
    <row r="905" ht="14.25" customHeight="1">
      <c r="A905" s="6"/>
      <c r="B905" s="6"/>
      <c r="C905" s="6">
        <v>898.0</v>
      </c>
      <c r="D905" s="6"/>
      <c r="E905" s="6">
        <v>5755718.067940184</v>
      </c>
      <c r="F905" s="6">
        <v>464.2540206139202</v>
      </c>
      <c r="G905" s="6">
        <v>5.359190945094136</v>
      </c>
      <c r="H905" s="6">
        <v>5674371.345590961</v>
      </c>
      <c r="I905" s="6">
        <v>461.4991319960273</v>
      </c>
      <c r="J905" s="6">
        <v>4.087498216795886</v>
      </c>
      <c r="K905" s="6"/>
      <c r="L905" s="6"/>
      <c r="M905" s="6"/>
      <c r="N905" s="6">
        <f t="shared" ref="N905:P905" si="908">IF(LEN($C905)&gt;0,H905-E905,"")</f>
        <v>-81346.72235</v>
      </c>
      <c r="O905" s="6">
        <f t="shared" si="908"/>
        <v>-2.754888618</v>
      </c>
      <c r="P905" s="6">
        <f t="shared" si="908"/>
        <v>-1.271692728</v>
      </c>
      <c r="Q905" s="6"/>
      <c r="R905" s="6"/>
      <c r="S905" s="6"/>
      <c r="T905" s="6"/>
      <c r="U905" s="6"/>
      <c r="V905" s="6"/>
      <c r="W905" s="6"/>
      <c r="X905" s="6"/>
      <c r="Y905" s="6"/>
      <c r="Z905" s="6"/>
      <c r="AA905" s="6"/>
      <c r="AB905" s="6"/>
      <c r="AC905" s="6"/>
      <c r="AD905" s="6"/>
      <c r="AE905" s="6"/>
      <c r="AF905" s="6"/>
      <c r="AG905" s="6"/>
    </row>
    <row r="906" ht="14.25" customHeight="1">
      <c r="A906" s="6"/>
      <c r="B906" s="6"/>
      <c r="C906" s="6">
        <v>899.0</v>
      </c>
      <c r="D906" s="6"/>
      <c r="E906" s="6">
        <v>6739472.612723728</v>
      </c>
      <c r="F906" s="6">
        <v>488.09737262236996</v>
      </c>
      <c r="G906" s="6">
        <v>5.1508506375068315</v>
      </c>
      <c r="H906" s="6">
        <v>6601241.6017322885</v>
      </c>
      <c r="I906" s="6">
        <v>483.35144886399695</v>
      </c>
      <c r="J906" s="6">
        <v>3.8411565189271277</v>
      </c>
      <c r="K906" s="6"/>
      <c r="L906" s="6"/>
      <c r="M906" s="6"/>
      <c r="N906" s="6">
        <f t="shared" ref="N906:P906" si="909">IF(LEN($C906)&gt;0,H906-E906,"")</f>
        <v>-138231.011</v>
      </c>
      <c r="O906" s="6">
        <f t="shared" si="909"/>
        <v>-4.745923758</v>
      </c>
      <c r="P906" s="6">
        <f t="shared" si="909"/>
        <v>-1.309694119</v>
      </c>
      <c r="Q906" s="6"/>
      <c r="R906" s="6"/>
      <c r="S906" s="6"/>
      <c r="T906" s="6"/>
      <c r="U906" s="6"/>
      <c r="V906" s="6"/>
      <c r="W906" s="6"/>
      <c r="X906" s="6"/>
      <c r="Y906" s="6"/>
      <c r="Z906" s="6"/>
      <c r="AA906" s="6"/>
      <c r="AB906" s="6"/>
      <c r="AC906" s="6"/>
      <c r="AD906" s="6"/>
      <c r="AE906" s="6"/>
      <c r="AF906" s="6"/>
      <c r="AG906" s="6"/>
    </row>
    <row r="907" ht="14.25" customHeight="1">
      <c r="A907" s="6"/>
      <c r="B907" s="6"/>
      <c r="C907" s="6">
        <v>900.0</v>
      </c>
      <c r="D907" s="6"/>
      <c r="E907" s="6">
        <v>7435561.436704072</v>
      </c>
      <c r="F907" s="6">
        <v>460.7440845495366</v>
      </c>
      <c r="G907" s="6">
        <v>4.568372723419466</v>
      </c>
      <c r="H907" s="6">
        <v>7316304.182385435</v>
      </c>
      <c r="I907" s="6">
        <v>455.8052695405853</v>
      </c>
      <c r="J907" s="6">
        <v>3.1082103679857322</v>
      </c>
      <c r="K907" s="6"/>
      <c r="L907" s="6"/>
      <c r="M907" s="6"/>
      <c r="N907" s="6">
        <f t="shared" ref="N907:P907" si="910">IF(LEN($C907)&gt;0,H907-E907,"")</f>
        <v>-119257.2543</v>
      </c>
      <c r="O907" s="6">
        <f t="shared" si="910"/>
        <v>-4.938815009</v>
      </c>
      <c r="P907" s="6">
        <f t="shared" si="910"/>
        <v>-1.460162355</v>
      </c>
      <c r="Q907" s="6"/>
      <c r="R907" s="6"/>
      <c r="S907" s="6"/>
      <c r="T907" s="6"/>
      <c r="U907" s="6"/>
      <c r="V907" s="6"/>
      <c r="W907" s="6"/>
      <c r="X907" s="6"/>
      <c r="Y907" s="6"/>
      <c r="Z907" s="6"/>
      <c r="AA907" s="6"/>
      <c r="AB907" s="6"/>
      <c r="AC907" s="6"/>
      <c r="AD907" s="6"/>
      <c r="AE907" s="6"/>
      <c r="AF907" s="6"/>
      <c r="AG907" s="6"/>
    </row>
    <row r="908" ht="14.25" customHeight="1">
      <c r="A908" s="6"/>
      <c r="B908" s="6"/>
      <c r="C908" s="6">
        <v>901.0</v>
      </c>
      <c r="D908" s="6"/>
      <c r="E908" s="6">
        <v>7551760.333683441</v>
      </c>
      <c r="F908" s="6">
        <v>440.27421254151074</v>
      </c>
      <c r="G908" s="6">
        <v>5.556773014102447</v>
      </c>
      <c r="H908" s="6">
        <v>7499676.34107779</v>
      </c>
      <c r="I908" s="6">
        <v>438.3845146803743</v>
      </c>
      <c r="J908" s="6">
        <v>4.950816634834046</v>
      </c>
      <c r="K908" s="6"/>
      <c r="L908" s="6"/>
      <c r="M908" s="6"/>
      <c r="N908" s="6">
        <f t="shared" ref="N908:P908" si="911">IF(LEN($C908)&gt;0,H908-E908,"")</f>
        <v>-52083.99261</v>
      </c>
      <c r="O908" s="6">
        <f t="shared" si="911"/>
        <v>-1.889697861</v>
      </c>
      <c r="P908" s="6">
        <f t="shared" si="911"/>
        <v>-0.6059563793</v>
      </c>
      <c r="Q908" s="6"/>
      <c r="R908" s="6"/>
      <c r="S908" s="6"/>
      <c r="T908" s="6"/>
      <c r="U908" s="6"/>
      <c r="V908" s="6"/>
      <c r="W908" s="6"/>
      <c r="X908" s="6"/>
      <c r="Y908" s="6"/>
      <c r="Z908" s="6"/>
      <c r="AA908" s="6"/>
      <c r="AB908" s="6"/>
      <c r="AC908" s="6"/>
      <c r="AD908" s="6"/>
      <c r="AE908" s="6"/>
      <c r="AF908" s="6"/>
      <c r="AG908" s="6"/>
    </row>
    <row r="909" ht="14.25" customHeight="1">
      <c r="A909" s="6"/>
      <c r="B909" s="6"/>
      <c r="C909" s="6">
        <v>902.0</v>
      </c>
      <c r="D909" s="6"/>
      <c r="E909" s="6">
        <v>6644779.429440109</v>
      </c>
      <c r="F909" s="6">
        <v>484.63767454171284</v>
      </c>
      <c r="G909" s="6">
        <v>5.645874972892097</v>
      </c>
      <c r="H909" s="6">
        <v>6469521.432438697</v>
      </c>
      <c r="I909" s="6">
        <v>476.7166617479074</v>
      </c>
      <c r="J909" s="6">
        <v>3.603221957271685</v>
      </c>
      <c r="K909" s="6"/>
      <c r="L909" s="6"/>
      <c r="M909" s="6"/>
      <c r="N909" s="6">
        <f t="shared" ref="N909:P909" si="912">IF(LEN($C909)&gt;0,H909-E909,"")</f>
        <v>-175257.997</v>
      </c>
      <c r="O909" s="6">
        <f t="shared" si="912"/>
        <v>-7.921012794</v>
      </c>
      <c r="P909" s="6">
        <f t="shared" si="912"/>
        <v>-2.042653016</v>
      </c>
      <c r="Q909" s="6"/>
      <c r="R909" s="6"/>
      <c r="S909" s="6"/>
      <c r="T909" s="6"/>
      <c r="U909" s="6"/>
      <c r="V909" s="6"/>
      <c r="W909" s="6"/>
      <c r="X909" s="6"/>
      <c r="Y909" s="6"/>
      <c r="Z909" s="6"/>
      <c r="AA909" s="6"/>
      <c r="AB909" s="6"/>
      <c r="AC909" s="6"/>
      <c r="AD909" s="6"/>
      <c r="AE909" s="6"/>
      <c r="AF909" s="6"/>
      <c r="AG909" s="6"/>
    </row>
    <row r="910" ht="14.25" customHeight="1">
      <c r="A910" s="6"/>
      <c r="B910" s="6"/>
      <c r="C910" s="6">
        <v>903.0</v>
      </c>
      <c r="D910" s="6"/>
      <c r="E910" s="6">
        <v>6919148.269049997</v>
      </c>
      <c r="F910" s="6">
        <v>456.4776311829869</v>
      </c>
      <c r="G910" s="6">
        <v>5.63152364005067</v>
      </c>
      <c r="H910" s="6">
        <v>6790344.172573406</v>
      </c>
      <c r="I910" s="6">
        <v>453.57018009246633</v>
      </c>
      <c r="J910" s="6">
        <v>3.7857805255323544</v>
      </c>
      <c r="K910" s="6"/>
      <c r="L910" s="6"/>
      <c r="M910" s="6"/>
      <c r="N910" s="6">
        <f t="shared" ref="N910:P910" si="913">IF(LEN($C910)&gt;0,H910-E910,"")</f>
        <v>-128804.0965</v>
      </c>
      <c r="O910" s="6">
        <f t="shared" si="913"/>
        <v>-2.907451091</v>
      </c>
      <c r="P910" s="6">
        <f t="shared" si="913"/>
        <v>-1.845743115</v>
      </c>
      <c r="Q910" s="6"/>
      <c r="R910" s="6"/>
      <c r="S910" s="6"/>
      <c r="T910" s="6"/>
      <c r="U910" s="6"/>
      <c r="V910" s="6"/>
      <c r="W910" s="6"/>
      <c r="X910" s="6"/>
      <c r="Y910" s="6"/>
      <c r="Z910" s="6"/>
      <c r="AA910" s="6"/>
      <c r="AB910" s="6"/>
      <c r="AC910" s="6"/>
      <c r="AD910" s="6"/>
      <c r="AE910" s="6"/>
      <c r="AF910" s="6"/>
      <c r="AG910" s="6"/>
    </row>
    <row r="911" ht="14.25" customHeight="1">
      <c r="A911" s="6"/>
      <c r="B911" s="6"/>
      <c r="C911" s="6">
        <v>904.0</v>
      </c>
      <c r="D911" s="6"/>
      <c r="E911" s="6">
        <v>7069907.168086433</v>
      </c>
      <c r="F911" s="6">
        <v>447.39797767557104</v>
      </c>
      <c r="G911" s="6">
        <v>4.434264748852556</v>
      </c>
      <c r="H911" s="6">
        <v>6964157.275696819</v>
      </c>
      <c r="I911" s="6">
        <v>443.0033649723771</v>
      </c>
      <c r="J911" s="6">
        <v>3.179867834403257</v>
      </c>
      <c r="K911" s="6"/>
      <c r="L911" s="6"/>
      <c r="M911" s="6"/>
      <c r="N911" s="6">
        <f t="shared" ref="N911:P911" si="914">IF(LEN($C911)&gt;0,H911-E911,"")</f>
        <v>-105749.8924</v>
      </c>
      <c r="O911" s="6">
        <f t="shared" si="914"/>
        <v>-4.394612703</v>
      </c>
      <c r="P911" s="6">
        <f t="shared" si="914"/>
        <v>-1.254396914</v>
      </c>
      <c r="Q911" s="6"/>
      <c r="R911" s="6"/>
      <c r="S911" s="6"/>
      <c r="T911" s="6"/>
      <c r="U911" s="6"/>
      <c r="V911" s="6"/>
      <c r="W911" s="6"/>
      <c r="X911" s="6"/>
      <c r="Y911" s="6"/>
      <c r="Z911" s="6"/>
      <c r="AA911" s="6"/>
      <c r="AB911" s="6"/>
      <c r="AC911" s="6"/>
      <c r="AD911" s="6"/>
      <c r="AE911" s="6"/>
      <c r="AF911" s="6"/>
      <c r="AG911" s="6"/>
    </row>
    <row r="912" ht="14.25" customHeight="1">
      <c r="A912" s="6"/>
      <c r="B912" s="6"/>
      <c r="C912" s="6">
        <v>905.0</v>
      </c>
      <c r="D912" s="6"/>
      <c r="E912" s="6">
        <v>6798843.6140998285</v>
      </c>
      <c r="F912" s="6">
        <v>488.69690259435254</v>
      </c>
      <c r="G912" s="6">
        <v>6.228201225820484</v>
      </c>
      <c r="H912" s="6">
        <v>6687563.278994346</v>
      </c>
      <c r="I912" s="6">
        <v>483.45276752466583</v>
      </c>
      <c r="J912" s="6">
        <v>4.991508161613462</v>
      </c>
      <c r="K912" s="6"/>
      <c r="L912" s="6"/>
      <c r="M912" s="6"/>
      <c r="N912" s="6">
        <f t="shared" ref="N912:P912" si="915">IF(LEN($C912)&gt;0,H912-E912,"")</f>
        <v>-111280.3351</v>
      </c>
      <c r="O912" s="6">
        <f t="shared" si="915"/>
        <v>-5.24413507</v>
      </c>
      <c r="P912" s="6">
        <f t="shared" si="915"/>
        <v>-1.236693064</v>
      </c>
      <c r="Q912" s="6"/>
      <c r="R912" s="6"/>
      <c r="S912" s="6"/>
      <c r="T912" s="6"/>
      <c r="U912" s="6"/>
      <c r="V912" s="6"/>
      <c r="W912" s="6"/>
      <c r="X912" s="6"/>
      <c r="Y912" s="6"/>
      <c r="Z912" s="6"/>
      <c r="AA912" s="6"/>
      <c r="AB912" s="6"/>
      <c r="AC912" s="6"/>
      <c r="AD912" s="6"/>
      <c r="AE912" s="6"/>
      <c r="AF912" s="6"/>
      <c r="AG912" s="6"/>
    </row>
    <row r="913" ht="14.25" customHeight="1">
      <c r="A913" s="6"/>
      <c r="B913" s="6"/>
      <c r="C913" s="6">
        <v>906.0</v>
      </c>
      <c r="D913" s="6"/>
      <c r="E913" s="6">
        <v>6369594.029077901</v>
      </c>
      <c r="F913" s="6">
        <v>504.40240200417696</v>
      </c>
      <c r="G913" s="6">
        <v>5.2072584279346845</v>
      </c>
      <c r="H913" s="6">
        <v>6236199.604109019</v>
      </c>
      <c r="I913" s="6">
        <v>498.1613895276896</v>
      </c>
      <c r="J913" s="6">
        <v>4.00671677150917</v>
      </c>
      <c r="K913" s="6"/>
      <c r="L913" s="6"/>
      <c r="M913" s="6"/>
      <c r="N913" s="6">
        <f t="shared" ref="N913:P913" si="916">IF(LEN($C913)&gt;0,H913-E913,"")</f>
        <v>-133394.425</v>
      </c>
      <c r="O913" s="6">
        <f t="shared" si="916"/>
        <v>-6.241012476</v>
      </c>
      <c r="P913" s="6">
        <f t="shared" si="916"/>
        <v>-1.200541656</v>
      </c>
      <c r="Q913" s="6"/>
      <c r="R913" s="6"/>
      <c r="S913" s="6"/>
      <c r="T913" s="6"/>
      <c r="U913" s="6"/>
      <c r="V913" s="6"/>
      <c r="W913" s="6"/>
      <c r="X913" s="6"/>
      <c r="Y913" s="6"/>
      <c r="Z913" s="6"/>
      <c r="AA913" s="6"/>
      <c r="AB913" s="6"/>
      <c r="AC913" s="6"/>
      <c r="AD913" s="6"/>
      <c r="AE913" s="6"/>
      <c r="AF913" s="6"/>
      <c r="AG913" s="6"/>
    </row>
    <row r="914" ht="14.25" customHeight="1">
      <c r="A914" s="6"/>
      <c r="B914" s="6"/>
      <c r="C914" s="6">
        <v>907.0</v>
      </c>
      <c r="D914" s="6"/>
      <c r="E914" s="6">
        <v>7491292.244104316</v>
      </c>
      <c r="F914" s="6">
        <v>441.99969164291656</v>
      </c>
      <c r="G914" s="6">
        <v>4.221218490731511</v>
      </c>
      <c r="H914" s="6">
        <v>7406517.509049013</v>
      </c>
      <c r="I914" s="6">
        <v>438.41926761543186</v>
      </c>
      <c r="J914" s="6">
        <v>2.9298103717669735</v>
      </c>
      <c r="K914" s="6"/>
      <c r="L914" s="6"/>
      <c r="M914" s="6"/>
      <c r="N914" s="6">
        <f t="shared" ref="N914:P914" si="917">IF(LEN($C914)&gt;0,H914-E914,"")</f>
        <v>-84774.73506</v>
      </c>
      <c r="O914" s="6">
        <f t="shared" si="917"/>
        <v>-3.580424027</v>
      </c>
      <c r="P914" s="6">
        <f t="shared" si="917"/>
        <v>-1.291408119</v>
      </c>
      <c r="Q914" s="6"/>
      <c r="R914" s="6"/>
      <c r="S914" s="6"/>
      <c r="T914" s="6"/>
      <c r="U914" s="6"/>
      <c r="V914" s="6"/>
      <c r="W914" s="6"/>
      <c r="X914" s="6"/>
      <c r="Y914" s="6"/>
      <c r="Z914" s="6"/>
      <c r="AA914" s="6"/>
      <c r="AB914" s="6"/>
      <c r="AC914" s="6"/>
      <c r="AD914" s="6"/>
      <c r="AE914" s="6"/>
      <c r="AF914" s="6"/>
      <c r="AG914" s="6"/>
    </row>
    <row r="915" ht="14.25" customHeight="1">
      <c r="A915" s="6"/>
      <c r="B915" s="6"/>
      <c r="C915" s="6">
        <v>908.0</v>
      </c>
      <c r="D915" s="6"/>
      <c r="E915" s="6">
        <v>7860669.55167777</v>
      </c>
      <c r="F915" s="6">
        <v>451.7676837511277</v>
      </c>
      <c r="G915" s="6">
        <v>4.478175316811003</v>
      </c>
      <c r="H915" s="6">
        <v>7695903.9093789505</v>
      </c>
      <c r="I915" s="6">
        <v>444.43901206703714</v>
      </c>
      <c r="J915" s="6">
        <v>3.380487149006867</v>
      </c>
      <c r="K915" s="6"/>
      <c r="L915" s="6"/>
      <c r="M915" s="6"/>
      <c r="N915" s="6">
        <f t="shared" ref="N915:P915" si="918">IF(LEN($C915)&gt;0,H915-E915,"")</f>
        <v>-164765.6423</v>
      </c>
      <c r="O915" s="6">
        <f t="shared" si="918"/>
        <v>-7.328671684</v>
      </c>
      <c r="P915" s="6">
        <f t="shared" si="918"/>
        <v>-1.097688168</v>
      </c>
      <c r="Q915" s="6"/>
      <c r="R915" s="6"/>
      <c r="S915" s="6"/>
      <c r="T915" s="6"/>
      <c r="U915" s="6"/>
      <c r="V915" s="6"/>
      <c r="W915" s="6"/>
      <c r="X915" s="6"/>
      <c r="Y915" s="6"/>
      <c r="Z915" s="6"/>
      <c r="AA915" s="6"/>
      <c r="AB915" s="6"/>
      <c r="AC915" s="6"/>
      <c r="AD915" s="6"/>
      <c r="AE915" s="6"/>
      <c r="AF915" s="6"/>
      <c r="AG915" s="6"/>
    </row>
    <row r="916" ht="14.25" customHeight="1">
      <c r="A916" s="6"/>
      <c r="B916" s="6"/>
      <c r="C916" s="6">
        <v>909.0</v>
      </c>
      <c r="D916" s="6"/>
      <c r="E916" s="6">
        <v>8127490.328461104</v>
      </c>
      <c r="F916" s="6">
        <v>476.8687208420152</v>
      </c>
      <c r="G916" s="6">
        <v>4.871854665611467</v>
      </c>
      <c r="H916" s="6">
        <v>8045970.054124106</v>
      </c>
      <c r="I916" s="6">
        <v>472.9319285981633</v>
      </c>
      <c r="J916" s="6">
        <v>3.4061800490017804</v>
      </c>
      <c r="K916" s="6"/>
      <c r="L916" s="6"/>
      <c r="M916" s="6"/>
      <c r="N916" s="6">
        <f t="shared" ref="N916:P916" si="919">IF(LEN($C916)&gt;0,H916-E916,"")</f>
        <v>-81520.27434</v>
      </c>
      <c r="O916" s="6">
        <f t="shared" si="919"/>
        <v>-3.936792244</v>
      </c>
      <c r="P916" s="6">
        <f t="shared" si="919"/>
        <v>-1.465674617</v>
      </c>
      <c r="Q916" s="6"/>
      <c r="R916" s="6"/>
      <c r="S916" s="6"/>
      <c r="T916" s="6"/>
      <c r="U916" s="6"/>
      <c r="V916" s="6"/>
      <c r="W916" s="6"/>
      <c r="X916" s="6"/>
      <c r="Y916" s="6"/>
      <c r="Z916" s="6"/>
      <c r="AA916" s="6"/>
      <c r="AB916" s="6"/>
      <c r="AC916" s="6"/>
      <c r="AD916" s="6"/>
      <c r="AE916" s="6"/>
      <c r="AF916" s="6"/>
      <c r="AG916" s="6"/>
    </row>
    <row r="917" ht="14.25" customHeight="1">
      <c r="A917" s="6"/>
      <c r="B917" s="6"/>
      <c r="C917" s="6">
        <v>910.0</v>
      </c>
      <c r="D917" s="6"/>
      <c r="E917" s="6">
        <v>7169975.633246943</v>
      </c>
      <c r="F917" s="6">
        <v>460.53847276756306</v>
      </c>
      <c r="G917" s="6">
        <v>4.099215429542636</v>
      </c>
      <c r="H917" s="6">
        <v>7092098.956198799</v>
      </c>
      <c r="I917" s="6">
        <v>457.3145151003336</v>
      </c>
      <c r="J917" s="6">
        <v>2.8316263442787886</v>
      </c>
      <c r="K917" s="6"/>
      <c r="L917" s="6"/>
      <c r="M917" s="6"/>
      <c r="N917" s="6">
        <f t="shared" ref="N917:P917" si="920">IF(LEN($C917)&gt;0,H917-E917,"")</f>
        <v>-77876.67705</v>
      </c>
      <c r="O917" s="6">
        <f t="shared" si="920"/>
        <v>-3.223957667</v>
      </c>
      <c r="P917" s="6">
        <f t="shared" si="920"/>
        <v>-1.267589085</v>
      </c>
      <c r="Q917" s="6"/>
      <c r="R917" s="6"/>
      <c r="S917" s="6"/>
      <c r="T917" s="6"/>
      <c r="U917" s="6"/>
      <c r="V917" s="6"/>
      <c r="W917" s="6"/>
      <c r="X917" s="6"/>
      <c r="Y917" s="6"/>
      <c r="Z917" s="6"/>
      <c r="AA917" s="6"/>
      <c r="AB917" s="6"/>
      <c r="AC917" s="6"/>
      <c r="AD917" s="6"/>
      <c r="AE917" s="6"/>
      <c r="AF917" s="6"/>
      <c r="AG917" s="6"/>
    </row>
    <row r="918" ht="14.25" customHeight="1">
      <c r="A918" s="6"/>
      <c r="B918" s="6"/>
      <c r="C918" s="6">
        <v>911.0</v>
      </c>
      <c r="D918" s="6"/>
      <c r="E918" s="6">
        <v>9944106.54807899</v>
      </c>
      <c r="F918" s="6">
        <v>456.91548190788023</v>
      </c>
      <c r="G918" s="6">
        <v>4.289914619588881</v>
      </c>
      <c r="H918" s="6">
        <v>9808265.822299179</v>
      </c>
      <c r="I918" s="6">
        <v>451.21500577743336</v>
      </c>
      <c r="J918" s="6">
        <v>2.8273479243634796</v>
      </c>
      <c r="K918" s="6"/>
      <c r="L918" s="6"/>
      <c r="M918" s="6"/>
      <c r="N918" s="6">
        <f t="shared" ref="N918:P918" si="921">IF(LEN($C918)&gt;0,H918-E918,"")</f>
        <v>-135840.7258</v>
      </c>
      <c r="O918" s="6">
        <f t="shared" si="921"/>
        <v>-5.70047613</v>
      </c>
      <c r="P918" s="6">
        <f t="shared" si="921"/>
        <v>-1.462566695</v>
      </c>
      <c r="Q918" s="6"/>
      <c r="R918" s="6"/>
      <c r="S918" s="6"/>
      <c r="T918" s="6"/>
      <c r="U918" s="6"/>
      <c r="V918" s="6"/>
      <c r="W918" s="6"/>
      <c r="X918" s="6"/>
      <c r="Y918" s="6"/>
      <c r="Z918" s="6"/>
      <c r="AA918" s="6"/>
      <c r="AB918" s="6"/>
      <c r="AC918" s="6"/>
      <c r="AD918" s="6"/>
      <c r="AE918" s="6"/>
      <c r="AF918" s="6"/>
      <c r="AG918" s="6"/>
    </row>
    <row r="919" ht="14.25" customHeight="1">
      <c r="A919" s="6"/>
      <c r="B919" s="6"/>
      <c r="C919" s="6">
        <v>912.0</v>
      </c>
      <c r="D919" s="6"/>
      <c r="E919" s="6">
        <v>6102549.621722149</v>
      </c>
      <c r="F919" s="6">
        <v>471.80223708661345</v>
      </c>
      <c r="G919" s="6">
        <v>4.786631942079314</v>
      </c>
      <c r="H919" s="6">
        <v>6033134.341393676</v>
      </c>
      <c r="I919" s="6">
        <v>468.3910221200195</v>
      </c>
      <c r="J919" s="6">
        <v>3.690010865849059</v>
      </c>
      <c r="K919" s="6"/>
      <c r="L919" s="6"/>
      <c r="M919" s="6"/>
      <c r="N919" s="6">
        <f t="shared" ref="N919:P919" si="922">IF(LEN($C919)&gt;0,H919-E919,"")</f>
        <v>-69415.28033</v>
      </c>
      <c r="O919" s="6">
        <f t="shared" si="922"/>
        <v>-3.411214967</v>
      </c>
      <c r="P919" s="6">
        <f t="shared" si="922"/>
        <v>-1.096621076</v>
      </c>
      <c r="Q919" s="6"/>
      <c r="R919" s="6"/>
      <c r="S919" s="6"/>
      <c r="T919" s="6"/>
      <c r="U919" s="6"/>
      <c r="V919" s="6"/>
      <c r="W919" s="6"/>
      <c r="X919" s="6"/>
      <c r="Y919" s="6"/>
      <c r="Z919" s="6"/>
      <c r="AA919" s="6"/>
      <c r="AB919" s="6"/>
      <c r="AC919" s="6"/>
      <c r="AD919" s="6"/>
      <c r="AE919" s="6"/>
      <c r="AF919" s="6"/>
      <c r="AG919" s="6"/>
    </row>
    <row r="920" ht="14.25" customHeight="1">
      <c r="A920" s="6"/>
      <c r="B920" s="6"/>
      <c r="C920" s="6">
        <v>913.0</v>
      </c>
      <c r="D920" s="6"/>
      <c r="E920" s="6">
        <v>6766334.379809024</v>
      </c>
      <c r="F920" s="6">
        <v>437.5021294275686</v>
      </c>
      <c r="G920" s="6">
        <v>6.96148619418312</v>
      </c>
      <c r="H920" s="6">
        <v>6660542.2010991275</v>
      </c>
      <c r="I920" s="6">
        <v>434.30358216136983</v>
      </c>
      <c r="J920" s="6">
        <v>5.3692053118054766</v>
      </c>
      <c r="K920" s="6"/>
      <c r="L920" s="6"/>
      <c r="M920" s="6"/>
      <c r="N920" s="6">
        <f t="shared" ref="N920:P920" si="923">IF(LEN($C920)&gt;0,H920-E920,"")</f>
        <v>-105792.1787</v>
      </c>
      <c r="O920" s="6">
        <f t="shared" si="923"/>
        <v>-3.198547266</v>
      </c>
      <c r="P920" s="6">
        <f t="shared" si="923"/>
        <v>-1.592280882</v>
      </c>
      <c r="Q920" s="6"/>
      <c r="R920" s="6"/>
      <c r="S920" s="6"/>
      <c r="T920" s="6"/>
      <c r="U920" s="6"/>
      <c r="V920" s="6"/>
      <c r="W920" s="6"/>
      <c r="X920" s="6"/>
      <c r="Y920" s="6"/>
      <c r="Z920" s="6"/>
      <c r="AA920" s="6"/>
      <c r="AB920" s="6"/>
      <c r="AC920" s="6"/>
      <c r="AD920" s="6"/>
      <c r="AE920" s="6"/>
      <c r="AF920" s="6"/>
      <c r="AG920" s="6"/>
    </row>
    <row r="921" ht="14.25" customHeight="1">
      <c r="A921" s="6"/>
      <c r="B921" s="6"/>
      <c r="C921" s="6">
        <v>914.0</v>
      </c>
      <c r="D921" s="6"/>
      <c r="E921" s="6">
        <v>8449155.806463426</v>
      </c>
      <c r="F921" s="6">
        <v>509.66407798929936</v>
      </c>
      <c r="G921" s="6">
        <v>5.043815106907427</v>
      </c>
      <c r="H921" s="6">
        <v>8310672.298631736</v>
      </c>
      <c r="I921" s="6">
        <v>503.752739599614</v>
      </c>
      <c r="J921" s="6">
        <v>3.8594978044491186</v>
      </c>
      <c r="K921" s="6"/>
      <c r="L921" s="6"/>
      <c r="M921" s="6"/>
      <c r="N921" s="6">
        <f t="shared" ref="N921:P921" si="924">IF(LEN($C921)&gt;0,H921-E921,"")</f>
        <v>-138483.5078</v>
      </c>
      <c r="O921" s="6">
        <f t="shared" si="924"/>
        <v>-5.91133839</v>
      </c>
      <c r="P921" s="6">
        <f t="shared" si="924"/>
        <v>-1.184317302</v>
      </c>
      <c r="Q921" s="6"/>
      <c r="R921" s="6"/>
      <c r="S921" s="6"/>
      <c r="T921" s="6"/>
      <c r="U921" s="6"/>
      <c r="V921" s="6"/>
      <c r="W921" s="6"/>
      <c r="X921" s="6"/>
      <c r="Y921" s="6"/>
      <c r="Z921" s="6"/>
      <c r="AA921" s="6"/>
      <c r="AB921" s="6"/>
      <c r="AC921" s="6"/>
      <c r="AD921" s="6"/>
      <c r="AE921" s="6"/>
      <c r="AF921" s="6"/>
      <c r="AG921" s="6"/>
    </row>
    <row r="922" ht="14.25" customHeight="1">
      <c r="A922" s="6"/>
      <c r="B922" s="6"/>
      <c r="C922" s="6">
        <v>915.0</v>
      </c>
      <c r="D922" s="6"/>
      <c r="E922" s="6">
        <v>8535656.841647306</v>
      </c>
      <c r="F922" s="6">
        <v>456.647807849824</v>
      </c>
      <c r="G922" s="6">
        <v>4.730896856666236</v>
      </c>
      <c r="H922" s="6">
        <v>8400933.583826447</v>
      </c>
      <c r="I922" s="6">
        <v>452.359743252826</v>
      </c>
      <c r="J922" s="6">
        <v>3.3029799887446525</v>
      </c>
      <c r="K922" s="6"/>
      <c r="L922" s="6"/>
      <c r="M922" s="6"/>
      <c r="N922" s="6">
        <f t="shared" ref="N922:P922" si="925">IF(LEN($C922)&gt;0,H922-E922,"")</f>
        <v>-134723.2578</v>
      </c>
      <c r="O922" s="6">
        <f t="shared" si="925"/>
        <v>-4.288064597</v>
      </c>
      <c r="P922" s="6">
        <f t="shared" si="925"/>
        <v>-1.427916868</v>
      </c>
      <c r="Q922" s="6"/>
      <c r="R922" s="6"/>
      <c r="S922" s="6"/>
      <c r="T922" s="6"/>
      <c r="U922" s="6"/>
      <c r="V922" s="6"/>
      <c r="W922" s="6"/>
      <c r="X922" s="6"/>
      <c r="Y922" s="6"/>
      <c r="Z922" s="6"/>
      <c r="AA922" s="6"/>
      <c r="AB922" s="6"/>
      <c r="AC922" s="6"/>
      <c r="AD922" s="6"/>
      <c r="AE922" s="6"/>
      <c r="AF922" s="6"/>
      <c r="AG922" s="6"/>
    </row>
    <row r="923" ht="14.25" customHeight="1">
      <c r="A923" s="6"/>
      <c r="B923" s="6"/>
      <c r="C923" s="6">
        <v>916.0</v>
      </c>
      <c r="D923" s="6"/>
      <c r="E923" s="6">
        <v>7129743.583985476</v>
      </c>
      <c r="F923" s="6">
        <v>457.31695090527273</v>
      </c>
      <c r="G923" s="6">
        <v>4.203940282444692</v>
      </c>
      <c r="H923" s="6">
        <v>7022074.109194624</v>
      </c>
      <c r="I923" s="6">
        <v>451.8027678301361</v>
      </c>
      <c r="J923" s="6">
        <v>3.301621432479738</v>
      </c>
      <c r="K923" s="6"/>
      <c r="L923" s="6"/>
      <c r="M923" s="6"/>
      <c r="N923" s="6">
        <f t="shared" ref="N923:P923" si="926">IF(LEN($C923)&gt;0,H923-E923,"")</f>
        <v>-107669.4748</v>
      </c>
      <c r="O923" s="6">
        <f t="shared" si="926"/>
        <v>-5.514183075</v>
      </c>
      <c r="P923" s="6">
        <f t="shared" si="926"/>
        <v>-0.90231885</v>
      </c>
      <c r="Q923" s="6"/>
      <c r="R923" s="6"/>
      <c r="S923" s="6"/>
      <c r="T923" s="6"/>
      <c r="U923" s="6"/>
      <c r="V923" s="6"/>
      <c r="W923" s="6"/>
      <c r="X923" s="6"/>
      <c r="Y923" s="6"/>
      <c r="Z923" s="6"/>
      <c r="AA923" s="6"/>
      <c r="AB923" s="6"/>
      <c r="AC923" s="6"/>
      <c r="AD923" s="6"/>
      <c r="AE923" s="6"/>
      <c r="AF923" s="6"/>
      <c r="AG923" s="6"/>
    </row>
    <row r="924" ht="14.25" customHeight="1">
      <c r="A924" s="6"/>
      <c r="B924" s="6"/>
      <c r="C924" s="6">
        <v>917.0</v>
      </c>
      <c r="D924" s="6"/>
      <c r="E924" s="6">
        <v>6770346.152096709</v>
      </c>
      <c r="F924" s="6">
        <v>489.58740674581156</v>
      </c>
      <c r="G924" s="6">
        <v>4.3159162817045</v>
      </c>
      <c r="H924" s="6">
        <v>6708324.112796397</v>
      </c>
      <c r="I924" s="6">
        <v>487.16364909659677</v>
      </c>
      <c r="J924" s="6">
        <v>3.390413462348958</v>
      </c>
      <c r="K924" s="6"/>
      <c r="L924" s="6"/>
      <c r="M924" s="6"/>
      <c r="N924" s="6">
        <f t="shared" ref="N924:P924" si="927">IF(LEN($C924)&gt;0,H924-E924,"")</f>
        <v>-62022.0393</v>
      </c>
      <c r="O924" s="6">
        <f t="shared" si="927"/>
        <v>-2.423757649</v>
      </c>
      <c r="P924" s="6">
        <f t="shared" si="927"/>
        <v>-0.9255028194</v>
      </c>
      <c r="Q924" s="6"/>
      <c r="R924" s="6"/>
      <c r="S924" s="6"/>
      <c r="T924" s="6"/>
      <c r="U924" s="6"/>
      <c r="V924" s="6"/>
      <c r="W924" s="6"/>
      <c r="X924" s="6"/>
      <c r="Y924" s="6"/>
      <c r="Z924" s="6"/>
      <c r="AA924" s="6"/>
      <c r="AB924" s="6"/>
      <c r="AC924" s="6"/>
      <c r="AD924" s="6"/>
      <c r="AE924" s="6"/>
      <c r="AF924" s="6"/>
      <c r="AG924" s="6"/>
    </row>
    <row r="925" ht="14.25" customHeight="1">
      <c r="A925" s="6"/>
      <c r="B925" s="6"/>
      <c r="C925" s="6">
        <v>918.0</v>
      </c>
      <c r="D925" s="6"/>
      <c r="E925" s="6">
        <v>6801089.772187072</v>
      </c>
      <c r="F925" s="6">
        <v>490.91283173047725</v>
      </c>
      <c r="G925" s="6">
        <v>3.888175698697937</v>
      </c>
      <c r="H925" s="6">
        <v>6710181.456581817</v>
      </c>
      <c r="I925" s="6">
        <v>487.12999670617853</v>
      </c>
      <c r="J925" s="6">
        <v>2.6647202909252186</v>
      </c>
      <c r="K925" s="6"/>
      <c r="L925" s="6"/>
      <c r="M925" s="6"/>
      <c r="N925" s="6">
        <f t="shared" ref="N925:P925" si="928">IF(LEN($C925)&gt;0,H925-E925,"")</f>
        <v>-90908.31561</v>
      </c>
      <c r="O925" s="6">
        <f t="shared" si="928"/>
        <v>-3.782835024</v>
      </c>
      <c r="P925" s="6">
        <f t="shared" si="928"/>
        <v>-1.223455408</v>
      </c>
      <c r="Q925" s="6"/>
      <c r="R925" s="6"/>
      <c r="S925" s="6"/>
      <c r="T925" s="6"/>
      <c r="U925" s="6"/>
      <c r="V925" s="6"/>
      <c r="W925" s="6"/>
      <c r="X925" s="6"/>
      <c r="Y925" s="6"/>
      <c r="Z925" s="6"/>
      <c r="AA925" s="6"/>
      <c r="AB925" s="6"/>
      <c r="AC925" s="6"/>
      <c r="AD925" s="6"/>
      <c r="AE925" s="6"/>
      <c r="AF925" s="6"/>
      <c r="AG925" s="6"/>
    </row>
    <row r="926" ht="14.25" customHeight="1">
      <c r="A926" s="6"/>
      <c r="B926" s="6"/>
      <c r="C926" s="6">
        <v>919.0</v>
      </c>
      <c r="D926" s="6"/>
      <c r="E926" s="6">
        <v>7097975.449419665</v>
      </c>
      <c r="F926" s="6">
        <v>438.03337055459286</v>
      </c>
      <c r="G926" s="6">
        <v>5.065862621768774</v>
      </c>
      <c r="H926" s="6">
        <v>6946679.209745309</v>
      </c>
      <c r="I926" s="6">
        <v>432.85294627413583</v>
      </c>
      <c r="J926" s="6">
        <v>3.739626982877681</v>
      </c>
      <c r="K926" s="6"/>
      <c r="L926" s="6"/>
      <c r="M926" s="6"/>
      <c r="N926" s="6">
        <f t="shared" ref="N926:P926" si="929">IF(LEN($C926)&gt;0,H926-E926,"")</f>
        <v>-151296.2397</v>
      </c>
      <c r="O926" s="6">
        <f t="shared" si="929"/>
        <v>-5.18042428</v>
      </c>
      <c r="P926" s="6">
        <f t="shared" si="929"/>
        <v>-1.326235639</v>
      </c>
      <c r="Q926" s="6"/>
      <c r="R926" s="6"/>
      <c r="S926" s="6"/>
      <c r="T926" s="6"/>
      <c r="U926" s="6"/>
      <c r="V926" s="6"/>
      <c r="W926" s="6"/>
      <c r="X926" s="6"/>
      <c r="Y926" s="6"/>
      <c r="Z926" s="6"/>
      <c r="AA926" s="6"/>
      <c r="AB926" s="6"/>
      <c r="AC926" s="6"/>
      <c r="AD926" s="6"/>
      <c r="AE926" s="6"/>
      <c r="AF926" s="6"/>
      <c r="AG926" s="6"/>
    </row>
    <row r="927" ht="14.25" customHeight="1">
      <c r="A927" s="6"/>
      <c r="B927" s="6"/>
      <c r="C927" s="6">
        <v>920.0</v>
      </c>
      <c r="D927" s="6"/>
      <c r="E927" s="6">
        <v>5734367.33112898</v>
      </c>
      <c r="F927" s="6">
        <v>443.4035360239657</v>
      </c>
      <c r="G927" s="6">
        <v>4.822631978432558</v>
      </c>
      <c r="H927" s="6">
        <v>5646464.8668779535</v>
      </c>
      <c r="I927" s="6">
        <v>439.6961756889689</v>
      </c>
      <c r="J927" s="6">
        <v>3.2356999437549385</v>
      </c>
      <c r="K927" s="6"/>
      <c r="L927" s="6"/>
      <c r="M927" s="6"/>
      <c r="N927" s="6">
        <f t="shared" ref="N927:P927" si="930">IF(LEN($C927)&gt;0,H927-E927,"")</f>
        <v>-87902.46425</v>
      </c>
      <c r="O927" s="6">
        <f t="shared" si="930"/>
        <v>-3.707360335</v>
      </c>
      <c r="P927" s="6">
        <f t="shared" si="930"/>
        <v>-1.586932035</v>
      </c>
      <c r="Q927" s="6"/>
      <c r="R927" s="6"/>
      <c r="S927" s="6"/>
      <c r="T927" s="6"/>
      <c r="U927" s="6"/>
      <c r="V927" s="6"/>
      <c r="W927" s="6"/>
      <c r="X927" s="6"/>
      <c r="Y927" s="6"/>
      <c r="Z927" s="6"/>
      <c r="AA927" s="6"/>
      <c r="AB927" s="6"/>
      <c r="AC927" s="6"/>
      <c r="AD927" s="6"/>
      <c r="AE927" s="6"/>
      <c r="AF927" s="6"/>
      <c r="AG927" s="6"/>
    </row>
    <row r="928" ht="14.25" customHeight="1">
      <c r="A928" s="6"/>
      <c r="B928" s="6"/>
      <c r="C928" s="6">
        <v>921.0</v>
      </c>
      <c r="D928" s="6"/>
      <c r="E928" s="6">
        <v>6846463.629462624</v>
      </c>
      <c r="F928" s="6">
        <v>449.6602037017097</v>
      </c>
      <c r="G928" s="6">
        <v>5.461633194948977</v>
      </c>
      <c r="H928" s="6">
        <v>6725305.3756359</v>
      </c>
      <c r="I928" s="6">
        <v>444.9646537622578</v>
      </c>
      <c r="J928" s="6">
        <v>3.959246347510135</v>
      </c>
      <c r="K928" s="6"/>
      <c r="L928" s="6"/>
      <c r="M928" s="6"/>
      <c r="N928" s="6">
        <f t="shared" ref="N928:P928" si="931">IF(LEN($C928)&gt;0,H928-E928,"")</f>
        <v>-121158.2538</v>
      </c>
      <c r="O928" s="6">
        <f t="shared" si="931"/>
        <v>-4.695549939</v>
      </c>
      <c r="P928" s="6">
        <f t="shared" si="931"/>
        <v>-1.502386847</v>
      </c>
      <c r="Q928" s="6"/>
      <c r="R928" s="6"/>
      <c r="S928" s="6"/>
      <c r="T928" s="6"/>
      <c r="U928" s="6"/>
      <c r="V928" s="6"/>
      <c r="W928" s="6"/>
      <c r="X928" s="6"/>
      <c r="Y928" s="6"/>
      <c r="Z928" s="6"/>
      <c r="AA928" s="6"/>
      <c r="AB928" s="6"/>
      <c r="AC928" s="6"/>
      <c r="AD928" s="6"/>
      <c r="AE928" s="6"/>
      <c r="AF928" s="6"/>
      <c r="AG928" s="6"/>
    </row>
    <row r="929" ht="14.25" customHeight="1">
      <c r="A929" s="6"/>
      <c r="B929" s="6"/>
      <c r="C929" s="6">
        <v>922.0</v>
      </c>
      <c r="D929" s="6"/>
      <c r="E929" s="6">
        <v>5749341.361711327</v>
      </c>
      <c r="F929" s="6">
        <v>459.60656567604605</v>
      </c>
      <c r="G929" s="6">
        <v>4.4266819241913575</v>
      </c>
      <c r="H929" s="6">
        <v>5657156.373295408</v>
      </c>
      <c r="I929" s="6">
        <v>455.6743207988435</v>
      </c>
      <c r="J929" s="6">
        <v>3.128818877472487</v>
      </c>
      <c r="K929" s="6"/>
      <c r="L929" s="6"/>
      <c r="M929" s="6"/>
      <c r="N929" s="6">
        <f t="shared" ref="N929:P929" si="932">IF(LEN($C929)&gt;0,H929-E929,"")</f>
        <v>-92184.98842</v>
      </c>
      <c r="O929" s="6">
        <f t="shared" si="932"/>
        <v>-3.932244877</v>
      </c>
      <c r="P929" s="6">
        <f t="shared" si="932"/>
        <v>-1.297863047</v>
      </c>
      <c r="Q929" s="6"/>
      <c r="R929" s="6"/>
      <c r="S929" s="6"/>
      <c r="T929" s="6"/>
      <c r="U929" s="6"/>
      <c r="V929" s="6"/>
      <c r="W929" s="6"/>
      <c r="X929" s="6"/>
      <c r="Y929" s="6"/>
      <c r="Z929" s="6"/>
      <c r="AA929" s="6"/>
      <c r="AB929" s="6"/>
      <c r="AC929" s="6"/>
      <c r="AD929" s="6"/>
      <c r="AE929" s="6"/>
      <c r="AF929" s="6"/>
      <c r="AG929" s="6"/>
    </row>
    <row r="930" ht="14.25" customHeight="1">
      <c r="A930" s="6"/>
      <c r="B930" s="6"/>
      <c r="C930" s="6">
        <v>923.0</v>
      </c>
      <c r="D930" s="6"/>
      <c r="E930" s="6">
        <v>6789706.412344284</v>
      </c>
      <c r="F930" s="6">
        <v>475.48897735927665</v>
      </c>
      <c r="G930" s="6">
        <v>4.307749759683181</v>
      </c>
      <c r="H930" s="6">
        <v>6720688.930002288</v>
      </c>
      <c r="I930" s="6">
        <v>473.053646973592</v>
      </c>
      <c r="J930" s="6">
        <v>3.427785303319868</v>
      </c>
      <c r="K930" s="6"/>
      <c r="L930" s="6"/>
      <c r="M930" s="6"/>
      <c r="N930" s="6">
        <f t="shared" ref="N930:P930" si="933">IF(LEN($C930)&gt;0,H930-E930,"")</f>
        <v>-69017.48234</v>
      </c>
      <c r="O930" s="6">
        <f t="shared" si="933"/>
        <v>-2.435330386</v>
      </c>
      <c r="P930" s="6">
        <f t="shared" si="933"/>
        <v>-0.8799644564</v>
      </c>
      <c r="Q930" s="6"/>
      <c r="R930" s="6"/>
      <c r="S930" s="6"/>
      <c r="T930" s="6"/>
      <c r="U930" s="6"/>
      <c r="V930" s="6"/>
      <c r="W930" s="6"/>
      <c r="X930" s="6"/>
      <c r="Y930" s="6"/>
      <c r="Z930" s="6"/>
      <c r="AA930" s="6"/>
      <c r="AB930" s="6"/>
      <c r="AC930" s="6"/>
      <c r="AD930" s="6"/>
      <c r="AE930" s="6"/>
      <c r="AF930" s="6"/>
      <c r="AG930" s="6"/>
    </row>
    <row r="931" ht="14.25" customHeight="1">
      <c r="A931" s="6"/>
      <c r="B931" s="6"/>
      <c r="C931" s="6">
        <v>924.0</v>
      </c>
      <c r="D931" s="6"/>
      <c r="E931" s="6">
        <v>8023969.862570532</v>
      </c>
      <c r="F931" s="6">
        <v>442.0271491211404</v>
      </c>
      <c r="G931" s="6">
        <v>3.016100906457973</v>
      </c>
      <c r="H931" s="6">
        <v>7970485.015758165</v>
      </c>
      <c r="I931" s="6">
        <v>439.9132279617395</v>
      </c>
      <c r="J931" s="6">
        <v>2.1817078767880034</v>
      </c>
      <c r="K931" s="6"/>
      <c r="L931" s="6"/>
      <c r="M931" s="6"/>
      <c r="N931" s="6">
        <f t="shared" ref="N931:P931" si="934">IF(LEN($C931)&gt;0,H931-E931,"")</f>
        <v>-53484.84681</v>
      </c>
      <c r="O931" s="6">
        <f t="shared" si="934"/>
        <v>-2.113921159</v>
      </c>
      <c r="P931" s="6">
        <f t="shared" si="934"/>
        <v>-0.8343930297</v>
      </c>
      <c r="Q931" s="6"/>
      <c r="R931" s="6"/>
      <c r="S931" s="6"/>
      <c r="T931" s="6"/>
      <c r="U931" s="6"/>
      <c r="V931" s="6"/>
      <c r="W931" s="6"/>
      <c r="X931" s="6"/>
      <c r="Y931" s="6"/>
      <c r="Z931" s="6"/>
      <c r="AA931" s="6"/>
      <c r="AB931" s="6"/>
      <c r="AC931" s="6"/>
      <c r="AD931" s="6"/>
      <c r="AE931" s="6"/>
      <c r="AF931" s="6"/>
      <c r="AG931" s="6"/>
    </row>
    <row r="932" ht="14.25" customHeight="1">
      <c r="A932" s="6"/>
      <c r="B932" s="6"/>
      <c r="C932" s="6">
        <v>925.0</v>
      </c>
      <c r="D932" s="6"/>
      <c r="E932" s="6">
        <v>6939445.209677304</v>
      </c>
      <c r="F932" s="6">
        <v>461.5876328121134</v>
      </c>
      <c r="G932" s="6">
        <v>5.9236351137890315</v>
      </c>
      <c r="H932" s="6">
        <v>6823537.260197305</v>
      </c>
      <c r="I932" s="6">
        <v>456.07456428346654</v>
      </c>
      <c r="J932" s="6">
        <v>4.63395813960819</v>
      </c>
      <c r="K932" s="6"/>
      <c r="L932" s="6"/>
      <c r="M932" s="6"/>
      <c r="N932" s="6">
        <f t="shared" ref="N932:P932" si="935">IF(LEN($C932)&gt;0,H932-E932,"")</f>
        <v>-115907.9495</v>
      </c>
      <c r="O932" s="6">
        <f t="shared" si="935"/>
        <v>-5.513068529</v>
      </c>
      <c r="P932" s="6">
        <f t="shared" si="935"/>
        <v>-1.289676974</v>
      </c>
      <c r="Q932" s="6"/>
      <c r="R932" s="6"/>
      <c r="S932" s="6"/>
      <c r="T932" s="6"/>
      <c r="U932" s="6"/>
      <c r="V932" s="6"/>
      <c r="W932" s="6"/>
      <c r="X932" s="6"/>
      <c r="Y932" s="6"/>
      <c r="Z932" s="6"/>
      <c r="AA932" s="6"/>
      <c r="AB932" s="6"/>
      <c r="AC932" s="6"/>
      <c r="AD932" s="6"/>
      <c r="AE932" s="6"/>
      <c r="AF932" s="6"/>
      <c r="AG932" s="6"/>
    </row>
    <row r="933" ht="14.25" customHeight="1">
      <c r="A933" s="6"/>
      <c r="B933" s="6"/>
      <c r="C933" s="6">
        <v>926.0</v>
      </c>
      <c r="D933" s="6"/>
      <c r="E933" s="6">
        <v>7721041.148946514</v>
      </c>
      <c r="F933" s="6">
        <v>512.8583715676565</v>
      </c>
      <c r="G933" s="6">
        <v>4.9011950683937116</v>
      </c>
      <c r="H933" s="6">
        <v>7570845.555323566</v>
      </c>
      <c r="I933" s="6">
        <v>507.25726590572043</v>
      </c>
      <c r="J933" s="6">
        <v>3.78213715824286</v>
      </c>
      <c r="K933" s="6"/>
      <c r="L933" s="6"/>
      <c r="M933" s="6"/>
      <c r="N933" s="6">
        <f t="shared" ref="N933:P933" si="936">IF(LEN($C933)&gt;0,H933-E933,"")</f>
        <v>-150195.5936</v>
      </c>
      <c r="O933" s="6">
        <f t="shared" si="936"/>
        <v>-5.601105662</v>
      </c>
      <c r="P933" s="6">
        <f t="shared" si="936"/>
        <v>-1.11905791</v>
      </c>
      <c r="Q933" s="6"/>
      <c r="R933" s="6"/>
      <c r="S933" s="6"/>
      <c r="T933" s="6"/>
      <c r="U933" s="6"/>
      <c r="V933" s="6"/>
      <c r="W933" s="6"/>
      <c r="X933" s="6"/>
      <c r="Y933" s="6"/>
      <c r="Z933" s="6"/>
      <c r="AA933" s="6"/>
      <c r="AB933" s="6"/>
      <c r="AC933" s="6"/>
      <c r="AD933" s="6"/>
      <c r="AE933" s="6"/>
      <c r="AF933" s="6"/>
      <c r="AG933" s="6"/>
    </row>
    <row r="934" ht="14.25" customHeight="1">
      <c r="A934" s="6"/>
      <c r="B934" s="6"/>
      <c r="C934" s="6">
        <v>927.0</v>
      </c>
      <c r="D934" s="6"/>
      <c r="E934" s="6">
        <v>8665860.546269538</v>
      </c>
      <c r="F934" s="6">
        <v>434.0646497603103</v>
      </c>
      <c r="G934" s="6">
        <v>4.965733822803714</v>
      </c>
      <c r="H934" s="6">
        <v>8576836.370154941</v>
      </c>
      <c r="I934" s="6">
        <v>430.9243995876991</v>
      </c>
      <c r="J934" s="6">
        <v>3.683986325085177</v>
      </c>
      <c r="K934" s="6"/>
      <c r="L934" s="6"/>
      <c r="M934" s="6"/>
      <c r="N934" s="6">
        <f t="shared" ref="N934:P934" si="937">IF(LEN($C934)&gt;0,H934-E934,"")</f>
        <v>-89024.17611</v>
      </c>
      <c r="O934" s="6">
        <f t="shared" si="937"/>
        <v>-3.140250173</v>
      </c>
      <c r="P934" s="6">
        <f t="shared" si="937"/>
        <v>-1.281747498</v>
      </c>
      <c r="Q934" s="6"/>
      <c r="R934" s="6"/>
      <c r="S934" s="6"/>
      <c r="T934" s="6"/>
      <c r="U934" s="6"/>
      <c r="V934" s="6"/>
      <c r="W934" s="6"/>
      <c r="X934" s="6"/>
      <c r="Y934" s="6"/>
      <c r="Z934" s="6"/>
      <c r="AA934" s="6"/>
      <c r="AB934" s="6"/>
      <c r="AC934" s="6"/>
      <c r="AD934" s="6"/>
      <c r="AE934" s="6"/>
      <c r="AF934" s="6"/>
      <c r="AG934" s="6"/>
    </row>
    <row r="935" ht="14.25" customHeight="1">
      <c r="A935" s="6"/>
      <c r="B935" s="6"/>
      <c r="C935" s="6">
        <v>928.0</v>
      </c>
      <c r="D935" s="6"/>
      <c r="E935" s="6">
        <v>8623507.626735998</v>
      </c>
      <c r="F935" s="6">
        <v>475.578517886633</v>
      </c>
      <c r="G935" s="6">
        <v>4.186354962482837</v>
      </c>
      <c r="H935" s="6">
        <v>8477769.180651452</v>
      </c>
      <c r="I935" s="6">
        <v>469.1629654712792</v>
      </c>
      <c r="J935" s="6">
        <v>3.039178399309976</v>
      </c>
      <c r="K935" s="6"/>
      <c r="L935" s="6"/>
      <c r="M935" s="6"/>
      <c r="N935" s="6">
        <f t="shared" ref="N935:P935" si="938">IF(LEN($C935)&gt;0,H935-E935,"")</f>
        <v>-145738.4461</v>
      </c>
      <c r="O935" s="6">
        <f t="shared" si="938"/>
        <v>-6.415552415</v>
      </c>
      <c r="P935" s="6">
        <f t="shared" si="938"/>
        <v>-1.147176563</v>
      </c>
      <c r="Q935" s="6"/>
      <c r="R935" s="6"/>
      <c r="S935" s="6"/>
      <c r="T935" s="6"/>
      <c r="U935" s="6"/>
      <c r="V935" s="6"/>
      <c r="W935" s="6"/>
      <c r="X935" s="6"/>
      <c r="Y935" s="6"/>
      <c r="Z935" s="6"/>
      <c r="AA935" s="6"/>
      <c r="AB935" s="6"/>
      <c r="AC935" s="6"/>
      <c r="AD935" s="6"/>
      <c r="AE935" s="6"/>
      <c r="AF935" s="6"/>
      <c r="AG935" s="6"/>
    </row>
    <row r="936" ht="14.25" customHeight="1">
      <c r="A936" s="6"/>
      <c r="B936" s="6"/>
      <c r="C936" s="6">
        <v>929.0</v>
      </c>
      <c r="D936" s="6"/>
      <c r="E936" s="6">
        <v>6437267.915718864</v>
      </c>
      <c r="F936" s="6">
        <v>479.62463150827296</v>
      </c>
      <c r="G936" s="6">
        <v>7.121154665300106</v>
      </c>
      <c r="H936" s="6">
        <v>6258132.981575286</v>
      </c>
      <c r="I936" s="6">
        <v>473.6126075140131</v>
      </c>
      <c r="J936" s="6">
        <v>4.8976537070601776</v>
      </c>
      <c r="K936" s="6"/>
      <c r="L936" s="6"/>
      <c r="M936" s="6"/>
      <c r="N936" s="6">
        <f t="shared" ref="N936:P936" si="939">IF(LEN($C936)&gt;0,H936-E936,"")</f>
        <v>-179134.9341</v>
      </c>
      <c r="O936" s="6">
        <f t="shared" si="939"/>
        <v>-6.012023994</v>
      </c>
      <c r="P936" s="6">
        <f t="shared" si="939"/>
        <v>-2.223500958</v>
      </c>
      <c r="Q936" s="6"/>
      <c r="R936" s="6"/>
      <c r="S936" s="6"/>
      <c r="T936" s="6"/>
      <c r="U936" s="6"/>
      <c r="V936" s="6"/>
      <c r="W936" s="6"/>
      <c r="X936" s="6"/>
      <c r="Y936" s="6"/>
      <c r="Z936" s="6"/>
      <c r="AA936" s="6"/>
      <c r="AB936" s="6"/>
      <c r="AC936" s="6"/>
      <c r="AD936" s="6"/>
      <c r="AE936" s="6"/>
      <c r="AF936" s="6"/>
      <c r="AG936" s="6"/>
    </row>
    <row r="937" ht="14.25" customHeight="1">
      <c r="A937" s="6"/>
      <c r="B937" s="6"/>
      <c r="C937" s="6">
        <v>930.0</v>
      </c>
      <c r="D937" s="6"/>
      <c r="E937" s="6">
        <v>7188865.11852727</v>
      </c>
      <c r="F937" s="6">
        <v>482.9840679754837</v>
      </c>
      <c r="G937" s="6">
        <v>5.027905289528157</v>
      </c>
      <c r="H937" s="6">
        <v>7065446.964181034</v>
      </c>
      <c r="I937" s="6">
        <v>479.1778725453952</v>
      </c>
      <c r="J937" s="6">
        <v>3.58643358682645</v>
      </c>
      <c r="K937" s="6"/>
      <c r="L937" s="6"/>
      <c r="M937" s="6"/>
      <c r="N937" s="6">
        <f t="shared" ref="N937:P937" si="940">IF(LEN($C937)&gt;0,H937-E937,"")</f>
        <v>-123418.1543</v>
      </c>
      <c r="O937" s="6">
        <f t="shared" si="940"/>
        <v>-3.80619543</v>
      </c>
      <c r="P937" s="6">
        <f t="shared" si="940"/>
        <v>-1.441471703</v>
      </c>
      <c r="Q937" s="6"/>
      <c r="R937" s="6"/>
      <c r="S937" s="6"/>
      <c r="T937" s="6"/>
      <c r="U937" s="6"/>
      <c r="V937" s="6"/>
      <c r="W937" s="6"/>
      <c r="X937" s="6"/>
      <c r="Y937" s="6"/>
      <c r="Z937" s="6"/>
      <c r="AA937" s="6"/>
      <c r="AB937" s="6"/>
      <c r="AC937" s="6"/>
      <c r="AD937" s="6"/>
      <c r="AE937" s="6"/>
      <c r="AF937" s="6"/>
      <c r="AG937" s="6"/>
    </row>
    <row r="938" ht="14.25" customHeight="1">
      <c r="A938" s="6"/>
      <c r="B938" s="6"/>
      <c r="C938" s="6">
        <v>931.0</v>
      </c>
      <c r="D938" s="6"/>
      <c r="E938" s="6">
        <v>6767418.653159829</v>
      </c>
      <c r="F938" s="6">
        <v>517.6748368326223</v>
      </c>
      <c r="G938" s="6">
        <v>5.5169061748569534</v>
      </c>
      <c r="H938" s="6">
        <v>6594721.117169675</v>
      </c>
      <c r="I938" s="6">
        <v>508.01255067476416</v>
      </c>
      <c r="J938" s="6">
        <v>3.6987428427359257</v>
      </c>
      <c r="K938" s="6"/>
      <c r="L938" s="6"/>
      <c r="M938" s="6"/>
      <c r="N938" s="6">
        <f t="shared" ref="N938:P938" si="941">IF(LEN($C938)&gt;0,H938-E938,"")</f>
        <v>-172697.536</v>
      </c>
      <c r="O938" s="6">
        <f t="shared" si="941"/>
        <v>-9.662286158</v>
      </c>
      <c r="P938" s="6">
        <f t="shared" si="941"/>
        <v>-1.818163332</v>
      </c>
      <c r="Q938" s="6"/>
      <c r="R938" s="6"/>
      <c r="S938" s="6"/>
      <c r="T938" s="6"/>
      <c r="U938" s="6"/>
      <c r="V938" s="6"/>
      <c r="W938" s="6"/>
      <c r="X938" s="6"/>
      <c r="Y938" s="6"/>
      <c r="Z938" s="6"/>
      <c r="AA938" s="6"/>
      <c r="AB938" s="6"/>
      <c r="AC938" s="6"/>
      <c r="AD938" s="6"/>
      <c r="AE938" s="6"/>
      <c r="AF938" s="6"/>
      <c r="AG938" s="6"/>
    </row>
    <row r="939" ht="14.25" customHeight="1">
      <c r="A939" s="6"/>
      <c r="B939" s="6"/>
      <c r="C939" s="6">
        <v>932.0</v>
      </c>
      <c r="D939" s="6"/>
      <c r="E939" s="6">
        <v>9469691.068419367</v>
      </c>
      <c r="F939" s="6">
        <v>493.4860646192682</v>
      </c>
      <c r="G939" s="6">
        <v>5.533640706081442</v>
      </c>
      <c r="H939" s="6">
        <v>9325438.318854954</v>
      </c>
      <c r="I939" s="6">
        <v>487.88919176949366</v>
      </c>
      <c r="J939" s="6">
        <v>3.8532157465757133</v>
      </c>
      <c r="K939" s="6"/>
      <c r="L939" s="6"/>
      <c r="M939" s="6"/>
      <c r="N939" s="6">
        <f t="shared" ref="N939:P939" si="942">IF(LEN($C939)&gt;0,H939-E939,"")</f>
        <v>-144252.7496</v>
      </c>
      <c r="O939" s="6">
        <f t="shared" si="942"/>
        <v>-5.59687285</v>
      </c>
      <c r="P939" s="6">
        <f t="shared" si="942"/>
        <v>-1.68042496</v>
      </c>
      <c r="Q939" s="6"/>
      <c r="R939" s="6"/>
      <c r="S939" s="6"/>
      <c r="T939" s="6"/>
      <c r="U939" s="6"/>
      <c r="V939" s="6"/>
      <c r="W939" s="6"/>
      <c r="X939" s="6"/>
      <c r="Y939" s="6"/>
      <c r="Z939" s="6"/>
      <c r="AA939" s="6"/>
      <c r="AB939" s="6"/>
      <c r="AC939" s="6"/>
      <c r="AD939" s="6"/>
      <c r="AE939" s="6"/>
      <c r="AF939" s="6"/>
      <c r="AG939" s="6"/>
    </row>
    <row r="940" ht="14.25" customHeight="1">
      <c r="A940" s="6"/>
      <c r="B940" s="6"/>
      <c r="C940" s="6">
        <v>933.0</v>
      </c>
      <c r="D940" s="6"/>
      <c r="E940" s="6">
        <v>7371077.590496781</v>
      </c>
      <c r="F940" s="6">
        <v>444.8379474460647</v>
      </c>
      <c r="G940" s="6">
        <v>5.49327545881538</v>
      </c>
      <c r="H940" s="6">
        <v>7259613.432589867</v>
      </c>
      <c r="I940" s="6">
        <v>441.1423149023497</v>
      </c>
      <c r="J940" s="6">
        <v>3.9931818917835478</v>
      </c>
      <c r="K940" s="6"/>
      <c r="L940" s="6"/>
      <c r="M940" s="6"/>
      <c r="N940" s="6">
        <f t="shared" ref="N940:P940" si="943">IF(LEN($C940)&gt;0,H940-E940,"")</f>
        <v>-111464.1579</v>
      </c>
      <c r="O940" s="6">
        <f t="shared" si="943"/>
        <v>-3.695632544</v>
      </c>
      <c r="P940" s="6">
        <f t="shared" si="943"/>
        <v>-1.500093567</v>
      </c>
      <c r="Q940" s="6"/>
      <c r="R940" s="6"/>
      <c r="S940" s="6"/>
      <c r="T940" s="6"/>
      <c r="U940" s="6"/>
      <c r="V940" s="6"/>
      <c r="W940" s="6"/>
      <c r="X940" s="6"/>
      <c r="Y940" s="6"/>
      <c r="Z940" s="6"/>
      <c r="AA940" s="6"/>
      <c r="AB940" s="6"/>
      <c r="AC940" s="6"/>
      <c r="AD940" s="6"/>
      <c r="AE940" s="6"/>
      <c r="AF940" s="6"/>
      <c r="AG940" s="6"/>
    </row>
    <row r="941" ht="14.25" customHeight="1">
      <c r="A941" s="6"/>
      <c r="B941" s="6"/>
      <c r="C941" s="6">
        <v>934.0</v>
      </c>
      <c r="D941" s="6"/>
      <c r="E941" s="6">
        <v>7786145.007544491</v>
      </c>
      <c r="F941" s="6">
        <v>484.07599990542514</v>
      </c>
      <c r="G941" s="6">
        <v>3.8946944904338388</v>
      </c>
      <c r="H941" s="6">
        <v>7712973.877839374</v>
      </c>
      <c r="I941" s="6">
        <v>481.09666572338074</v>
      </c>
      <c r="J941" s="6">
        <v>2.839758086763683</v>
      </c>
      <c r="K941" s="6"/>
      <c r="L941" s="6"/>
      <c r="M941" s="6"/>
      <c r="N941" s="6">
        <f t="shared" ref="N941:P941" si="944">IF(LEN($C941)&gt;0,H941-E941,"")</f>
        <v>-73171.12971</v>
      </c>
      <c r="O941" s="6">
        <f t="shared" si="944"/>
        <v>-2.979334182</v>
      </c>
      <c r="P941" s="6">
        <f t="shared" si="944"/>
        <v>-1.054936404</v>
      </c>
      <c r="Q941" s="6"/>
      <c r="R941" s="6"/>
      <c r="S941" s="6"/>
      <c r="T941" s="6"/>
      <c r="U941" s="6"/>
      <c r="V941" s="6"/>
      <c r="W941" s="6"/>
      <c r="X941" s="6"/>
      <c r="Y941" s="6"/>
      <c r="Z941" s="6"/>
      <c r="AA941" s="6"/>
      <c r="AB941" s="6"/>
      <c r="AC941" s="6"/>
      <c r="AD941" s="6"/>
      <c r="AE941" s="6"/>
      <c r="AF941" s="6"/>
      <c r="AG941" s="6"/>
    </row>
    <row r="942" ht="14.25" customHeight="1">
      <c r="A942" s="6"/>
      <c r="B942" s="6"/>
      <c r="C942" s="6">
        <v>935.0</v>
      </c>
      <c r="D942" s="6"/>
      <c r="E942" s="6">
        <v>8611397.277629064</v>
      </c>
      <c r="F942" s="6">
        <v>459.86914087519216</v>
      </c>
      <c r="G942" s="6">
        <v>6.233944983569488</v>
      </c>
      <c r="H942" s="6">
        <v>8361363.257008857</v>
      </c>
      <c r="I942" s="6">
        <v>451.68960788206624</v>
      </c>
      <c r="J942" s="6">
        <v>4.542628207565814</v>
      </c>
      <c r="K942" s="6"/>
      <c r="L942" s="6"/>
      <c r="M942" s="6"/>
      <c r="N942" s="6">
        <f t="shared" ref="N942:P942" si="945">IF(LEN($C942)&gt;0,H942-E942,"")</f>
        <v>-250034.0206</v>
      </c>
      <c r="O942" s="6">
        <f t="shared" si="945"/>
        <v>-8.179532993</v>
      </c>
      <c r="P942" s="6">
        <f t="shared" si="945"/>
        <v>-1.691316776</v>
      </c>
      <c r="Q942" s="6"/>
      <c r="R942" s="6"/>
      <c r="S942" s="6"/>
      <c r="T942" s="6"/>
      <c r="U942" s="6"/>
      <c r="V942" s="6"/>
      <c r="W942" s="6"/>
      <c r="X942" s="6"/>
      <c r="Y942" s="6"/>
      <c r="Z942" s="6"/>
      <c r="AA942" s="6"/>
      <c r="AB942" s="6"/>
      <c r="AC942" s="6"/>
      <c r="AD942" s="6"/>
      <c r="AE942" s="6"/>
      <c r="AF942" s="6"/>
      <c r="AG942" s="6"/>
    </row>
    <row r="943" ht="14.25" customHeight="1">
      <c r="A943" s="6"/>
      <c r="B943" s="6"/>
      <c r="C943" s="6">
        <v>936.0</v>
      </c>
      <c r="D943" s="6"/>
      <c r="E943" s="6">
        <v>6998675.252368573</v>
      </c>
      <c r="F943" s="6">
        <v>491.9129889668233</v>
      </c>
      <c r="G943" s="6">
        <v>5.812113745968897</v>
      </c>
      <c r="H943" s="6">
        <v>6809497.503651712</v>
      </c>
      <c r="I943" s="6">
        <v>485.08201362404253</v>
      </c>
      <c r="J943" s="6">
        <v>4.04984741578946</v>
      </c>
      <c r="K943" s="6"/>
      <c r="L943" s="6"/>
      <c r="M943" s="6"/>
      <c r="N943" s="6">
        <f t="shared" ref="N943:P943" si="946">IF(LEN($C943)&gt;0,H943-E943,"")</f>
        <v>-189177.7487</v>
      </c>
      <c r="O943" s="6">
        <f t="shared" si="946"/>
        <v>-6.830975343</v>
      </c>
      <c r="P943" s="6">
        <f t="shared" si="946"/>
        <v>-1.76226633</v>
      </c>
      <c r="Q943" s="6"/>
      <c r="R943" s="6"/>
      <c r="S943" s="6"/>
      <c r="T943" s="6"/>
      <c r="U943" s="6"/>
      <c r="V943" s="6"/>
      <c r="W943" s="6"/>
      <c r="X943" s="6"/>
      <c r="Y943" s="6"/>
      <c r="Z943" s="6"/>
      <c r="AA943" s="6"/>
      <c r="AB943" s="6"/>
      <c r="AC943" s="6"/>
      <c r="AD943" s="6"/>
      <c r="AE943" s="6"/>
      <c r="AF943" s="6"/>
      <c r="AG943" s="6"/>
    </row>
    <row r="944" ht="14.25" customHeight="1">
      <c r="A944" s="6"/>
      <c r="B944" s="6"/>
      <c r="C944" s="6">
        <v>937.0</v>
      </c>
      <c r="D944" s="6"/>
      <c r="E944" s="6">
        <v>7669090.787007162</v>
      </c>
      <c r="F944" s="6">
        <v>486.5963538021584</v>
      </c>
      <c r="G944" s="6">
        <v>5.3124688893681515</v>
      </c>
      <c r="H944" s="6">
        <v>7497337.437850892</v>
      </c>
      <c r="I944" s="6">
        <v>478.4756778970272</v>
      </c>
      <c r="J944" s="6">
        <v>3.7509856932850276</v>
      </c>
      <c r="K944" s="6"/>
      <c r="L944" s="6"/>
      <c r="M944" s="6"/>
      <c r="N944" s="6">
        <f t="shared" ref="N944:P944" si="947">IF(LEN($C944)&gt;0,H944-E944,"")</f>
        <v>-171753.3492</v>
      </c>
      <c r="O944" s="6">
        <f t="shared" si="947"/>
        <v>-8.120675905</v>
      </c>
      <c r="P944" s="6">
        <f t="shared" si="947"/>
        <v>-1.561483196</v>
      </c>
      <c r="Q944" s="6"/>
      <c r="R944" s="6"/>
      <c r="S944" s="6"/>
      <c r="T944" s="6"/>
      <c r="U944" s="6"/>
      <c r="V944" s="6"/>
      <c r="W944" s="6"/>
      <c r="X944" s="6"/>
      <c r="Y944" s="6"/>
      <c r="Z944" s="6"/>
      <c r="AA944" s="6"/>
      <c r="AB944" s="6"/>
      <c r="AC944" s="6"/>
      <c r="AD944" s="6"/>
      <c r="AE944" s="6"/>
      <c r="AF944" s="6"/>
      <c r="AG944" s="6"/>
    </row>
    <row r="945" ht="14.25" customHeight="1">
      <c r="A945" s="6"/>
      <c r="B945" s="6"/>
      <c r="C945" s="6">
        <v>938.0</v>
      </c>
      <c r="D945" s="6"/>
      <c r="E945" s="6">
        <v>8133367.391935655</v>
      </c>
      <c r="F945" s="6">
        <v>445.10539736004915</v>
      </c>
      <c r="G945" s="6">
        <v>5.509960832259774</v>
      </c>
      <c r="H945" s="6">
        <v>8032879.276399544</v>
      </c>
      <c r="I945" s="6">
        <v>441.96880779092817</v>
      </c>
      <c r="J945" s="6">
        <v>4.0501811029676364</v>
      </c>
      <c r="K945" s="6"/>
      <c r="L945" s="6"/>
      <c r="M945" s="6"/>
      <c r="N945" s="6">
        <f t="shared" ref="N945:P945" si="948">IF(LEN($C945)&gt;0,H945-E945,"")</f>
        <v>-100488.1155</v>
      </c>
      <c r="O945" s="6">
        <f t="shared" si="948"/>
        <v>-3.136589569</v>
      </c>
      <c r="P945" s="6">
        <f t="shared" si="948"/>
        <v>-1.459779729</v>
      </c>
      <c r="Q945" s="6"/>
      <c r="R945" s="6"/>
      <c r="S945" s="6"/>
      <c r="T945" s="6"/>
      <c r="U945" s="6"/>
      <c r="V945" s="6"/>
      <c r="W945" s="6"/>
      <c r="X945" s="6"/>
      <c r="Y945" s="6"/>
      <c r="Z945" s="6"/>
      <c r="AA945" s="6"/>
      <c r="AB945" s="6"/>
      <c r="AC945" s="6"/>
      <c r="AD945" s="6"/>
      <c r="AE945" s="6"/>
      <c r="AF945" s="6"/>
      <c r="AG945" s="6"/>
    </row>
    <row r="946" ht="14.25" customHeight="1">
      <c r="A946" s="6"/>
      <c r="B946" s="6"/>
      <c r="C946" s="6">
        <v>939.0</v>
      </c>
      <c r="D946" s="6"/>
      <c r="E946" s="6">
        <v>8014162.213201889</v>
      </c>
      <c r="F946" s="6">
        <v>465.5495589480424</v>
      </c>
      <c r="G946" s="6">
        <v>5.315613392393089</v>
      </c>
      <c r="H946" s="6">
        <v>7926250.3909017835</v>
      </c>
      <c r="I946" s="6">
        <v>463.2003967862731</v>
      </c>
      <c r="J946" s="6">
        <v>3.8602653513549545</v>
      </c>
      <c r="K946" s="6"/>
      <c r="L946" s="6"/>
      <c r="M946" s="6"/>
      <c r="N946" s="6">
        <f t="shared" ref="N946:P946" si="949">IF(LEN($C946)&gt;0,H946-E946,"")</f>
        <v>-87911.8223</v>
      </c>
      <c r="O946" s="6">
        <f t="shared" si="949"/>
        <v>-2.349162162</v>
      </c>
      <c r="P946" s="6">
        <f t="shared" si="949"/>
        <v>-1.455348041</v>
      </c>
      <c r="Q946" s="6"/>
      <c r="R946" s="6"/>
      <c r="S946" s="6"/>
      <c r="T946" s="6"/>
      <c r="U946" s="6"/>
      <c r="V946" s="6"/>
      <c r="W946" s="6"/>
      <c r="X946" s="6"/>
      <c r="Y946" s="6"/>
      <c r="Z946" s="6"/>
      <c r="AA946" s="6"/>
      <c r="AB946" s="6"/>
      <c r="AC946" s="6"/>
      <c r="AD946" s="6"/>
      <c r="AE946" s="6"/>
      <c r="AF946" s="6"/>
      <c r="AG946" s="6"/>
    </row>
    <row r="947" ht="14.25" customHeight="1">
      <c r="A947" s="6"/>
      <c r="B947" s="6"/>
      <c r="C947" s="6">
        <v>940.0</v>
      </c>
      <c r="D947" s="6"/>
      <c r="E947" s="6">
        <v>8608417.635171065</v>
      </c>
      <c r="F947" s="6">
        <v>480.0374242677798</v>
      </c>
      <c r="G947" s="6">
        <v>3.4045329454336737</v>
      </c>
      <c r="H947" s="6">
        <v>8581375.0240069</v>
      </c>
      <c r="I947" s="6">
        <v>478.4987996795939</v>
      </c>
      <c r="J947" s="6">
        <v>2.9576891694955294</v>
      </c>
      <c r="K947" s="6"/>
      <c r="L947" s="6"/>
      <c r="M947" s="6"/>
      <c r="N947" s="6">
        <f t="shared" ref="N947:P947" si="950">IF(LEN($C947)&gt;0,H947-E947,"")</f>
        <v>-27042.61116</v>
      </c>
      <c r="O947" s="6">
        <f t="shared" si="950"/>
        <v>-1.538624588</v>
      </c>
      <c r="P947" s="6">
        <f t="shared" si="950"/>
        <v>-0.4468437759</v>
      </c>
      <c r="Q947" s="6"/>
      <c r="R947" s="6"/>
      <c r="S947" s="6"/>
      <c r="T947" s="6"/>
      <c r="U947" s="6"/>
      <c r="V947" s="6"/>
      <c r="W947" s="6"/>
      <c r="X947" s="6"/>
      <c r="Y947" s="6"/>
      <c r="Z947" s="6"/>
      <c r="AA947" s="6"/>
      <c r="AB947" s="6"/>
      <c r="AC947" s="6"/>
      <c r="AD947" s="6"/>
      <c r="AE947" s="6"/>
      <c r="AF947" s="6"/>
      <c r="AG947" s="6"/>
    </row>
    <row r="948" ht="14.25" customHeight="1">
      <c r="A948" s="6"/>
      <c r="B948" s="6"/>
      <c r="C948" s="6">
        <v>941.0</v>
      </c>
      <c r="D948" s="6"/>
      <c r="E948" s="6">
        <v>6691985.344716237</v>
      </c>
      <c r="F948" s="6">
        <v>471.8431302425316</v>
      </c>
      <c r="G948" s="6">
        <v>5.421024629590553</v>
      </c>
      <c r="H948" s="6">
        <v>6650604.27719473</v>
      </c>
      <c r="I948" s="6">
        <v>470.1157781308618</v>
      </c>
      <c r="J948" s="6">
        <v>4.68254978207971</v>
      </c>
      <c r="K948" s="6"/>
      <c r="L948" s="6"/>
      <c r="M948" s="6"/>
      <c r="N948" s="6">
        <f t="shared" ref="N948:P948" si="951">IF(LEN($C948)&gt;0,H948-E948,"")</f>
        <v>-41381.06752</v>
      </c>
      <c r="O948" s="6">
        <f t="shared" si="951"/>
        <v>-1.727352112</v>
      </c>
      <c r="P948" s="6">
        <f t="shared" si="951"/>
        <v>-0.7384748475</v>
      </c>
      <c r="Q948" s="6"/>
      <c r="R948" s="6"/>
      <c r="S948" s="6"/>
      <c r="T948" s="6"/>
      <c r="U948" s="6"/>
      <c r="V948" s="6"/>
      <c r="W948" s="6"/>
      <c r="X948" s="6"/>
      <c r="Y948" s="6"/>
      <c r="Z948" s="6"/>
      <c r="AA948" s="6"/>
      <c r="AB948" s="6"/>
      <c r="AC948" s="6"/>
      <c r="AD948" s="6"/>
      <c r="AE948" s="6"/>
      <c r="AF948" s="6"/>
      <c r="AG948" s="6"/>
    </row>
    <row r="949" ht="14.25" customHeight="1">
      <c r="A949" s="6"/>
      <c r="B949" s="6"/>
      <c r="C949" s="6">
        <v>942.0</v>
      </c>
      <c r="D949" s="6"/>
      <c r="E949" s="6">
        <v>5962986.417972069</v>
      </c>
      <c r="F949" s="6">
        <v>440.85279914972375</v>
      </c>
      <c r="G949" s="6">
        <v>5.430198679872728</v>
      </c>
      <c r="H949" s="6">
        <v>5825744.088471658</v>
      </c>
      <c r="I949" s="6">
        <v>435.48588777301376</v>
      </c>
      <c r="J949" s="6">
        <v>3.6683585502760714</v>
      </c>
      <c r="K949" s="6"/>
      <c r="L949" s="6"/>
      <c r="M949" s="6"/>
      <c r="N949" s="6">
        <f t="shared" ref="N949:P949" si="952">IF(LEN($C949)&gt;0,H949-E949,"")</f>
        <v>-137242.3295</v>
      </c>
      <c r="O949" s="6">
        <f t="shared" si="952"/>
        <v>-5.366911377</v>
      </c>
      <c r="P949" s="6">
        <f t="shared" si="952"/>
        <v>-1.76184013</v>
      </c>
      <c r="Q949" s="6"/>
      <c r="R949" s="6"/>
      <c r="S949" s="6"/>
      <c r="T949" s="6"/>
      <c r="U949" s="6"/>
      <c r="V949" s="6"/>
      <c r="W949" s="6"/>
      <c r="X949" s="6"/>
      <c r="Y949" s="6"/>
      <c r="Z949" s="6"/>
      <c r="AA949" s="6"/>
      <c r="AB949" s="6"/>
      <c r="AC949" s="6"/>
      <c r="AD949" s="6"/>
      <c r="AE949" s="6"/>
      <c r="AF949" s="6"/>
      <c r="AG949" s="6"/>
    </row>
    <row r="950" ht="14.25" customHeight="1">
      <c r="A950" s="6"/>
      <c r="B950" s="6"/>
      <c r="C950" s="6">
        <v>943.0</v>
      </c>
      <c r="D950" s="6"/>
      <c r="E950" s="6">
        <v>8983242.485604485</v>
      </c>
      <c r="F950" s="6">
        <v>471.4603333981036</v>
      </c>
      <c r="G950" s="6">
        <v>5.420905311477026</v>
      </c>
      <c r="H950" s="6">
        <v>8878734.155723415</v>
      </c>
      <c r="I950" s="6">
        <v>467.97672218093635</v>
      </c>
      <c r="J950" s="6">
        <v>3.9283492499217862</v>
      </c>
      <c r="K950" s="6"/>
      <c r="L950" s="6"/>
      <c r="M950" s="6"/>
      <c r="N950" s="6">
        <f t="shared" ref="N950:P950" si="953">IF(LEN($C950)&gt;0,H950-E950,"")</f>
        <v>-104508.3299</v>
      </c>
      <c r="O950" s="6">
        <f t="shared" si="953"/>
        <v>-3.483611217</v>
      </c>
      <c r="P950" s="6">
        <f t="shared" si="953"/>
        <v>-1.492556062</v>
      </c>
      <c r="Q950" s="6"/>
      <c r="R950" s="6"/>
      <c r="S950" s="6"/>
      <c r="T950" s="6"/>
      <c r="U950" s="6"/>
      <c r="V950" s="6"/>
      <c r="W950" s="6"/>
      <c r="X950" s="6"/>
      <c r="Y950" s="6"/>
      <c r="Z950" s="6"/>
      <c r="AA950" s="6"/>
      <c r="AB950" s="6"/>
      <c r="AC950" s="6"/>
      <c r="AD950" s="6"/>
      <c r="AE950" s="6"/>
      <c r="AF950" s="6"/>
      <c r="AG950" s="6"/>
    </row>
    <row r="951" ht="14.25" customHeight="1">
      <c r="A951" s="6"/>
      <c r="B951" s="6"/>
      <c r="C951" s="6">
        <v>944.0</v>
      </c>
      <c r="D951" s="6"/>
      <c r="E951" s="6">
        <v>6108025.462939654</v>
      </c>
      <c r="F951" s="6">
        <v>438.31192822931035</v>
      </c>
      <c r="G951" s="6">
        <v>4.980115038098866</v>
      </c>
      <c r="H951" s="6">
        <v>5990203.225016077</v>
      </c>
      <c r="I951" s="6">
        <v>433.8906580004498</v>
      </c>
      <c r="J951" s="6">
        <v>3.551698292387077</v>
      </c>
      <c r="K951" s="6"/>
      <c r="L951" s="6"/>
      <c r="M951" s="6"/>
      <c r="N951" s="6">
        <f t="shared" ref="N951:P951" si="954">IF(LEN($C951)&gt;0,H951-E951,"")</f>
        <v>-117822.2379</v>
      </c>
      <c r="O951" s="6">
        <f t="shared" si="954"/>
        <v>-4.421270229</v>
      </c>
      <c r="P951" s="6">
        <f t="shared" si="954"/>
        <v>-1.428416746</v>
      </c>
      <c r="Q951" s="6"/>
      <c r="R951" s="6"/>
      <c r="S951" s="6"/>
      <c r="T951" s="6"/>
      <c r="U951" s="6"/>
      <c r="V951" s="6"/>
      <c r="W951" s="6"/>
      <c r="X951" s="6"/>
      <c r="Y951" s="6"/>
      <c r="Z951" s="6"/>
      <c r="AA951" s="6"/>
      <c r="AB951" s="6"/>
      <c r="AC951" s="6"/>
      <c r="AD951" s="6"/>
      <c r="AE951" s="6"/>
      <c r="AF951" s="6"/>
      <c r="AG951" s="6"/>
    </row>
    <row r="952" ht="14.25" customHeight="1">
      <c r="A952" s="6"/>
      <c r="B952" s="6"/>
      <c r="C952" s="6">
        <v>945.0</v>
      </c>
      <c r="D952" s="6"/>
      <c r="E952" s="6">
        <v>6864399.67934999</v>
      </c>
      <c r="F952" s="6">
        <v>501.1265267996818</v>
      </c>
      <c r="G952" s="6">
        <v>6.245991921029988</v>
      </c>
      <c r="H952" s="6">
        <v>6770048.936397312</v>
      </c>
      <c r="I952" s="6">
        <v>497.4123950675845</v>
      </c>
      <c r="J952" s="6">
        <v>5.116835671813809</v>
      </c>
      <c r="K952" s="6"/>
      <c r="L952" s="6"/>
      <c r="M952" s="6"/>
      <c r="N952" s="6">
        <f t="shared" ref="N952:P952" si="955">IF(LEN($C952)&gt;0,H952-E952,"")</f>
        <v>-94350.74295</v>
      </c>
      <c r="O952" s="6">
        <f t="shared" si="955"/>
        <v>-3.714131732</v>
      </c>
      <c r="P952" s="6">
        <f t="shared" si="955"/>
        <v>-1.129156249</v>
      </c>
      <c r="Q952" s="6"/>
      <c r="R952" s="6"/>
      <c r="S952" s="6"/>
      <c r="T952" s="6"/>
      <c r="U952" s="6"/>
      <c r="V952" s="6"/>
      <c r="W952" s="6"/>
      <c r="X952" s="6"/>
      <c r="Y952" s="6"/>
      <c r="Z952" s="6"/>
      <c r="AA952" s="6"/>
      <c r="AB952" s="6"/>
      <c r="AC952" s="6"/>
      <c r="AD952" s="6"/>
      <c r="AE952" s="6"/>
      <c r="AF952" s="6"/>
      <c r="AG952" s="6"/>
    </row>
    <row r="953" ht="14.25" customHeight="1">
      <c r="A953" s="6"/>
      <c r="B953" s="6"/>
      <c r="C953" s="6">
        <v>946.0</v>
      </c>
      <c r="D953" s="6"/>
      <c r="E953" s="6">
        <v>5551835.6855608625</v>
      </c>
      <c r="F953" s="6">
        <v>445.08364013180807</v>
      </c>
      <c r="G953" s="6">
        <v>4.291162326051199</v>
      </c>
      <c r="H953" s="6">
        <v>5466736.00049562</v>
      </c>
      <c r="I953" s="6">
        <v>441.2803175971141</v>
      </c>
      <c r="J953" s="6">
        <v>3.1294870201285065</v>
      </c>
      <c r="K953" s="6"/>
      <c r="L953" s="6"/>
      <c r="M953" s="6"/>
      <c r="N953" s="6">
        <f t="shared" ref="N953:P953" si="956">IF(LEN($C953)&gt;0,H953-E953,"")</f>
        <v>-85099.68507</v>
      </c>
      <c r="O953" s="6">
        <f t="shared" si="956"/>
        <v>-3.803322535</v>
      </c>
      <c r="P953" s="6">
        <f t="shared" si="956"/>
        <v>-1.161675306</v>
      </c>
      <c r="Q953" s="6"/>
      <c r="R953" s="6"/>
      <c r="S953" s="6"/>
      <c r="T953" s="6"/>
      <c r="U953" s="6"/>
      <c r="V953" s="6"/>
      <c r="W953" s="6"/>
      <c r="X953" s="6"/>
      <c r="Y953" s="6"/>
      <c r="Z953" s="6"/>
      <c r="AA953" s="6"/>
      <c r="AB953" s="6"/>
      <c r="AC953" s="6"/>
      <c r="AD953" s="6"/>
      <c r="AE953" s="6"/>
      <c r="AF953" s="6"/>
      <c r="AG953" s="6"/>
    </row>
    <row r="954" ht="14.25" customHeight="1">
      <c r="A954" s="6"/>
      <c r="B954" s="6"/>
      <c r="C954" s="6">
        <v>947.0</v>
      </c>
      <c r="D954" s="6"/>
      <c r="E954" s="6">
        <v>7597121.22900482</v>
      </c>
      <c r="F954" s="6">
        <v>470.4925570245756</v>
      </c>
      <c r="G954" s="6">
        <v>5.698862958359198</v>
      </c>
      <c r="H954" s="6">
        <v>7486918.981707087</v>
      </c>
      <c r="I954" s="6">
        <v>466.29738268016564</v>
      </c>
      <c r="J954" s="6">
        <v>4.701609390553399</v>
      </c>
      <c r="K954" s="6"/>
      <c r="L954" s="6"/>
      <c r="M954" s="6"/>
      <c r="N954" s="6">
        <f t="shared" ref="N954:P954" si="957">IF(LEN($C954)&gt;0,H954-E954,"")</f>
        <v>-110202.2473</v>
      </c>
      <c r="O954" s="6">
        <f t="shared" si="957"/>
        <v>-4.195174344</v>
      </c>
      <c r="P954" s="6">
        <f t="shared" si="957"/>
        <v>-0.9972535678</v>
      </c>
      <c r="Q954" s="6"/>
      <c r="R954" s="6"/>
      <c r="S954" s="6"/>
      <c r="T954" s="6"/>
      <c r="U954" s="6"/>
      <c r="V954" s="6"/>
      <c r="W954" s="6"/>
      <c r="X954" s="6"/>
      <c r="Y954" s="6"/>
      <c r="Z954" s="6"/>
      <c r="AA954" s="6"/>
      <c r="AB954" s="6"/>
      <c r="AC954" s="6"/>
      <c r="AD954" s="6"/>
      <c r="AE954" s="6"/>
      <c r="AF954" s="6"/>
      <c r="AG954" s="6"/>
    </row>
    <row r="955" ht="14.25" customHeight="1">
      <c r="A955" s="6"/>
      <c r="B955" s="6"/>
      <c r="C955" s="6">
        <v>948.0</v>
      </c>
      <c r="D955" s="6"/>
      <c r="E955" s="6">
        <v>7422147.278315717</v>
      </c>
      <c r="F955" s="6">
        <v>472.9670003880903</v>
      </c>
      <c r="G955" s="6">
        <v>5.072732719110122</v>
      </c>
      <c r="H955" s="6">
        <v>7286544.857871377</v>
      </c>
      <c r="I955" s="6">
        <v>469.6286055014372</v>
      </c>
      <c r="J955" s="6">
        <v>3.6438178629492666</v>
      </c>
      <c r="K955" s="6"/>
      <c r="L955" s="6"/>
      <c r="M955" s="6"/>
      <c r="N955" s="6">
        <f t="shared" ref="N955:P955" si="958">IF(LEN($C955)&gt;0,H955-E955,"")</f>
        <v>-135602.4204</v>
      </c>
      <c r="O955" s="6">
        <f t="shared" si="958"/>
        <v>-3.338394887</v>
      </c>
      <c r="P955" s="6">
        <f t="shared" si="958"/>
        <v>-1.428914856</v>
      </c>
      <c r="Q955" s="6"/>
      <c r="R955" s="6"/>
      <c r="S955" s="6"/>
      <c r="T955" s="6"/>
      <c r="U955" s="6"/>
      <c r="V955" s="6"/>
      <c r="W955" s="6"/>
      <c r="X955" s="6"/>
      <c r="Y955" s="6"/>
      <c r="Z955" s="6"/>
      <c r="AA955" s="6"/>
      <c r="AB955" s="6"/>
      <c r="AC955" s="6"/>
      <c r="AD955" s="6"/>
      <c r="AE955" s="6"/>
      <c r="AF955" s="6"/>
      <c r="AG955" s="6"/>
    </row>
    <row r="956" ht="14.25" customHeight="1">
      <c r="A956" s="6"/>
      <c r="B956" s="6"/>
      <c r="C956" s="6">
        <v>949.0</v>
      </c>
      <c r="D956" s="6"/>
      <c r="E956" s="6">
        <v>7572322.745533752</v>
      </c>
      <c r="F956" s="6">
        <v>488.24042203743636</v>
      </c>
      <c r="G956" s="6">
        <v>4.945586987496226</v>
      </c>
      <c r="H956" s="6">
        <v>7498283.835813096</v>
      </c>
      <c r="I956" s="6">
        <v>485.58124791416475</v>
      </c>
      <c r="J956" s="6">
        <v>3.800903460620239</v>
      </c>
      <c r="K956" s="6"/>
      <c r="L956" s="6"/>
      <c r="M956" s="6"/>
      <c r="N956" s="6">
        <f t="shared" ref="N956:P956" si="959">IF(LEN($C956)&gt;0,H956-E956,"")</f>
        <v>-74038.90972</v>
      </c>
      <c r="O956" s="6">
        <f t="shared" si="959"/>
        <v>-2.659174123</v>
      </c>
      <c r="P956" s="6">
        <f t="shared" si="959"/>
        <v>-1.144683527</v>
      </c>
      <c r="Q956" s="6"/>
      <c r="R956" s="6"/>
      <c r="S956" s="6"/>
      <c r="T956" s="6"/>
      <c r="U956" s="6"/>
      <c r="V956" s="6"/>
      <c r="W956" s="6"/>
      <c r="X956" s="6"/>
      <c r="Y956" s="6"/>
      <c r="Z956" s="6"/>
      <c r="AA956" s="6"/>
      <c r="AB956" s="6"/>
      <c r="AC956" s="6"/>
      <c r="AD956" s="6"/>
      <c r="AE956" s="6"/>
      <c r="AF956" s="6"/>
      <c r="AG956" s="6"/>
    </row>
    <row r="957" ht="14.25" customHeight="1">
      <c r="A957" s="6"/>
      <c r="B957" s="6"/>
      <c r="C957" s="6">
        <v>950.0</v>
      </c>
      <c r="D957" s="6"/>
      <c r="E957" s="6">
        <v>6847854.861346123</v>
      </c>
      <c r="F957" s="6">
        <v>437.342575034071</v>
      </c>
      <c r="G957" s="6">
        <v>5.383751641315242</v>
      </c>
      <c r="H957" s="6">
        <v>6736500.675746999</v>
      </c>
      <c r="I957" s="6">
        <v>433.5552017321325</v>
      </c>
      <c r="J957" s="6">
        <v>4.022693737262275</v>
      </c>
      <c r="K957" s="6"/>
      <c r="L957" s="6"/>
      <c r="M957" s="6"/>
      <c r="N957" s="6">
        <f t="shared" ref="N957:P957" si="960">IF(LEN($C957)&gt;0,H957-E957,"")</f>
        <v>-111354.1856</v>
      </c>
      <c r="O957" s="6">
        <f t="shared" si="960"/>
        <v>-3.787373302</v>
      </c>
      <c r="P957" s="6">
        <f t="shared" si="960"/>
        <v>-1.361057904</v>
      </c>
      <c r="Q957" s="6"/>
      <c r="R957" s="6"/>
      <c r="S957" s="6"/>
      <c r="T957" s="6"/>
      <c r="U957" s="6"/>
      <c r="V957" s="6"/>
      <c r="W957" s="6"/>
      <c r="X957" s="6"/>
      <c r="Y957" s="6"/>
      <c r="Z957" s="6"/>
      <c r="AA957" s="6"/>
      <c r="AB957" s="6"/>
      <c r="AC957" s="6"/>
      <c r="AD957" s="6"/>
      <c r="AE957" s="6"/>
      <c r="AF957" s="6"/>
      <c r="AG957" s="6"/>
    </row>
    <row r="958" ht="14.25" customHeight="1">
      <c r="A958" s="6"/>
      <c r="B958" s="6"/>
      <c r="C958" s="6">
        <v>951.0</v>
      </c>
      <c r="D958" s="6"/>
      <c r="E958" s="6">
        <v>7756819.943315361</v>
      </c>
      <c r="F958" s="6">
        <v>437.66783249757015</v>
      </c>
      <c r="G958" s="6">
        <v>4.866675544926175</v>
      </c>
      <c r="H958" s="6">
        <v>7659070.788727192</v>
      </c>
      <c r="I958" s="6">
        <v>434.15315215535037</v>
      </c>
      <c r="J958" s="6">
        <v>3.762096181562207</v>
      </c>
      <c r="K958" s="6"/>
      <c r="L958" s="6"/>
      <c r="M958" s="6"/>
      <c r="N958" s="6">
        <f t="shared" ref="N958:P958" si="961">IF(LEN($C958)&gt;0,H958-E958,"")</f>
        <v>-97749.15459</v>
      </c>
      <c r="O958" s="6">
        <f t="shared" si="961"/>
        <v>-3.514680342</v>
      </c>
      <c r="P958" s="6">
        <f t="shared" si="961"/>
        <v>-1.104579363</v>
      </c>
      <c r="Q958" s="6"/>
      <c r="R958" s="6"/>
      <c r="S958" s="6"/>
      <c r="T958" s="6"/>
      <c r="U958" s="6"/>
      <c r="V958" s="6"/>
      <c r="W958" s="6"/>
      <c r="X958" s="6"/>
      <c r="Y958" s="6"/>
      <c r="Z958" s="6"/>
      <c r="AA958" s="6"/>
      <c r="AB958" s="6"/>
      <c r="AC958" s="6"/>
      <c r="AD958" s="6"/>
      <c r="AE958" s="6"/>
      <c r="AF958" s="6"/>
      <c r="AG958" s="6"/>
    </row>
    <row r="959" ht="14.25" customHeight="1">
      <c r="A959" s="6"/>
      <c r="B959" s="6"/>
      <c r="C959" s="6">
        <v>952.0</v>
      </c>
      <c r="D959" s="6"/>
      <c r="E959" s="6">
        <v>7498404.709964212</v>
      </c>
      <c r="F959" s="6">
        <v>441.76016889338206</v>
      </c>
      <c r="G959" s="6">
        <v>5.020631381733544</v>
      </c>
      <c r="H959" s="6">
        <v>7409051.9345399765</v>
      </c>
      <c r="I959" s="6">
        <v>438.2650769151018</v>
      </c>
      <c r="J959" s="6">
        <v>3.647929216421917</v>
      </c>
      <c r="K959" s="6"/>
      <c r="L959" s="6"/>
      <c r="M959" s="6"/>
      <c r="N959" s="6">
        <f t="shared" ref="N959:P959" si="962">IF(LEN($C959)&gt;0,H959-E959,"")</f>
        <v>-89352.77542</v>
      </c>
      <c r="O959" s="6">
        <f t="shared" si="962"/>
        <v>-3.495091978</v>
      </c>
      <c r="P959" s="6">
        <f t="shared" si="962"/>
        <v>-1.372702165</v>
      </c>
      <c r="Q959" s="6"/>
      <c r="R959" s="6"/>
      <c r="S959" s="6"/>
      <c r="T959" s="6"/>
      <c r="U959" s="6"/>
      <c r="V959" s="6"/>
      <c r="W959" s="6"/>
      <c r="X959" s="6"/>
      <c r="Y959" s="6"/>
      <c r="Z959" s="6"/>
      <c r="AA959" s="6"/>
      <c r="AB959" s="6"/>
      <c r="AC959" s="6"/>
      <c r="AD959" s="6"/>
      <c r="AE959" s="6"/>
      <c r="AF959" s="6"/>
      <c r="AG959" s="6"/>
    </row>
    <row r="960" ht="14.25" customHeight="1">
      <c r="A960" s="6"/>
      <c r="B960" s="6"/>
      <c r="C960" s="6">
        <v>953.0</v>
      </c>
      <c r="D960" s="6"/>
      <c r="E960" s="6">
        <v>6688498.519938125</v>
      </c>
      <c r="F960" s="6">
        <v>461.7877105284613</v>
      </c>
      <c r="G960" s="6">
        <v>5.269591412101682</v>
      </c>
      <c r="H960" s="6">
        <v>6526106.737942545</v>
      </c>
      <c r="I960" s="6">
        <v>456.8376076624972</v>
      </c>
      <c r="J960" s="6">
        <v>3.6684487168661493</v>
      </c>
      <c r="K960" s="6"/>
      <c r="L960" s="6"/>
      <c r="M960" s="6"/>
      <c r="N960" s="6">
        <f t="shared" ref="N960:P960" si="963">IF(LEN($C960)&gt;0,H960-E960,"")</f>
        <v>-162391.782</v>
      </c>
      <c r="O960" s="6">
        <f t="shared" si="963"/>
        <v>-4.950102866</v>
      </c>
      <c r="P960" s="6">
        <f t="shared" si="963"/>
        <v>-1.601142695</v>
      </c>
      <c r="Q960" s="6"/>
      <c r="R960" s="6"/>
      <c r="S960" s="6"/>
      <c r="T960" s="6"/>
      <c r="U960" s="6"/>
      <c r="V960" s="6"/>
      <c r="W960" s="6"/>
      <c r="X960" s="6"/>
      <c r="Y960" s="6"/>
      <c r="Z960" s="6"/>
      <c r="AA960" s="6"/>
      <c r="AB960" s="6"/>
      <c r="AC960" s="6"/>
      <c r="AD960" s="6"/>
      <c r="AE960" s="6"/>
      <c r="AF960" s="6"/>
      <c r="AG960" s="6"/>
    </row>
    <row r="961" ht="14.25" customHeight="1">
      <c r="A961" s="6"/>
      <c r="B961" s="6"/>
      <c r="C961" s="6">
        <v>954.0</v>
      </c>
      <c r="D961" s="6"/>
      <c r="E961" s="6">
        <v>8068784.654282204</v>
      </c>
      <c r="F961" s="6">
        <v>459.5111842443049</v>
      </c>
      <c r="G961" s="6">
        <v>5.640247593211624</v>
      </c>
      <c r="H961" s="6">
        <v>8023345.855404136</v>
      </c>
      <c r="I961" s="6">
        <v>457.4641560524982</v>
      </c>
      <c r="J961" s="6">
        <v>4.722802026491855</v>
      </c>
      <c r="K961" s="6"/>
      <c r="L961" s="6"/>
      <c r="M961" s="6"/>
      <c r="N961" s="6">
        <f t="shared" ref="N961:P961" si="964">IF(LEN($C961)&gt;0,H961-E961,"")</f>
        <v>-45438.79888</v>
      </c>
      <c r="O961" s="6">
        <f t="shared" si="964"/>
        <v>-2.047028192</v>
      </c>
      <c r="P961" s="6">
        <f t="shared" si="964"/>
        <v>-0.9174455667</v>
      </c>
      <c r="Q961" s="6"/>
      <c r="R961" s="6"/>
      <c r="S961" s="6"/>
      <c r="T961" s="6"/>
      <c r="U961" s="6"/>
      <c r="V961" s="6"/>
      <c r="W961" s="6"/>
      <c r="X961" s="6"/>
      <c r="Y961" s="6"/>
      <c r="Z961" s="6"/>
      <c r="AA961" s="6"/>
      <c r="AB961" s="6"/>
      <c r="AC961" s="6"/>
      <c r="AD961" s="6"/>
      <c r="AE961" s="6"/>
      <c r="AF961" s="6"/>
      <c r="AG961" s="6"/>
    </row>
    <row r="962" ht="14.25" customHeight="1">
      <c r="A962" s="6"/>
      <c r="B962" s="6"/>
      <c r="C962" s="6">
        <v>955.0</v>
      </c>
      <c r="D962" s="6"/>
      <c r="E962" s="6">
        <v>8832495.301075349</v>
      </c>
      <c r="F962" s="6">
        <v>473.68886690326974</v>
      </c>
      <c r="G962" s="6">
        <v>5.175817670898164</v>
      </c>
      <c r="H962" s="6">
        <v>8733552.076560294</v>
      </c>
      <c r="I962" s="6">
        <v>469.9601079622072</v>
      </c>
      <c r="J962" s="6">
        <v>4.11897109012979</v>
      </c>
      <c r="K962" s="6"/>
      <c r="L962" s="6"/>
      <c r="M962" s="6"/>
      <c r="N962" s="6">
        <f t="shared" ref="N962:P962" si="965">IF(LEN($C962)&gt;0,H962-E962,"")</f>
        <v>-98943.22452</v>
      </c>
      <c r="O962" s="6">
        <f t="shared" si="965"/>
        <v>-3.728758941</v>
      </c>
      <c r="P962" s="6">
        <f t="shared" si="965"/>
        <v>-1.056846581</v>
      </c>
      <c r="Q962" s="6"/>
      <c r="R962" s="6"/>
      <c r="S962" s="6"/>
      <c r="T962" s="6"/>
      <c r="U962" s="6"/>
      <c r="V962" s="6"/>
      <c r="W962" s="6"/>
      <c r="X962" s="6"/>
      <c r="Y962" s="6"/>
      <c r="Z962" s="6"/>
      <c r="AA962" s="6"/>
      <c r="AB962" s="6"/>
      <c r="AC962" s="6"/>
      <c r="AD962" s="6"/>
      <c r="AE962" s="6"/>
      <c r="AF962" s="6"/>
      <c r="AG962" s="6"/>
    </row>
    <row r="963" ht="14.25" customHeight="1">
      <c r="A963" s="6"/>
      <c r="B963" s="6"/>
      <c r="C963" s="6">
        <v>956.0</v>
      </c>
      <c r="D963" s="6"/>
      <c r="E963" s="6">
        <v>5892841.517260096</v>
      </c>
      <c r="F963" s="6">
        <v>475.5323175280922</v>
      </c>
      <c r="G963" s="6">
        <v>5.248415931601097</v>
      </c>
      <c r="H963" s="6">
        <v>5770174.206345559</v>
      </c>
      <c r="I963" s="6">
        <v>471.98031793343375</v>
      </c>
      <c r="J963" s="6">
        <v>3.4361657163868484</v>
      </c>
      <c r="K963" s="6"/>
      <c r="L963" s="6"/>
      <c r="M963" s="6"/>
      <c r="N963" s="6">
        <f t="shared" ref="N963:P963" si="966">IF(LEN($C963)&gt;0,H963-E963,"")</f>
        <v>-122667.3109</v>
      </c>
      <c r="O963" s="6">
        <f t="shared" si="966"/>
        <v>-3.551999595</v>
      </c>
      <c r="P963" s="6">
        <f t="shared" si="966"/>
        <v>-1.812250215</v>
      </c>
      <c r="Q963" s="6"/>
      <c r="R963" s="6"/>
      <c r="S963" s="6"/>
      <c r="T963" s="6"/>
      <c r="U963" s="6"/>
      <c r="V963" s="6"/>
      <c r="W963" s="6"/>
      <c r="X963" s="6"/>
      <c r="Y963" s="6"/>
      <c r="Z963" s="6"/>
      <c r="AA963" s="6"/>
      <c r="AB963" s="6"/>
      <c r="AC963" s="6"/>
      <c r="AD963" s="6"/>
      <c r="AE963" s="6"/>
      <c r="AF963" s="6"/>
      <c r="AG963" s="6"/>
    </row>
    <row r="964" ht="14.25" customHeight="1">
      <c r="A964" s="6"/>
      <c r="B964" s="6"/>
      <c r="C964" s="6">
        <v>957.0</v>
      </c>
      <c r="D964" s="6"/>
      <c r="E964" s="6">
        <v>8729162.55630701</v>
      </c>
      <c r="F964" s="6">
        <v>491.4632871221042</v>
      </c>
      <c r="G964" s="6">
        <v>4.632958155748055</v>
      </c>
      <c r="H964" s="6">
        <v>8609631.248618092</v>
      </c>
      <c r="I964" s="6">
        <v>486.8646016491428</v>
      </c>
      <c r="J964" s="6">
        <v>3.60138017159605</v>
      </c>
      <c r="K964" s="6"/>
      <c r="L964" s="6"/>
      <c r="M964" s="6"/>
      <c r="N964" s="6">
        <f t="shared" ref="N964:P964" si="967">IF(LEN($C964)&gt;0,H964-E964,"")</f>
        <v>-119531.3077</v>
      </c>
      <c r="O964" s="6">
        <f t="shared" si="967"/>
        <v>-4.598685473</v>
      </c>
      <c r="P964" s="6">
        <f t="shared" si="967"/>
        <v>-1.031577984</v>
      </c>
      <c r="Q964" s="6"/>
      <c r="R964" s="6"/>
      <c r="S964" s="6"/>
      <c r="T964" s="6"/>
      <c r="U964" s="6"/>
      <c r="V964" s="6"/>
      <c r="W964" s="6"/>
      <c r="X964" s="6"/>
      <c r="Y964" s="6"/>
      <c r="Z964" s="6"/>
      <c r="AA964" s="6"/>
      <c r="AB964" s="6"/>
      <c r="AC964" s="6"/>
      <c r="AD964" s="6"/>
      <c r="AE964" s="6"/>
      <c r="AF964" s="6"/>
      <c r="AG964" s="6"/>
    </row>
    <row r="965" ht="14.25" customHeight="1">
      <c r="A965" s="6"/>
      <c r="B965" s="6"/>
      <c r="C965" s="6">
        <v>958.0</v>
      </c>
      <c r="D965" s="6"/>
      <c r="E965" s="6">
        <v>7216570.267784663</v>
      </c>
      <c r="F965" s="6">
        <v>484.27171800688325</v>
      </c>
      <c r="G965" s="6">
        <v>5.569202373509846</v>
      </c>
      <c r="H965" s="6">
        <v>7029257.294033941</v>
      </c>
      <c r="I965" s="6">
        <v>473.41036484343016</v>
      </c>
      <c r="J965" s="6">
        <v>3.988782912815799</v>
      </c>
      <c r="K965" s="6"/>
      <c r="L965" s="6"/>
      <c r="M965" s="6"/>
      <c r="N965" s="6">
        <f t="shared" ref="N965:P965" si="968">IF(LEN($C965)&gt;0,H965-E965,"")</f>
        <v>-187312.9738</v>
      </c>
      <c r="O965" s="6">
        <f t="shared" si="968"/>
        <v>-10.86135316</v>
      </c>
      <c r="P965" s="6">
        <f t="shared" si="968"/>
        <v>-1.580419461</v>
      </c>
      <c r="Q965" s="6"/>
      <c r="R965" s="6"/>
      <c r="S965" s="6"/>
      <c r="T965" s="6"/>
      <c r="U965" s="6"/>
      <c r="V965" s="6"/>
      <c r="W965" s="6"/>
      <c r="X965" s="6"/>
      <c r="Y965" s="6"/>
      <c r="Z965" s="6"/>
      <c r="AA965" s="6"/>
      <c r="AB965" s="6"/>
      <c r="AC965" s="6"/>
      <c r="AD965" s="6"/>
      <c r="AE965" s="6"/>
      <c r="AF965" s="6"/>
      <c r="AG965" s="6"/>
    </row>
    <row r="966" ht="14.25" customHeight="1">
      <c r="A966" s="6"/>
      <c r="B966" s="6"/>
      <c r="C966" s="6">
        <v>959.0</v>
      </c>
      <c r="D966" s="6"/>
      <c r="E966" s="6">
        <v>7678170.125225672</v>
      </c>
      <c r="F966" s="6">
        <v>434.72031536284186</v>
      </c>
      <c r="G966" s="6">
        <v>3.870851450257402</v>
      </c>
      <c r="H966" s="6">
        <v>7615845.864645745</v>
      </c>
      <c r="I966" s="6">
        <v>432.66386209026166</v>
      </c>
      <c r="J966" s="6">
        <v>2.8708696403838405</v>
      </c>
      <c r="K966" s="6"/>
      <c r="L966" s="6"/>
      <c r="M966" s="6"/>
      <c r="N966" s="6">
        <f t="shared" ref="N966:P966" si="969">IF(LEN($C966)&gt;0,H966-E966,"")</f>
        <v>-62324.26058</v>
      </c>
      <c r="O966" s="6">
        <f t="shared" si="969"/>
        <v>-2.056453273</v>
      </c>
      <c r="P966" s="6">
        <f t="shared" si="969"/>
        <v>-0.9999818099</v>
      </c>
      <c r="Q966" s="6"/>
      <c r="R966" s="6"/>
      <c r="S966" s="6"/>
      <c r="T966" s="6"/>
      <c r="U966" s="6"/>
      <c r="V966" s="6"/>
      <c r="W966" s="6"/>
      <c r="X966" s="6"/>
      <c r="Y966" s="6"/>
      <c r="Z966" s="6"/>
      <c r="AA966" s="6"/>
      <c r="AB966" s="6"/>
      <c r="AC966" s="6"/>
      <c r="AD966" s="6"/>
      <c r="AE966" s="6"/>
      <c r="AF966" s="6"/>
      <c r="AG966" s="6"/>
    </row>
    <row r="967" ht="14.25" customHeight="1">
      <c r="A967" s="6"/>
      <c r="B967" s="6"/>
      <c r="C967" s="6">
        <v>960.0</v>
      </c>
      <c r="D967" s="6"/>
      <c r="E967" s="6">
        <v>6632260.311659674</v>
      </c>
      <c r="F967" s="6">
        <v>467.60398896691913</v>
      </c>
      <c r="G967" s="6">
        <v>5.074522750429514</v>
      </c>
      <c r="H967" s="6">
        <v>6521870.399821103</v>
      </c>
      <c r="I967" s="6">
        <v>462.69850342531845</v>
      </c>
      <c r="J967" s="6">
        <v>3.5000626332048115</v>
      </c>
      <c r="K967" s="6"/>
      <c r="L967" s="6"/>
      <c r="M967" s="6"/>
      <c r="N967" s="6">
        <f t="shared" ref="N967:P967" si="970">IF(LEN($C967)&gt;0,H967-E967,"")</f>
        <v>-110389.9118</v>
      </c>
      <c r="O967" s="6">
        <f t="shared" si="970"/>
        <v>-4.905485542</v>
      </c>
      <c r="P967" s="6">
        <f t="shared" si="970"/>
        <v>-1.574460117</v>
      </c>
      <c r="Q967" s="6"/>
      <c r="R967" s="6"/>
      <c r="S967" s="6"/>
      <c r="T967" s="6"/>
      <c r="U967" s="6"/>
      <c r="V967" s="6"/>
      <c r="W967" s="6"/>
      <c r="X967" s="6"/>
      <c r="Y967" s="6"/>
      <c r="Z967" s="6"/>
      <c r="AA967" s="6"/>
      <c r="AB967" s="6"/>
      <c r="AC967" s="6"/>
      <c r="AD967" s="6"/>
      <c r="AE967" s="6"/>
      <c r="AF967" s="6"/>
      <c r="AG967" s="6"/>
    </row>
    <row r="968" ht="14.25" customHeight="1">
      <c r="A968" s="6"/>
      <c r="B968" s="6"/>
      <c r="C968" s="6">
        <v>961.0</v>
      </c>
      <c r="D968" s="6"/>
      <c r="E968" s="6">
        <v>8188884.9070221055</v>
      </c>
      <c r="F968" s="6">
        <v>447.8202361643723</v>
      </c>
      <c r="G968" s="6">
        <v>4.701349337334942</v>
      </c>
      <c r="H968" s="6">
        <v>8038983.828439405</v>
      </c>
      <c r="I968" s="6">
        <v>441.6796339335912</v>
      </c>
      <c r="J968" s="6">
        <v>3.501104028452627</v>
      </c>
      <c r="K968" s="6"/>
      <c r="L968" s="6"/>
      <c r="M968" s="6"/>
      <c r="N968" s="6">
        <f t="shared" ref="N968:P968" si="971">IF(LEN($C968)&gt;0,H968-E968,"")</f>
        <v>-149901.0786</v>
      </c>
      <c r="O968" s="6">
        <f t="shared" si="971"/>
        <v>-6.140602231</v>
      </c>
      <c r="P968" s="6">
        <f t="shared" si="971"/>
        <v>-1.200245309</v>
      </c>
      <c r="Q968" s="6"/>
      <c r="R968" s="6"/>
      <c r="S968" s="6"/>
      <c r="T968" s="6"/>
      <c r="U968" s="6"/>
      <c r="V968" s="6"/>
      <c r="W968" s="6"/>
      <c r="X968" s="6"/>
      <c r="Y968" s="6"/>
      <c r="Z968" s="6"/>
      <c r="AA968" s="6"/>
      <c r="AB968" s="6"/>
      <c r="AC968" s="6"/>
      <c r="AD968" s="6"/>
      <c r="AE968" s="6"/>
      <c r="AF968" s="6"/>
      <c r="AG968" s="6"/>
    </row>
    <row r="969" ht="14.25" customHeight="1">
      <c r="A969" s="6"/>
      <c r="B969" s="6"/>
      <c r="C969" s="6">
        <v>962.0</v>
      </c>
      <c r="D969" s="6"/>
      <c r="E969" s="6">
        <v>8022392.126348871</v>
      </c>
      <c r="F969" s="6">
        <v>456.25042592446033</v>
      </c>
      <c r="G969" s="6">
        <v>3.0517098864530805</v>
      </c>
      <c r="H969" s="6">
        <v>7928233.32269969</v>
      </c>
      <c r="I969" s="6">
        <v>451.94403836735626</v>
      </c>
      <c r="J969" s="6">
        <v>2.3636536354183804</v>
      </c>
      <c r="K969" s="6"/>
      <c r="L969" s="6"/>
      <c r="M969" s="6"/>
      <c r="N969" s="6">
        <f t="shared" ref="N969:P969" si="972">IF(LEN($C969)&gt;0,H969-E969,"")</f>
        <v>-94158.80365</v>
      </c>
      <c r="O969" s="6">
        <f t="shared" si="972"/>
        <v>-4.306387557</v>
      </c>
      <c r="P969" s="6">
        <f t="shared" si="972"/>
        <v>-0.688056251</v>
      </c>
      <c r="Q969" s="6"/>
      <c r="R969" s="6"/>
      <c r="S969" s="6"/>
      <c r="T969" s="6"/>
      <c r="U969" s="6"/>
      <c r="V969" s="6"/>
      <c r="W969" s="6"/>
      <c r="X969" s="6"/>
      <c r="Y969" s="6"/>
      <c r="Z969" s="6"/>
      <c r="AA969" s="6"/>
      <c r="AB969" s="6"/>
      <c r="AC969" s="6"/>
      <c r="AD969" s="6"/>
      <c r="AE969" s="6"/>
      <c r="AF969" s="6"/>
      <c r="AG969" s="6"/>
    </row>
    <row r="970" ht="14.25" customHeight="1">
      <c r="A970" s="6"/>
      <c r="B970" s="6"/>
      <c r="C970" s="6">
        <v>963.0</v>
      </c>
      <c r="D970" s="6"/>
      <c r="E970" s="6">
        <v>7063123.227842668</v>
      </c>
      <c r="F970" s="6">
        <v>440.19135825491924</v>
      </c>
      <c r="G970" s="6">
        <v>5.25526477425976</v>
      </c>
      <c r="H970" s="6">
        <v>6954477.290541077</v>
      </c>
      <c r="I970" s="6">
        <v>434.6546387874442</v>
      </c>
      <c r="J970" s="6">
        <v>3.7582844666640423</v>
      </c>
      <c r="K970" s="6"/>
      <c r="L970" s="6"/>
      <c r="M970" s="6"/>
      <c r="N970" s="6">
        <f t="shared" ref="N970:P970" si="973">IF(LEN($C970)&gt;0,H970-E970,"")</f>
        <v>-108645.9373</v>
      </c>
      <c r="O970" s="6">
        <f t="shared" si="973"/>
        <v>-5.536719467</v>
      </c>
      <c r="P970" s="6">
        <f t="shared" si="973"/>
        <v>-1.496980308</v>
      </c>
      <c r="Q970" s="6"/>
      <c r="R970" s="6"/>
      <c r="S970" s="6"/>
      <c r="T970" s="6"/>
      <c r="U970" s="6"/>
      <c r="V970" s="6"/>
      <c r="W970" s="6"/>
      <c r="X970" s="6"/>
      <c r="Y970" s="6"/>
      <c r="Z970" s="6"/>
      <c r="AA970" s="6"/>
      <c r="AB970" s="6"/>
      <c r="AC970" s="6"/>
      <c r="AD970" s="6"/>
      <c r="AE970" s="6"/>
      <c r="AF970" s="6"/>
      <c r="AG970" s="6"/>
    </row>
    <row r="971" ht="14.25" customHeight="1">
      <c r="A971" s="6"/>
      <c r="B971" s="6"/>
      <c r="C971" s="6">
        <v>964.0</v>
      </c>
      <c r="D971" s="6"/>
      <c r="E971" s="6">
        <v>7455190.089670296</v>
      </c>
      <c r="F971" s="6">
        <v>485.00739061883974</v>
      </c>
      <c r="G971" s="6">
        <v>4.7028934718829305</v>
      </c>
      <c r="H971" s="6">
        <v>7397055.798689265</v>
      </c>
      <c r="I971" s="6">
        <v>482.94422657873986</v>
      </c>
      <c r="J971" s="6">
        <v>3.823842493263911</v>
      </c>
      <c r="K971" s="6"/>
      <c r="L971" s="6"/>
      <c r="M971" s="6"/>
      <c r="N971" s="6">
        <f t="shared" ref="N971:P971" si="974">IF(LEN($C971)&gt;0,H971-E971,"")</f>
        <v>-58134.29098</v>
      </c>
      <c r="O971" s="6">
        <f t="shared" si="974"/>
        <v>-2.06316404</v>
      </c>
      <c r="P971" s="6">
        <f t="shared" si="974"/>
        <v>-0.8790509786</v>
      </c>
      <c r="Q971" s="6"/>
      <c r="R971" s="6"/>
      <c r="S971" s="6"/>
      <c r="T971" s="6"/>
      <c r="U971" s="6"/>
      <c r="V971" s="6"/>
      <c r="W971" s="6"/>
      <c r="X971" s="6"/>
      <c r="Y971" s="6"/>
      <c r="Z971" s="6"/>
      <c r="AA971" s="6"/>
      <c r="AB971" s="6"/>
      <c r="AC971" s="6"/>
      <c r="AD971" s="6"/>
      <c r="AE971" s="6"/>
      <c r="AF971" s="6"/>
      <c r="AG971" s="6"/>
    </row>
    <row r="972" ht="14.25" customHeight="1">
      <c r="A972" s="6"/>
      <c r="B972" s="6"/>
      <c r="C972" s="6">
        <v>965.0</v>
      </c>
      <c r="D972" s="6"/>
      <c r="E972" s="6">
        <v>6763438.894665178</v>
      </c>
      <c r="F972" s="6">
        <v>475.7254487503529</v>
      </c>
      <c r="G972" s="6">
        <v>4.846377235897406</v>
      </c>
      <c r="H972" s="6">
        <v>6654806.902202878</v>
      </c>
      <c r="I972" s="6">
        <v>471.59927974856674</v>
      </c>
      <c r="J972" s="6">
        <v>3.445436835354036</v>
      </c>
      <c r="K972" s="6"/>
      <c r="L972" s="6"/>
      <c r="M972" s="6"/>
      <c r="N972" s="6">
        <f t="shared" ref="N972:P972" si="975">IF(LEN($C972)&gt;0,H972-E972,"")</f>
        <v>-108631.9925</v>
      </c>
      <c r="O972" s="6">
        <f t="shared" si="975"/>
        <v>-4.126169002</v>
      </c>
      <c r="P972" s="6">
        <f t="shared" si="975"/>
        <v>-1.400940401</v>
      </c>
      <c r="Q972" s="6"/>
      <c r="R972" s="6"/>
      <c r="S972" s="6"/>
      <c r="T972" s="6"/>
      <c r="U972" s="6"/>
      <c r="V972" s="6"/>
      <c r="W972" s="6"/>
      <c r="X972" s="6"/>
      <c r="Y972" s="6"/>
      <c r="Z972" s="6"/>
      <c r="AA972" s="6"/>
      <c r="AB972" s="6"/>
      <c r="AC972" s="6"/>
      <c r="AD972" s="6"/>
      <c r="AE972" s="6"/>
      <c r="AF972" s="6"/>
      <c r="AG972" s="6"/>
    </row>
    <row r="973" ht="14.25" customHeight="1">
      <c r="A973" s="6"/>
      <c r="B973" s="6"/>
      <c r="C973" s="6">
        <v>966.0</v>
      </c>
      <c r="D973" s="6"/>
      <c r="E973" s="6">
        <v>7997128.1773241395</v>
      </c>
      <c r="F973" s="6">
        <v>498.3589095827753</v>
      </c>
      <c r="G973" s="6">
        <v>5.2741082667530055</v>
      </c>
      <c r="H973" s="6">
        <v>7870075.181918732</v>
      </c>
      <c r="I973" s="6">
        <v>491.74469103983193</v>
      </c>
      <c r="J973" s="6">
        <v>3.7039773337334454</v>
      </c>
      <c r="K973" s="6"/>
      <c r="L973" s="6"/>
      <c r="M973" s="6"/>
      <c r="N973" s="6">
        <f t="shared" ref="N973:P973" si="976">IF(LEN($C973)&gt;0,H973-E973,"")</f>
        <v>-127052.9954</v>
      </c>
      <c r="O973" s="6">
        <f t="shared" si="976"/>
        <v>-6.614218543</v>
      </c>
      <c r="P973" s="6">
        <f t="shared" si="976"/>
        <v>-1.570130933</v>
      </c>
      <c r="Q973" s="6"/>
      <c r="R973" s="6"/>
      <c r="S973" s="6"/>
      <c r="T973" s="6"/>
      <c r="U973" s="6"/>
      <c r="V973" s="6"/>
      <c r="W973" s="6"/>
      <c r="X973" s="6"/>
      <c r="Y973" s="6"/>
      <c r="Z973" s="6"/>
      <c r="AA973" s="6"/>
      <c r="AB973" s="6"/>
      <c r="AC973" s="6"/>
      <c r="AD973" s="6"/>
      <c r="AE973" s="6"/>
      <c r="AF973" s="6"/>
      <c r="AG973" s="6"/>
    </row>
    <row r="974" ht="14.25" customHeight="1">
      <c r="A974" s="6"/>
      <c r="B974" s="6"/>
      <c r="C974" s="6">
        <v>967.0</v>
      </c>
      <c r="D974" s="6"/>
      <c r="E974" s="6">
        <v>7571897.093870522</v>
      </c>
      <c r="F974" s="6">
        <v>481.0079121405246</v>
      </c>
      <c r="G974" s="6">
        <v>4.918501451918619</v>
      </c>
      <c r="H974" s="6">
        <v>7426794.563212155</v>
      </c>
      <c r="I974" s="6">
        <v>474.93335253194726</v>
      </c>
      <c r="J974" s="6">
        <v>3.1990580509735174</v>
      </c>
      <c r="K974" s="6"/>
      <c r="L974" s="6"/>
      <c r="M974" s="6"/>
      <c r="N974" s="6">
        <f t="shared" ref="N974:P974" si="977">IF(LEN($C974)&gt;0,H974-E974,"")</f>
        <v>-145102.5307</v>
      </c>
      <c r="O974" s="6">
        <f t="shared" si="977"/>
        <v>-6.074559609</v>
      </c>
      <c r="P974" s="6">
        <f t="shared" si="977"/>
        <v>-1.719443401</v>
      </c>
      <c r="Q974" s="6"/>
      <c r="R974" s="6"/>
      <c r="S974" s="6"/>
      <c r="T974" s="6"/>
      <c r="U974" s="6"/>
      <c r="V974" s="6"/>
      <c r="W974" s="6"/>
      <c r="X974" s="6"/>
      <c r="Y974" s="6"/>
      <c r="Z974" s="6"/>
      <c r="AA974" s="6"/>
      <c r="AB974" s="6"/>
      <c r="AC974" s="6"/>
      <c r="AD974" s="6"/>
      <c r="AE974" s="6"/>
      <c r="AF974" s="6"/>
      <c r="AG974" s="6"/>
    </row>
    <row r="975" ht="14.25" customHeight="1">
      <c r="A975" s="6"/>
      <c r="B975" s="6"/>
      <c r="C975" s="6">
        <v>968.0</v>
      </c>
      <c r="D975" s="6"/>
      <c r="E975" s="6">
        <v>8355258.509400078</v>
      </c>
      <c r="F975" s="6">
        <v>442.6897693582775</v>
      </c>
      <c r="G975" s="6">
        <v>6.403430767421329</v>
      </c>
      <c r="H975" s="6">
        <v>8221128.060909387</v>
      </c>
      <c r="I975" s="6">
        <v>437.7669066678108</v>
      </c>
      <c r="J975" s="6">
        <v>4.665704218780825</v>
      </c>
      <c r="K975" s="6"/>
      <c r="L975" s="6"/>
      <c r="M975" s="6"/>
      <c r="N975" s="6">
        <f t="shared" ref="N975:P975" si="978">IF(LEN($C975)&gt;0,H975-E975,"")</f>
        <v>-134130.4485</v>
      </c>
      <c r="O975" s="6">
        <f t="shared" si="978"/>
        <v>-4.92286269</v>
      </c>
      <c r="P975" s="6">
        <f t="shared" si="978"/>
        <v>-1.737726549</v>
      </c>
      <c r="Q975" s="6"/>
      <c r="R975" s="6"/>
      <c r="S975" s="6"/>
      <c r="T975" s="6"/>
      <c r="U975" s="6"/>
      <c r="V975" s="6"/>
      <c r="W975" s="6"/>
      <c r="X975" s="6"/>
      <c r="Y975" s="6"/>
      <c r="Z975" s="6"/>
      <c r="AA975" s="6"/>
      <c r="AB975" s="6"/>
      <c r="AC975" s="6"/>
      <c r="AD975" s="6"/>
      <c r="AE975" s="6"/>
      <c r="AF975" s="6"/>
      <c r="AG975" s="6"/>
    </row>
    <row r="976" ht="14.25" customHeight="1">
      <c r="A976" s="6"/>
      <c r="B976" s="6"/>
      <c r="C976" s="6">
        <v>969.0</v>
      </c>
      <c r="D976" s="6"/>
      <c r="E976" s="6">
        <v>6628610.222063799</v>
      </c>
      <c r="F976" s="6">
        <v>461.1579077781525</v>
      </c>
      <c r="G976" s="6">
        <v>4.904084243932742</v>
      </c>
      <c r="H976" s="6">
        <v>6588152.89723792</v>
      </c>
      <c r="I976" s="6">
        <v>459.56171331696953</v>
      </c>
      <c r="J976" s="6">
        <v>4.32024504188995</v>
      </c>
      <c r="K976" s="6"/>
      <c r="L976" s="6"/>
      <c r="M976" s="6"/>
      <c r="N976" s="6">
        <f t="shared" ref="N976:P976" si="979">IF(LEN($C976)&gt;0,H976-E976,"")</f>
        <v>-40457.32483</v>
      </c>
      <c r="O976" s="6">
        <f t="shared" si="979"/>
        <v>-1.596194461</v>
      </c>
      <c r="P976" s="6">
        <f t="shared" si="979"/>
        <v>-0.583839202</v>
      </c>
      <c r="Q976" s="6"/>
      <c r="R976" s="6"/>
      <c r="S976" s="6"/>
      <c r="T976" s="6"/>
      <c r="U976" s="6"/>
      <c r="V976" s="6"/>
      <c r="W976" s="6"/>
      <c r="X976" s="6"/>
      <c r="Y976" s="6"/>
      <c r="Z976" s="6"/>
      <c r="AA976" s="6"/>
      <c r="AB976" s="6"/>
      <c r="AC976" s="6"/>
      <c r="AD976" s="6"/>
      <c r="AE976" s="6"/>
      <c r="AF976" s="6"/>
      <c r="AG976" s="6"/>
    </row>
    <row r="977" ht="14.25" customHeight="1">
      <c r="A977" s="6"/>
      <c r="B977" s="6"/>
      <c r="C977" s="6">
        <v>970.0</v>
      </c>
      <c r="D977" s="6"/>
      <c r="E977" s="6">
        <v>8326340.514041615</v>
      </c>
      <c r="F977" s="6">
        <v>465.6289482877271</v>
      </c>
      <c r="G977" s="6">
        <v>4.758743250638819</v>
      </c>
      <c r="H977" s="6">
        <v>8250655.980418824</v>
      </c>
      <c r="I977" s="6">
        <v>461.1052305654245</v>
      </c>
      <c r="J977" s="6">
        <v>3.4881265931379923</v>
      </c>
      <c r="K977" s="6"/>
      <c r="L977" s="6"/>
      <c r="M977" s="6"/>
      <c r="N977" s="6">
        <f t="shared" ref="N977:P977" si="980">IF(LEN($C977)&gt;0,H977-E977,"")</f>
        <v>-75684.53362</v>
      </c>
      <c r="O977" s="6">
        <f t="shared" si="980"/>
        <v>-4.523717722</v>
      </c>
      <c r="P977" s="6">
        <f t="shared" si="980"/>
        <v>-1.270616658</v>
      </c>
      <c r="Q977" s="6"/>
      <c r="R977" s="6"/>
      <c r="S977" s="6"/>
      <c r="T977" s="6"/>
      <c r="U977" s="6"/>
      <c r="V977" s="6"/>
      <c r="W977" s="6"/>
      <c r="X977" s="6"/>
      <c r="Y977" s="6"/>
      <c r="Z977" s="6"/>
      <c r="AA977" s="6"/>
      <c r="AB977" s="6"/>
      <c r="AC977" s="6"/>
      <c r="AD977" s="6"/>
      <c r="AE977" s="6"/>
      <c r="AF977" s="6"/>
      <c r="AG977" s="6"/>
    </row>
    <row r="978" ht="14.25" customHeight="1">
      <c r="A978" s="6"/>
      <c r="B978" s="6"/>
      <c r="C978" s="6">
        <v>971.0</v>
      </c>
      <c r="D978" s="6"/>
      <c r="E978" s="6">
        <v>6980765.461639718</v>
      </c>
      <c r="F978" s="6">
        <v>459.65260033752537</v>
      </c>
      <c r="G978" s="6">
        <v>5.248435933328821</v>
      </c>
      <c r="H978" s="6">
        <v>6889875.604925522</v>
      </c>
      <c r="I978" s="6">
        <v>455.3226393062676</v>
      </c>
      <c r="J978" s="6">
        <v>4.091841456096252</v>
      </c>
      <c r="K978" s="6"/>
      <c r="L978" s="6"/>
      <c r="M978" s="6"/>
      <c r="N978" s="6">
        <f t="shared" ref="N978:P978" si="981">IF(LEN($C978)&gt;0,H978-E978,"")</f>
        <v>-90889.85671</v>
      </c>
      <c r="O978" s="6">
        <f t="shared" si="981"/>
        <v>-4.329961031</v>
      </c>
      <c r="P978" s="6">
        <f t="shared" si="981"/>
        <v>-1.156594477</v>
      </c>
      <c r="Q978" s="6"/>
      <c r="R978" s="6"/>
      <c r="S978" s="6"/>
      <c r="T978" s="6"/>
      <c r="U978" s="6"/>
      <c r="V978" s="6"/>
      <c r="W978" s="6"/>
      <c r="X978" s="6"/>
      <c r="Y978" s="6"/>
      <c r="Z978" s="6"/>
      <c r="AA978" s="6"/>
      <c r="AB978" s="6"/>
      <c r="AC978" s="6"/>
      <c r="AD978" s="6"/>
      <c r="AE978" s="6"/>
      <c r="AF978" s="6"/>
      <c r="AG978" s="6"/>
    </row>
    <row r="979" ht="14.25" customHeight="1">
      <c r="A979" s="6"/>
      <c r="B979" s="6"/>
      <c r="C979" s="6">
        <v>972.0</v>
      </c>
      <c r="D979" s="6"/>
      <c r="E979" s="6">
        <v>9009661.613366334</v>
      </c>
      <c r="F979" s="6">
        <v>497.58781933614887</v>
      </c>
      <c r="G979" s="6">
        <v>4.811342104844089</v>
      </c>
      <c r="H979" s="6">
        <v>8824249.911132777</v>
      </c>
      <c r="I979" s="6">
        <v>487.48897302965304</v>
      </c>
      <c r="J979" s="6">
        <v>3.528926353249641</v>
      </c>
      <c r="K979" s="6"/>
      <c r="L979" s="6"/>
      <c r="M979" s="6"/>
      <c r="N979" s="6">
        <f t="shared" ref="N979:P979" si="982">IF(LEN($C979)&gt;0,H979-E979,"")</f>
        <v>-185411.7022</v>
      </c>
      <c r="O979" s="6">
        <f t="shared" si="982"/>
        <v>-10.09884631</v>
      </c>
      <c r="P979" s="6">
        <f t="shared" si="982"/>
        <v>-1.282415752</v>
      </c>
      <c r="Q979" s="6"/>
      <c r="R979" s="6"/>
      <c r="S979" s="6"/>
      <c r="T979" s="6"/>
      <c r="U979" s="6"/>
      <c r="V979" s="6"/>
      <c r="W979" s="6"/>
      <c r="X979" s="6"/>
      <c r="Y979" s="6"/>
      <c r="Z979" s="6"/>
      <c r="AA979" s="6"/>
      <c r="AB979" s="6"/>
      <c r="AC979" s="6"/>
      <c r="AD979" s="6"/>
      <c r="AE979" s="6"/>
      <c r="AF979" s="6"/>
      <c r="AG979" s="6"/>
    </row>
    <row r="980" ht="14.25" customHeight="1">
      <c r="A980" s="6"/>
      <c r="B980" s="6"/>
      <c r="C980" s="6">
        <v>973.0</v>
      </c>
      <c r="D980" s="6"/>
      <c r="E980" s="6">
        <v>6047990.247187297</v>
      </c>
      <c r="F980" s="6">
        <v>431.89469654014204</v>
      </c>
      <c r="G980" s="6">
        <v>5.162305190466443</v>
      </c>
      <c r="H980" s="6">
        <v>5963341.85554104</v>
      </c>
      <c r="I980" s="6">
        <v>430.0414375907922</v>
      </c>
      <c r="J980" s="6">
        <v>3.9952573537350866</v>
      </c>
      <c r="K980" s="6"/>
      <c r="L980" s="6"/>
      <c r="M980" s="6"/>
      <c r="N980" s="6">
        <f t="shared" ref="N980:P980" si="983">IF(LEN($C980)&gt;0,H980-E980,"")</f>
        <v>-84648.39165</v>
      </c>
      <c r="O980" s="6">
        <f t="shared" si="983"/>
        <v>-1.853258949</v>
      </c>
      <c r="P980" s="6">
        <f t="shared" si="983"/>
        <v>-1.167047837</v>
      </c>
      <c r="Q980" s="6"/>
      <c r="R980" s="6"/>
      <c r="S980" s="6"/>
      <c r="T980" s="6"/>
      <c r="U980" s="6"/>
      <c r="V980" s="6"/>
      <c r="W980" s="6"/>
      <c r="X980" s="6"/>
      <c r="Y980" s="6"/>
      <c r="Z980" s="6"/>
      <c r="AA980" s="6"/>
      <c r="AB980" s="6"/>
      <c r="AC980" s="6"/>
      <c r="AD980" s="6"/>
      <c r="AE980" s="6"/>
      <c r="AF980" s="6"/>
      <c r="AG980" s="6"/>
    </row>
    <row r="981" ht="14.25" customHeight="1">
      <c r="A981" s="6"/>
      <c r="B981" s="6"/>
      <c r="C981" s="6">
        <v>974.0</v>
      </c>
      <c r="D981" s="6"/>
      <c r="E981" s="6">
        <v>5953689.280250898</v>
      </c>
      <c r="F981" s="6">
        <v>503.9942233367646</v>
      </c>
      <c r="G981" s="6">
        <v>4.984349602429702</v>
      </c>
      <c r="H981" s="6">
        <v>5798447.0296728425</v>
      </c>
      <c r="I981" s="6">
        <v>496.5873674100748</v>
      </c>
      <c r="J981" s="6">
        <v>2.9436369295985356</v>
      </c>
      <c r="K981" s="6"/>
      <c r="L981" s="6"/>
      <c r="M981" s="6"/>
      <c r="N981" s="6">
        <f t="shared" ref="N981:P981" si="984">IF(LEN($C981)&gt;0,H981-E981,"")</f>
        <v>-155242.2506</v>
      </c>
      <c r="O981" s="6">
        <f t="shared" si="984"/>
        <v>-7.406855927</v>
      </c>
      <c r="P981" s="6">
        <f t="shared" si="984"/>
        <v>-2.040712673</v>
      </c>
      <c r="Q981" s="6"/>
      <c r="R981" s="6"/>
      <c r="S981" s="6"/>
      <c r="T981" s="6"/>
      <c r="U981" s="6"/>
      <c r="V981" s="6"/>
      <c r="W981" s="6"/>
      <c r="X981" s="6"/>
      <c r="Y981" s="6"/>
      <c r="Z981" s="6"/>
      <c r="AA981" s="6"/>
      <c r="AB981" s="6"/>
      <c r="AC981" s="6"/>
      <c r="AD981" s="6"/>
      <c r="AE981" s="6"/>
      <c r="AF981" s="6"/>
      <c r="AG981" s="6"/>
    </row>
    <row r="982" ht="14.25" customHeight="1">
      <c r="A982" s="6"/>
      <c r="B982" s="6"/>
      <c r="C982" s="6">
        <v>975.0</v>
      </c>
      <c r="D982" s="6"/>
      <c r="E982" s="6">
        <v>7836154.699809259</v>
      </c>
      <c r="F982" s="6">
        <v>487.43477904411776</v>
      </c>
      <c r="G982" s="6">
        <v>5.335129545262286</v>
      </c>
      <c r="H982" s="6">
        <v>7704190.898788474</v>
      </c>
      <c r="I982" s="6">
        <v>481.9187725784152</v>
      </c>
      <c r="J982" s="6">
        <v>4.0327484228499495</v>
      </c>
      <c r="K982" s="6"/>
      <c r="L982" s="6"/>
      <c r="M982" s="6"/>
      <c r="N982" s="6">
        <f t="shared" ref="N982:P982" si="985">IF(LEN($C982)&gt;0,H982-E982,"")</f>
        <v>-131963.801</v>
      </c>
      <c r="O982" s="6">
        <f t="shared" si="985"/>
        <v>-5.516006466</v>
      </c>
      <c r="P982" s="6">
        <f t="shared" si="985"/>
        <v>-1.302381122</v>
      </c>
      <c r="Q982" s="6"/>
      <c r="R982" s="6"/>
      <c r="S982" s="6"/>
      <c r="T982" s="6"/>
      <c r="U982" s="6"/>
      <c r="V982" s="6"/>
      <c r="W982" s="6"/>
      <c r="X982" s="6"/>
      <c r="Y982" s="6"/>
      <c r="Z982" s="6"/>
      <c r="AA982" s="6"/>
      <c r="AB982" s="6"/>
      <c r="AC982" s="6"/>
      <c r="AD982" s="6"/>
      <c r="AE982" s="6"/>
      <c r="AF982" s="6"/>
      <c r="AG982" s="6"/>
    </row>
    <row r="983" ht="14.25" customHeight="1">
      <c r="A983" s="6"/>
      <c r="B983" s="6"/>
      <c r="C983" s="6">
        <v>976.0</v>
      </c>
      <c r="D983" s="6"/>
      <c r="E983" s="6">
        <v>5536727.841063912</v>
      </c>
      <c r="F983" s="6">
        <v>478.99076706771854</v>
      </c>
      <c r="G983" s="6">
        <v>5.544225340496758</v>
      </c>
      <c r="H983" s="6">
        <v>5455241.79933754</v>
      </c>
      <c r="I983" s="6">
        <v>475.69855193442817</v>
      </c>
      <c r="J983" s="6">
        <v>4.386615862112034</v>
      </c>
      <c r="K983" s="6"/>
      <c r="L983" s="6"/>
      <c r="M983" s="6"/>
      <c r="N983" s="6">
        <f t="shared" ref="N983:P983" si="986">IF(LEN($C983)&gt;0,H983-E983,"")</f>
        <v>-81486.04173</v>
      </c>
      <c r="O983" s="6">
        <f t="shared" si="986"/>
        <v>-3.292215133</v>
      </c>
      <c r="P983" s="6">
        <f t="shared" si="986"/>
        <v>-1.157609478</v>
      </c>
      <c r="Q983" s="6"/>
      <c r="R983" s="6"/>
      <c r="S983" s="6"/>
      <c r="T983" s="6"/>
      <c r="U983" s="6"/>
      <c r="V983" s="6"/>
      <c r="W983" s="6"/>
      <c r="X983" s="6"/>
      <c r="Y983" s="6"/>
      <c r="Z983" s="6"/>
      <c r="AA983" s="6"/>
      <c r="AB983" s="6"/>
      <c r="AC983" s="6"/>
      <c r="AD983" s="6"/>
      <c r="AE983" s="6"/>
      <c r="AF983" s="6"/>
      <c r="AG983" s="6"/>
    </row>
    <row r="984" ht="14.25" customHeight="1">
      <c r="A984" s="6"/>
      <c r="B984" s="6"/>
      <c r="C984" s="6">
        <v>977.0</v>
      </c>
      <c r="D984" s="6"/>
      <c r="E984" s="6">
        <v>5505315.072732766</v>
      </c>
      <c r="F984" s="6">
        <v>437.8821403200498</v>
      </c>
      <c r="G984" s="6">
        <v>4.180389721846828</v>
      </c>
      <c r="H984" s="6">
        <v>5443020.672481131</v>
      </c>
      <c r="I984" s="6">
        <v>435.0319114297199</v>
      </c>
      <c r="J984" s="6">
        <v>3.370869925420619</v>
      </c>
      <c r="K984" s="6"/>
      <c r="L984" s="6"/>
      <c r="M984" s="6"/>
      <c r="N984" s="6">
        <f t="shared" ref="N984:P984" si="987">IF(LEN($C984)&gt;0,H984-E984,"")</f>
        <v>-62294.40025</v>
      </c>
      <c r="O984" s="6">
        <f t="shared" si="987"/>
        <v>-2.85022889</v>
      </c>
      <c r="P984" s="6">
        <f t="shared" si="987"/>
        <v>-0.8095197964</v>
      </c>
      <c r="Q984" s="6"/>
      <c r="R984" s="6"/>
      <c r="S984" s="6"/>
      <c r="T984" s="6"/>
      <c r="U984" s="6"/>
      <c r="V984" s="6"/>
      <c r="W984" s="6"/>
      <c r="X984" s="6"/>
      <c r="Y984" s="6"/>
      <c r="Z984" s="6"/>
      <c r="AA984" s="6"/>
      <c r="AB984" s="6"/>
      <c r="AC984" s="6"/>
      <c r="AD984" s="6"/>
      <c r="AE984" s="6"/>
      <c r="AF984" s="6"/>
      <c r="AG984" s="6"/>
    </row>
    <row r="985" ht="14.25" customHeight="1">
      <c r="A985" s="6"/>
      <c r="B985" s="6"/>
      <c r="C985" s="6">
        <v>978.0</v>
      </c>
      <c r="D985" s="6"/>
      <c r="E985" s="6">
        <v>7178434.786020389</v>
      </c>
      <c r="F985" s="6">
        <v>466.6181608149346</v>
      </c>
      <c r="G985" s="6">
        <v>5.888868602908179</v>
      </c>
      <c r="H985" s="6">
        <v>7072915.276235634</v>
      </c>
      <c r="I985" s="6">
        <v>461.2919996112609</v>
      </c>
      <c r="J985" s="6">
        <v>4.859096016631651</v>
      </c>
      <c r="K985" s="6"/>
      <c r="L985" s="6"/>
      <c r="M985" s="6"/>
      <c r="N985" s="6">
        <f t="shared" ref="N985:P985" si="988">IF(LEN($C985)&gt;0,H985-E985,"")</f>
        <v>-105519.5098</v>
      </c>
      <c r="O985" s="6">
        <f t="shared" si="988"/>
        <v>-5.326161204</v>
      </c>
      <c r="P985" s="6">
        <f t="shared" si="988"/>
        <v>-1.029772586</v>
      </c>
      <c r="Q985" s="6"/>
      <c r="R985" s="6"/>
      <c r="S985" s="6"/>
      <c r="T985" s="6"/>
      <c r="U985" s="6"/>
      <c r="V985" s="6"/>
      <c r="W985" s="6"/>
      <c r="X985" s="6"/>
      <c r="Y985" s="6"/>
      <c r="Z985" s="6"/>
      <c r="AA985" s="6"/>
      <c r="AB985" s="6"/>
      <c r="AC985" s="6"/>
      <c r="AD985" s="6"/>
      <c r="AE985" s="6"/>
      <c r="AF985" s="6"/>
      <c r="AG985" s="6"/>
    </row>
    <row r="986" ht="14.25" customHeight="1">
      <c r="A986" s="6"/>
      <c r="B986" s="6"/>
      <c r="C986" s="6">
        <v>979.0</v>
      </c>
      <c r="D986" s="6"/>
      <c r="E986" s="6">
        <v>6450052.226011052</v>
      </c>
      <c r="F986" s="6">
        <v>436.8700954725996</v>
      </c>
      <c r="G986" s="6">
        <v>3.372465250768091</v>
      </c>
      <c r="H986" s="6">
        <v>6371600.399889085</v>
      </c>
      <c r="I986" s="6">
        <v>434.0346157024551</v>
      </c>
      <c r="J986" s="6">
        <v>2.309819232621199</v>
      </c>
      <c r="K986" s="6"/>
      <c r="L986" s="6"/>
      <c r="M986" s="6"/>
      <c r="N986" s="6">
        <f t="shared" ref="N986:P986" si="989">IF(LEN($C986)&gt;0,H986-E986,"")</f>
        <v>-78451.82612</v>
      </c>
      <c r="O986" s="6">
        <f t="shared" si="989"/>
        <v>-2.83547977</v>
      </c>
      <c r="P986" s="6">
        <f t="shared" si="989"/>
        <v>-1.062646018</v>
      </c>
      <c r="Q986" s="6"/>
      <c r="R986" s="6"/>
      <c r="S986" s="6"/>
      <c r="T986" s="6"/>
      <c r="U986" s="6"/>
      <c r="V986" s="6"/>
      <c r="W986" s="6"/>
      <c r="X986" s="6"/>
      <c r="Y986" s="6"/>
      <c r="Z986" s="6"/>
      <c r="AA986" s="6"/>
      <c r="AB986" s="6"/>
      <c r="AC986" s="6"/>
      <c r="AD986" s="6"/>
      <c r="AE986" s="6"/>
      <c r="AF986" s="6"/>
      <c r="AG986" s="6"/>
    </row>
    <row r="987" ht="14.25" customHeight="1">
      <c r="A987" s="6"/>
      <c r="B987" s="6"/>
      <c r="C987" s="6">
        <v>980.0</v>
      </c>
      <c r="D987" s="6"/>
      <c r="E987" s="6">
        <v>5710437.713859341</v>
      </c>
      <c r="F987" s="6">
        <v>476.5048686959094</v>
      </c>
      <c r="G987" s="6">
        <v>5.289924507263115</v>
      </c>
      <c r="H987" s="6">
        <v>5602490.154961786</v>
      </c>
      <c r="I987" s="6">
        <v>472.21231803062705</v>
      </c>
      <c r="J987" s="6">
        <v>3.9421949494597213</v>
      </c>
      <c r="K987" s="6"/>
      <c r="L987" s="6"/>
      <c r="M987" s="6"/>
      <c r="N987" s="6">
        <f t="shared" ref="N987:P987" si="990">IF(LEN($C987)&gt;0,H987-E987,"")</f>
        <v>-107947.5589</v>
      </c>
      <c r="O987" s="6">
        <f t="shared" si="990"/>
        <v>-4.292550665</v>
      </c>
      <c r="P987" s="6">
        <f t="shared" si="990"/>
        <v>-1.347729558</v>
      </c>
      <c r="Q987" s="6"/>
      <c r="R987" s="6"/>
      <c r="S987" s="6"/>
      <c r="T987" s="6"/>
      <c r="U987" s="6"/>
      <c r="V987" s="6"/>
      <c r="W987" s="6"/>
      <c r="X987" s="6"/>
      <c r="Y987" s="6"/>
      <c r="Z987" s="6"/>
      <c r="AA987" s="6"/>
      <c r="AB987" s="6"/>
      <c r="AC987" s="6"/>
      <c r="AD987" s="6"/>
      <c r="AE987" s="6"/>
      <c r="AF987" s="6"/>
      <c r="AG987" s="6"/>
    </row>
    <row r="988" ht="14.25" customHeight="1">
      <c r="A988" s="6"/>
      <c r="B988" s="6"/>
      <c r="C988" s="6">
        <v>981.0</v>
      </c>
      <c r="D988" s="6"/>
      <c r="E988" s="6">
        <v>7325042.547229459</v>
      </c>
      <c r="F988" s="6">
        <v>489.67150461226356</v>
      </c>
      <c r="G988" s="6">
        <v>5.602235173413141</v>
      </c>
      <c r="H988" s="6">
        <v>7196152.208305748</v>
      </c>
      <c r="I988" s="6">
        <v>484.8853351581542</v>
      </c>
      <c r="J988" s="6">
        <v>3.679610898665251</v>
      </c>
      <c r="K988" s="6"/>
      <c r="L988" s="6"/>
      <c r="M988" s="6"/>
      <c r="N988" s="6">
        <f t="shared" ref="N988:P988" si="991">IF(LEN($C988)&gt;0,H988-E988,"")</f>
        <v>-128890.3389</v>
      </c>
      <c r="O988" s="6">
        <f t="shared" si="991"/>
        <v>-4.786169454</v>
      </c>
      <c r="P988" s="6">
        <f t="shared" si="991"/>
        <v>-1.922624275</v>
      </c>
      <c r="Q988" s="6"/>
      <c r="R988" s="6"/>
      <c r="S988" s="6"/>
      <c r="T988" s="6"/>
      <c r="U988" s="6"/>
      <c r="V988" s="6"/>
      <c r="W988" s="6"/>
      <c r="X988" s="6"/>
      <c r="Y988" s="6"/>
      <c r="Z988" s="6"/>
      <c r="AA988" s="6"/>
      <c r="AB988" s="6"/>
      <c r="AC988" s="6"/>
      <c r="AD988" s="6"/>
      <c r="AE988" s="6"/>
      <c r="AF988" s="6"/>
      <c r="AG988" s="6"/>
    </row>
    <row r="989" ht="14.25" customHeight="1">
      <c r="A989" s="6"/>
      <c r="B989" s="6"/>
      <c r="C989" s="6">
        <v>982.0</v>
      </c>
      <c r="D989" s="6"/>
      <c r="E989" s="6">
        <v>7124287.403034243</v>
      </c>
      <c r="F989" s="6">
        <v>447.3913140956548</v>
      </c>
      <c r="G989" s="6">
        <v>4.553593629789031</v>
      </c>
      <c r="H989" s="6">
        <v>6987600.231186801</v>
      </c>
      <c r="I989" s="6">
        <v>440.18231823916506</v>
      </c>
      <c r="J989" s="6">
        <v>3.253537549354768</v>
      </c>
      <c r="K989" s="6"/>
      <c r="L989" s="6"/>
      <c r="M989" s="6"/>
      <c r="N989" s="6">
        <f t="shared" ref="N989:P989" si="992">IF(LEN($C989)&gt;0,H989-E989,"")</f>
        <v>-136687.1718</v>
      </c>
      <c r="O989" s="6">
        <f t="shared" si="992"/>
        <v>-7.208995856</v>
      </c>
      <c r="P989" s="6">
        <f t="shared" si="992"/>
        <v>-1.30005608</v>
      </c>
      <c r="Q989" s="6"/>
      <c r="R989" s="6"/>
      <c r="S989" s="6"/>
      <c r="T989" s="6"/>
      <c r="U989" s="6"/>
      <c r="V989" s="6"/>
      <c r="W989" s="6"/>
      <c r="X989" s="6"/>
      <c r="Y989" s="6"/>
      <c r="Z989" s="6"/>
      <c r="AA989" s="6"/>
      <c r="AB989" s="6"/>
      <c r="AC989" s="6"/>
      <c r="AD989" s="6"/>
      <c r="AE989" s="6"/>
      <c r="AF989" s="6"/>
      <c r="AG989" s="6"/>
    </row>
    <row r="990" ht="14.25" customHeight="1">
      <c r="A990" s="6"/>
      <c r="B990" s="6"/>
      <c r="C990" s="6">
        <v>983.0</v>
      </c>
      <c r="D990" s="6"/>
      <c r="E990" s="6">
        <v>8601964.149381869</v>
      </c>
      <c r="F990" s="6">
        <v>475.2839430409739</v>
      </c>
      <c r="G990" s="6">
        <v>4.550495841712301</v>
      </c>
      <c r="H990" s="6">
        <v>8422104.346499125</v>
      </c>
      <c r="I990" s="6">
        <v>469.5395945164577</v>
      </c>
      <c r="J990" s="6">
        <v>3.2196106426822664</v>
      </c>
      <c r="K990" s="6"/>
      <c r="L990" s="6"/>
      <c r="M990" s="6"/>
      <c r="N990" s="6">
        <f t="shared" ref="N990:P990" si="993">IF(LEN($C990)&gt;0,H990-E990,"")</f>
        <v>-179859.8029</v>
      </c>
      <c r="O990" s="6">
        <f t="shared" si="993"/>
        <v>-5.744348525</v>
      </c>
      <c r="P990" s="6">
        <f t="shared" si="993"/>
        <v>-1.330885199</v>
      </c>
      <c r="Q990" s="6"/>
      <c r="R990" s="6"/>
      <c r="S990" s="6"/>
      <c r="T990" s="6"/>
      <c r="U990" s="6"/>
      <c r="V990" s="6"/>
      <c r="W990" s="6"/>
      <c r="X990" s="6"/>
      <c r="Y990" s="6"/>
      <c r="Z990" s="6"/>
      <c r="AA990" s="6"/>
      <c r="AB990" s="6"/>
      <c r="AC990" s="6"/>
      <c r="AD990" s="6"/>
      <c r="AE990" s="6"/>
      <c r="AF990" s="6"/>
      <c r="AG990" s="6"/>
    </row>
    <row r="991" ht="14.25" customHeight="1">
      <c r="A991" s="6"/>
      <c r="B991" s="6"/>
      <c r="C991" s="6">
        <v>984.0</v>
      </c>
      <c r="D991" s="6"/>
      <c r="E991" s="6">
        <v>6446475.293046801</v>
      </c>
      <c r="F991" s="6">
        <v>494.44529954465975</v>
      </c>
      <c r="G991" s="6">
        <v>4.694265680914555</v>
      </c>
      <c r="H991" s="6">
        <v>6280930.4625796145</v>
      </c>
      <c r="I991" s="6">
        <v>488.3382136968317</v>
      </c>
      <c r="J991" s="6">
        <v>2.622982575503092</v>
      </c>
      <c r="K991" s="6"/>
      <c r="L991" s="6"/>
      <c r="M991" s="6"/>
      <c r="N991" s="6">
        <f t="shared" ref="N991:P991" si="994">IF(LEN($C991)&gt;0,H991-E991,"")</f>
        <v>-165544.8305</v>
      </c>
      <c r="O991" s="6">
        <f t="shared" si="994"/>
        <v>-6.107085848</v>
      </c>
      <c r="P991" s="6">
        <f t="shared" si="994"/>
        <v>-2.071283105</v>
      </c>
      <c r="Q991" s="6"/>
      <c r="R991" s="6"/>
      <c r="S991" s="6"/>
      <c r="T991" s="6"/>
      <c r="U991" s="6"/>
      <c r="V991" s="6"/>
      <c r="W991" s="6"/>
      <c r="X991" s="6"/>
      <c r="Y991" s="6"/>
      <c r="Z991" s="6"/>
      <c r="AA991" s="6"/>
      <c r="AB991" s="6"/>
      <c r="AC991" s="6"/>
      <c r="AD991" s="6"/>
      <c r="AE991" s="6"/>
      <c r="AF991" s="6"/>
      <c r="AG991" s="6"/>
    </row>
    <row r="992" ht="14.25" customHeight="1">
      <c r="A992" s="6"/>
      <c r="B992" s="6"/>
      <c r="C992" s="6">
        <v>985.0</v>
      </c>
      <c r="D992" s="6"/>
      <c r="E992" s="6">
        <v>8620029.146253327</v>
      </c>
      <c r="F992" s="6">
        <v>459.5737716814976</v>
      </c>
      <c r="G992" s="6">
        <v>4.453567501788161</v>
      </c>
      <c r="H992" s="6">
        <v>8516528.924207492</v>
      </c>
      <c r="I992" s="6">
        <v>455.98369098441634</v>
      </c>
      <c r="J992" s="6">
        <v>3.1676094119003975</v>
      </c>
      <c r="K992" s="6"/>
      <c r="L992" s="6"/>
      <c r="M992" s="6"/>
      <c r="N992" s="6">
        <f t="shared" ref="N992:P992" si="995">IF(LEN($C992)&gt;0,H992-E992,"")</f>
        <v>-103500.222</v>
      </c>
      <c r="O992" s="6">
        <f t="shared" si="995"/>
        <v>-3.590080697</v>
      </c>
      <c r="P992" s="6">
        <f t="shared" si="995"/>
        <v>-1.28595809</v>
      </c>
      <c r="Q992" s="6"/>
      <c r="R992" s="6"/>
      <c r="S992" s="6"/>
      <c r="T992" s="6"/>
      <c r="U992" s="6"/>
      <c r="V992" s="6"/>
      <c r="W992" s="6"/>
      <c r="X992" s="6"/>
      <c r="Y992" s="6"/>
      <c r="Z992" s="6"/>
      <c r="AA992" s="6"/>
      <c r="AB992" s="6"/>
      <c r="AC992" s="6"/>
      <c r="AD992" s="6"/>
      <c r="AE992" s="6"/>
      <c r="AF992" s="6"/>
      <c r="AG992" s="6"/>
    </row>
    <row r="993" ht="14.25" customHeight="1">
      <c r="A993" s="6"/>
      <c r="B993" s="6"/>
      <c r="C993" s="6">
        <v>986.0</v>
      </c>
      <c r="D993" s="6"/>
      <c r="E993" s="6">
        <v>6580295.537903762</v>
      </c>
      <c r="F993" s="6">
        <v>439.9470757226256</v>
      </c>
      <c r="G993" s="6">
        <v>5.697029793051152</v>
      </c>
      <c r="H993" s="6">
        <v>6499994.105151075</v>
      </c>
      <c r="I993" s="6">
        <v>437.3270118531659</v>
      </c>
      <c r="J993" s="6">
        <v>4.489276744917719</v>
      </c>
      <c r="K993" s="6"/>
      <c r="L993" s="6"/>
      <c r="M993" s="6"/>
      <c r="N993" s="6">
        <f t="shared" ref="N993:P993" si="996">IF(LEN($C993)&gt;0,H993-E993,"")</f>
        <v>-80301.43275</v>
      </c>
      <c r="O993" s="6">
        <f t="shared" si="996"/>
        <v>-2.620063869</v>
      </c>
      <c r="P993" s="6">
        <f t="shared" si="996"/>
        <v>-1.207753048</v>
      </c>
      <c r="Q993" s="6"/>
      <c r="R993" s="6"/>
      <c r="S993" s="6"/>
      <c r="T993" s="6"/>
      <c r="U993" s="6"/>
      <c r="V993" s="6"/>
      <c r="W993" s="6"/>
      <c r="X993" s="6"/>
      <c r="Y993" s="6"/>
      <c r="Z993" s="6"/>
      <c r="AA993" s="6"/>
      <c r="AB993" s="6"/>
      <c r="AC993" s="6"/>
      <c r="AD993" s="6"/>
      <c r="AE993" s="6"/>
      <c r="AF993" s="6"/>
      <c r="AG993" s="6"/>
    </row>
    <row r="994" ht="14.25" customHeight="1">
      <c r="A994" s="6"/>
      <c r="B994" s="6"/>
      <c r="C994" s="6">
        <v>987.0</v>
      </c>
      <c r="D994" s="6"/>
      <c r="E994" s="6">
        <v>7096487.554014182</v>
      </c>
      <c r="F994" s="6">
        <v>477.0445384033912</v>
      </c>
      <c r="G994" s="6">
        <v>5.307126318244422</v>
      </c>
      <c r="H994" s="6">
        <v>7004071.357237864</v>
      </c>
      <c r="I994" s="6">
        <v>474.425335960995</v>
      </c>
      <c r="J994" s="6">
        <v>4.442457024797871</v>
      </c>
      <c r="K994" s="6"/>
      <c r="L994" s="6"/>
      <c r="M994" s="6"/>
      <c r="N994" s="6">
        <f t="shared" ref="N994:P994" si="997">IF(LEN($C994)&gt;0,H994-E994,"")</f>
        <v>-92416.19678</v>
      </c>
      <c r="O994" s="6">
        <f t="shared" si="997"/>
        <v>-2.619202442</v>
      </c>
      <c r="P994" s="6">
        <f t="shared" si="997"/>
        <v>-0.8646692934</v>
      </c>
      <c r="Q994" s="6"/>
      <c r="R994" s="6"/>
      <c r="S994" s="6"/>
      <c r="T994" s="6"/>
      <c r="U994" s="6"/>
      <c r="V994" s="6"/>
      <c r="W994" s="6"/>
      <c r="X994" s="6"/>
      <c r="Y994" s="6"/>
      <c r="Z994" s="6"/>
      <c r="AA994" s="6"/>
      <c r="AB994" s="6"/>
      <c r="AC994" s="6"/>
      <c r="AD994" s="6"/>
      <c r="AE994" s="6"/>
      <c r="AF994" s="6"/>
      <c r="AG994" s="6"/>
    </row>
    <row r="995" ht="14.25" customHeight="1">
      <c r="A995" s="6"/>
      <c r="B995" s="6"/>
      <c r="C995" s="6">
        <v>988.0</v>
      </c>
      <c r="D995" s="6"/>
      <c r="E995" s="6">
        <v>8973222.626566628</v>
      </c>
      <c r="F995" s="6">
        <v>446.44719579150615</v>
      </c>
      <c r="G995" s="6">
        <v>5.204555305313534</v>
      </c>
      <c r="H995" s="6">
        <v>8905743.318645844</v>
      </c>
      <c r="I995" s="6">
        <v>444.52708068677293</v>
      </c>
      <c r="J995" s="6">
        <v>4.173983461669344</v>
      </c>
      <c r="K995" s="6"/>
      <c r="L995" s="6"/>
      <c r="M995" s="6"/>
      <c r="N995" s="6">
        <f t="shared" ref="N995:P995" si="998">IF(LEN($C995)&gt;0,H995-E995,"")</f>
        <v>-67479.30792</v>
      </c>
      <c r="O995" s="6">
        <f t="shared" si="998"/>
        <v>-1.920115105</v>
      </c>
      <c r="P995" s="6">
        <f t="shared" si="998"/>
        <v>-1.030571844</v>
      </c>
      <c r="Q995" s="6"/>
      <c r="R995" s="6"/>
      <c r="S995" s="6"/>
      <c r="T995" s="6"/>
      <c r="U995" s="6"/>
      <c r="V995" s="6"/>
      <c r="W995" s="6"/>
      <c r="X995" s="6"/>
      <c r="Y995" s="6"/>
      <c r="Z995" s="6"/>
      <c r="AA995" s="6"/>
      <c r="AB995" s="6"/>
      <c r="AC995" s="6"/>
      <c r="AD995" s="6"/>
      <c r="AE995" s="6"/>
      <c r="AF995" s="6"/>
      <c r="AG995" s="6"/>
    </row>
    <row r="996" ht="14.25" customHeight="1">
      <c r="A996" s="6"/>
      <c r="B996" s="6"/>
      <c r="C996" s="6">
        <v>989.0</v>
      </c>
      <c r="D996" s="6"/>
      <c r="E996" s="6">
        <v>6547069.674816806</v>
      </c>
      <c r="F996" s="6">
        <v>487.3760816056928</v>
      </c>
      <c r="G996" s="6">
        <v>5.223096794934075</v>
      </c>
      <c r="H996" s="6">
        <v>6439207.9671776</v>
      </c>
      <c r="I996" s="6">
        <v>483.0113439061272</v>
      </c>
      <c r="J996" s="6">
        <v>4.035227343096958</v>
      </c>
      <c r="K996" s="6"/>
      <c r="L996" s="6"/>
      <c r="M996" s="6"/>
      <c r="N996" s="6">
        <f t="shared" ref="N996:P996" si="999">IF(LEN($C996)&gt;0,H996-E996,"")</f>
        <v>-107861.7076</v>
      </c>
      <c r="O996" s="6">
        <f t="shared" si="999"/>
        <v>-4.3647377</v>
      </c>
      <c r="P996" s="6">
        <f t="shared" si="999"/>
        <v>-1.187869452</v>
      </c>
      <c r="Q996" s="6"/>
      <c r="R996" s="6"/>
      <c r="S996" s="6"/>
      <c r="T996" s="6"/>
      <c r="U996" s="6"/>
      <c r="V996" s="6"/>
      <c r="W996" s="6"/>
      <c r="X996" s="6"/>
      <c r="Y996" s="6"/>
      <c r="Z996" s="6"/>
      <c r="AA996" s="6"/>
      <c r="AB996" s="6"/>
      <c r="AC996" s="6"/>
      <c r="AD996" s="6"/>
      <c r="AE996" s="6"/>
      <c r="AF996" s="6"/>
      <c r="AG996" s="6"/>
    </row>
    <row r="997" ht="14.25" customHeight="1">
      <c r="A997" s="6"/>
      <c r="B997" s="6"/>
      <c r="C997" s="6">
        <v>990.0</v>
      </c>
      <c r="D997" s="6"/>
      <c r="E997" s="6">
        <v>7347532.277669721</v>
      </c>
      <c r="F997" s="6">
        <v>440.9784017892673</v>
      </c>
      <c r="G997" s="6">
        <v>5.647605480052718</v>
      </c>
      <c r="H997" s="6">
        <v>7271754.886715825</v>
      </c>
      <c r="I997" s="6">
        <v>438.44334867781185</v>
      </c>
      <c r="J997" s="6">
        <v>4.715203683140439</v>
      </c>
      <c r="K997" s="6"/>
      <c r="L997" s="6"/>
      <c r="M997" s="6"/>
      <c r="N997" s="6">
        <f t="shared" ref="N997:P997" si="1000">IF(LEN($C997)&gt;0,H997-E997,"")</f>
        <v>-75777.39095</v>
      </c>
      <c r="O997" s="6">
        <f t="shared" si="1000"/>
        <v>-2.535053111</v>
      </c>
      <c r="P997" s="6">
        <f t="shared" si="1000"/>
        <v>-0.9324017969</v>
      </c>
      <c r="Q997" s="6"/>
      <c r="R997" s="6"/>
      <c r="S997" s="6"/>
      <c r="T997" s="6"/>
      <c r="U997" s="6"/>
      <c r="V997" s="6"/>
      <c r="W997" s="6"/>
      <c r="X997" s="6"/>
      <c r="Y997" s="6"/>
      <c r="Z997" s="6"/>
      <c r="AA997" s="6"/>
      <c r="AB997" s="6"/>
      <c r="AC997" s="6"/>
      <c r="AD997" s="6"/>
      <c r="AE997" s="6"/>
      <c r="AF997" s="6"/>
      <c r="AG997" s="6"/>
    </row>
    <row r="998" ht="14.25" customHeight="1">
      <c r="A998" s="6"/>
      <c r="B998" s="6"/>
      <c r="C998" s="6">
        <v>991.0</v>
      </c>
      <c r="D998" s="6"/>
      <c r="E998" s="6">
        <v>6460454.111529285</v>
      </c>
      <c r="F998" s="6">
        <v>442.13601146490527</v>
      </c>
      <c r="G998" s="6">
        <v>5.328137792869515</v>
      </c>
      <c r="H998" s="6">
        <v>6377463.396918664</v>
      </c>
      <c r="I998" s="6">
        <v>439.85493527447693</v>
      </c>
      <c r="J998" s="6">
        <v>3.8494749193623856</v>
      </c>
      <c r="K998" s="6"/>
      <c r="L998" s="6"/>
      <c r="M998" s="6"/>
      <c r="N998" s="6">
        <f t="shared" ref="N998:P998" si="1001">IF(LEN($C998)&gt;0,H998-E998,"")</f>
        <v>-82990.71461</v>
      </c>
      <c r="O998" s="6">
        <f t="shared" si="1001"/>
        <v>-2.28107619</v>
      </c>
      <c r="P998" s="6">
        <f t="shared" si="1001"/>
        <v>-1.478662874</v>
      </c>
      <c r="Q998" s="6"/>
      <c r="R998" s="6"/>
      <c r="S998" s="6"/>
      <c r="T998" s="6"/>
      <c r="U998" s="6"/>
      <c r="V998" s="6"/>
      <c r="W998" s="6"/>
      <c r="X998" s="6"/>
      <c r="Y998" s="6"/>
      <c r="Z998" s="6"/>
      <c r="AA998" s="6"/>
      <c r="AB998" s="6"/>
      <c r="AC998" s="6"/>
      <c r="AD998" s="6"/>
      <c r="AE998" s="6"/>
      <c r="AF998" s="6"/>
      <c r="AG998" s="6"/>
    </row>
    <row r="999" ht="14.25" customHeight="1">
      <c r="A999" s="6"/>
      <c r="B999" s="6"/>
      <c r="C999" s="6">
        <v>992.0</v>
      </c>
      <c r="D999" s="6"/>
      <c r="E999" s="6">
        <v>7271171.735963131</v>
      </c>
      <c r="F999" s="6">
        <v>436.86088340197875</v>
      </c>
      <c r="G999" s="6">
        <v>4.934356602863024</v>
      </c>
      <c r="H999" s="6">
        <v>7199507.247207611</v>
      </c>
      <c r="I999" s="6">
        <v>433.48605476004695</v>
      </c>
      <c r="J999" s="6">
        <v>3.945605216928163</v>
      </c>
      <c r="K999" s="6"/>
      <c r="L999" s="6"/>
      <c r="M999" s="6"/>
      <c r="N999" s="6">
        <f t="shared" ref="N999:P999" si="1002">IF(LEN($C999)&gt;0,H999-E999,"")</f>
        <v>-71664.48876</v>
      </c>
      <c r="O999" s="6">
        <f t="shared" si="1002"/>
        <v>-3.374828642</v>
      </c>
      <c r="P999" s="6">
        <f t="shared" si="1002"/>
        <v>-0.9887513859</v>
      </c>
      <c r="Q999" s="6"/>
      <c r="R999" s="6"/>
      <c r="S999" s="6"/>
      <c r="T999" s="6"/>
      <c r="U999" s="6"/>
      <c r="V999" s="6"/>
      <c r="W999" s="6"/>
      <c r="X999" s="6"/>
      <c r="Y999" s="6"/>
      <c r="Z999" s="6"/>
      <c r="AA999" s="6"/>
      <c r="AB999" s="6"/>
      <c r="AC999" s="6"/>
      <c r="AD999" s="6"/>
      <c r="AE999" s="6"/>
      <c r="AF999" s="6"/>
      <c r="AG999" s="6"/>
    </row>
    <row r="1000" ht="14.25" customHeight="1">
      <c r="A1000" s="6"/>
      <c r="B1000" s="6"/>
      <c r="C1000" s="6">
        <v>993.0</v>
      </c>
      <c r="D1000" s="6"/>
      <c r="E1000" s="6">
        <v>8430790.438852923</v>
      </c>
      <c r="F1000" s="6">
        <v>469.7135726082321</v>
      </c>
      <c r="G1000" s="6">
        <v>4.189983807296566</v>
      </c>
      <c r="H1000" s="6">
        <v>8336085.443847981</v>
      </c>
      <c r="I1000" s="6">
        <v>464.5040514074598</v>
      </c>
      <c r="J1000" s="6">
        <v>3.1817348950636433</v>
      </c>
      <c r="K1000" s="6"/>
      <c r="L1000" s="6"/>
      <c r="M1000" s="6"/>
      <c r="N1000" s="6">
        <f t="shared" ref="N1000:P1000" si="1003">IF(LEN($C1000)&gt;0,H1000-E1000,"")</f>
        <v>-94704.995</v>
      </c>
      <c r="O1000" s="6">
        <f t="shared" si="1003"/>
        <v>-5.209521201</v>
      </c>
      <c r="P1000" s="6">
        <f t="shared" si="1003"/>
        <v>-1.008248912</v>
      </c>
      <c r="Q1000" s="6"/>
      <c r="R1000" s="6"/>
      <c r="S1000" s="6"/>
      <c r="T1000" s="6"/>
      <c r="U1000" s="6"/>
      <c r="V1000" s="6"/>
      <c r="W1000" s="6"/>
      <c r="X1000" s="6"/>
      <c r="Y1000" s="6"/>
      <c r="Z1000" s="6"/>
      <c r="AA1000" s="6"/>
      <c r="AB1000" s="6"/>
      <c r="AC1000" s="6"/>
      <c r="AD1000" s="6"/>
      <c r="AE1000" s="6"/>
      <c r="AF1000" s="6"/>
      <c r="AG1000" s="6"/>
    </row>
    <row r="1001" ht="14.25" customHeight="1">
      <c r="A1001" s="6"/>
      <c r="B1001" s="6"/>
      <c r="C1001" s="6">
        <v>994.0</v>
      </c>
      <c r="D1001" s="6"/>
      <c r="E1001" s="6">
        <v>8419244.188209368</v>
      </c>
      <c r="F1001" s="6">
        <v>492.3345673283229</v>
      </c>
      <c r="G1001" s="6">
        <v>4.905653887876768</v>
      </c>
      <c r="H1001" s="6">
        <v>8269520.0483275065</v>
      </c>
      <c r="I1001" s="6">
        <v>485.71096713031113</v>
      </c>
      <c r="J1001" s="6">
        <v>3.873000734524087</v>
      </c>
      <c r="K1001" s="6"/>
      <c r="L1001" s="6"/>
      <c r="M1001" s="6"/>
      <c r="N1001" s="6">
        <f t="shared" ref="N1001:P1001" si="1004">IF(LEN($C1001)&gt;0,H1001-E1001,"")</f>
        <v>-149724.1399</v>
      </c>
      <c r="O1001" s="6">
        <f t="shared" si="1004"/>
        <v>-6.623600198</v>
      </c>
      <c r="P1001" s="6">
        <f t="shared" si="1004"/>
        <v>-1.032653153</v>
      </c>
      <c r="Q1001" s="6"/>
      <c r="R1001" s="6"/>
      <c r="S1001" s="6"/>
      <c r="T1001" s="6"/>
      <c r="U1001" s="6"/>
      <c r="V1001" s="6"/>
      <c r="W1001" s="6"/>
      <c r="X1001" s="6"/>
      <c r="Y1001" s="6"/>
      <c r="Z1001" s="6"/>
      <c r="AA1001" s="6"/>
      <c r="AB1001" s="6"/>
      <c r="AC1001" s="6"/>
      <c r="AD1001" s="6"/>
      <c r="AE1001" s="6"/>
      <c r="AF1001" s="6"/>
      <c r="AG1001" s="6"/>
    </row>
    <row r="1002" ht="14.25" customHeight="1">
      <c r="A1002" s="6"/>
      <c r="B1002" s="6"/>
      <c r="C1002" s="6">
        <v>995.0</v>
      </c>
      <c r="D1002" s="6"/>
      <c r="E1002" s="6">
        <v>6912202.411936186</v>
      </c>
      <c r="F1002" s="6">
        <v>433.2971451157655</v>
      </c>
      <c r="G1002" s="6">
        <v>4.235619417537023</v>
      </c>
      <c r="H1002" s="6">
        <v>6842951.152400708</v>
      </c>
      <c r="I1002" s="6">
        <v>430.86474047084664</v>
      </c>
      <c r="J1002" s="6">
        <v>2.9043274749704224</v>
      </c>
      <c r="K1002" s="6"/>
      <c r="L1002" s="6"/>
      <c r="M1002" s="6"/>
      <c r="N1002" s="6">
        <f t="shared" ref="N1002:P1002" si="1005">IF(LEN($C1002)&gt;0,H1002-E1002,"")</f>
        <v>-69251.25954</v>
      </c>
      <c r="O1002" s="6">
        <f t="shared" si="1005"/>
        <v>-2.432404645</v>
      </c>
      <c r="P1002" s="6">
        <f t="shared" si="1005"/>
        <v>-1.331291943</v>
      </c>
      <c r="Q1002" s="6"/>
      <c r="R1002" s="6"/>
      <c r="S1002" s="6"/>
      <c r="T1002" s="6"/>
      <c r="U1002" s="6"/>
      <c r="V1002" s="6"/>
      <c r="W1002" s="6"/>
      <c r="X1002" s="6"/>
      <c r="Y1002" s="6"/>
      <c r="Z1002" s="6"/>
      <c r="AA1002" s="6"/>
      <c r="AB1002" s="6"/>
      <c r="AC1002" s="6"/>
      <c r="AD1002" s="6"/>
      <c r="AE1002" s="6"/>
      <c r="AF1002" s="6"/>
      <c r="AG1002" s="6"/>
    </row>
    <row r="1003" ht="14.25" customHeight="1">
      <c r="A1003" s="6"/>
      <c r="B1003" s="6"/>
      <c r="C1003" s="6">
        <v>996.0</v>
      </c>
      <c r="D1003" s="6"/>
      <c r="E1003" s="6">
        <v>7170279.540389033</v>
      </c>
      <c r="F1003" s="6">
        <v>462.5833584058311</v>
      </c>
      <c r="G1003" s="6">
        <v>6.378082085743058</v>
      </c>
      <c r="H1003" s="6">
        <v>7006470.554813534</v>
      </c>
      <c r="I1003" s="6">
        <v>456.76732970617354</v>
      </c>
      <c r="J1003" s="6">
        <v>4.164500756201373</v>
      </c>
      <c r="K1003" s="6"/>
      <c r="L1003" s="6"/>
      <c r="M1003" s="6"/>
      <c r="N1003" s="6">
        <f t="shared" ref="N1003:P1003" si="1006">IF(LEN($C1003)&gt;0,H1003-E1003,"")</f>
        <v>-163808.9856</v>
      </c>
      <c r="O1003" s="6">
        <f t="shared" si="1006"/>
        <v>-5.8160287</v>
      </c>
      <c r="P1003" s="6">
        <f t="shared" si="1006"/>
        <v>-2.21358133</v>
      </c>
      <c r="Q1003" s="6"/>
      <c r="R1003" s="6"/>
      <c r="S1003" s="6"/>
      <c r="T1003" s="6"/>
      <c r="U1003" s="6"/>
      <c r="V1003" s="6"/>
      <c r="W1003" s="6"/>
      <c r="X1003" s="6"/>
      <c r="Y1003" s="6"/>
      <c r="Z1003" s="6"/>
      <c r="AA1003" s="6"/>
      <c r="AB1003" s="6"/>
      <c r="AC1003" s="6"/>
      <c r="AD1003" s="6"/>
      <c r="AE1003" s="6"/>
      <c r="AF1003" s="6"/>
      <c r="AG1003" s="6"/>
    </row>
    <row r="1004" ht="14.25" customHeight="1">
      <c r="A1004" s="6"/>
      <c r="B1004" s="6"/>
      <c r="C1004" s="6">
        <v>997.0</v>
      </c>
      <c r="D1004" s="6"/>
      <c r="E1004" s="6">
        <v>7477006.7291680975</v>
      </c>
      <c r="F1004" s="6">
        <v>483.37466115819217</v>
      </c>
      <c r="G1004" s="6">
        <v>4.6074497692551155</v>
      </c>
      <c r="H1004" s="6">
        <v>7415547.062268055</v>
      </c>
      <c r="I1004" s="6">
        <v>481.32647991572924</v>
      </c>
      <c r="J1004" s="6">
        <v>3.589709967803058</v>
      </c>
      <c r="K1004" s="6"/>
      <c r="L1004" s="6"/>
      <c r="M1004" s="6"/>
      <c r="N1004" s="6">
        <f t="shared" ref="N1004:P1004" si="1007">IF(LEN($C1004)&gt;0,H1004-E1004,"")</f>
        <v>-61459.6669</v>
      </c>
      <c r="O1004" s="6">
        <f t="shared" si="1007"/>
        <v>-2.048181242</v>
      </c>
      <c r="P1004" s="6">
        <f t="shared" si="1007"/>
        <v>-1.017739801</v>
      </c>
      <c r="Q1004" s="6"/>
      <c r="R1004" s="6"/>
      <c r="S1004" s="6"/>
      <c r="T1004" s="6"/>
      <c r="U1004" s="6"/>
      <c r="V1004" s="6"/>
      <c r="W1004" s="6"/>
      <c r="X1004" s="6"/>
      <c r="Y1004" s="6"/>
      <c r="Z1004" s="6"/>
      <c r="AA1004" s="6"/>
      <c r="AB1004" s="6"/>
      <c r="AC1004" s="6"/>
      <c r="AD1004" s="6"/>
      <c r="AE1004" s="6"/>
      <c r="AF1004" s="6"/>
      <c r="AG1004" s="6"/>
    </row>
    <row r="1005" ht="14.25" customHeight="1">
      <c r="A1005" s="6"/>
      <c r="B1005" s="6"/>
      <c r="C1005" s="6">
        <v>998.0</v>
      </c>
      <c r="D1005" s="6"/>
      <c r="E1005" s="6">
        <v>6881587.9928828515</v>
      </c>
      <c r="F1005" s="6">
        <v>486.8464598414336</v>
      </c>
      <c r="G1005" s="6">
        <v>4.183120869646622</v>
      </c>
      <c r="H1005" s="6">
        <v>6716541.583326615</v>
      </c>
      <c r="I1005" s="6">
        <v>479.9943649778439</v>
      </c>
      <c r="J1005" s="6">
        <v>3.1162798861636682</v>
      </c>
      <c r="K1005" s="6"/>
      <c r="L1005" s="6"/>
      <c r="M1005" s="6"/>
      <c r="N1005" s="6">
        <f t="shared" ref="N1005:P1005" si="1008">IF(LEN($C1005)&gt;0,H1005-E1005,"")</f>
        <v>-165046.4096</v>
      </c>
      <c r="O1005" s="6">
        <f t="shared" si="1008"/>
        <v>-6.852094864</v>
      </c>
      <c r="P1005" s="6">
        <f t="shared" si="1008"/>
        <v>-1.066840983</v>
      </c>
      <c r="Q1005" s="6"/>
      <c r="R1005" s="6"/>
      <c r="S1005" s="6"/>
      <c r="T1005" s="6"/>
      <c r="U1005" s="6"/>
      <c r="V1005" s="6"/>
      <c r="W1005" s="6"/>
      <c r="X1005" s="6"/>
      <c r="Y1005" s="6"/>
      <c r="Z1005" s="6"/>
      <c r="AA1005" s="6"/>
      <c r="AB1005" s="6"/>
      <c r="AC1005" s="6"/>
      <c r="AD1005" s="6"/>
      <c r="AE1005" s="6"/>
      <c r="AF1005" s="6"/>
      <c r="AG1005" s="6"/>
    </row>
    <row r="1006" ht="14.25" customHeight="1">
      <c r="A1006" s="6"/>
      <c r="B1006" s="6"/>
      <c r="C1006" s="6">
        <v>999.0</v>
      </c>
      <c r="D1006" s="6"/>
      <c r="E1006" s="6">
        <v>7944587.781074236</v>
      </c>
      <c r="F1006" s="6">
        <v>465.9036979552691</v>
      </c>
      <c r="G1006" s="6">
        <v>4.423843134457374</v>
      </c>
      <c r="H1006" s="6">
        <v>7844152.851944003</v>
      </c>
      <c r="I1006" s="6">
        <v>461.32725317079684</v>
      </c>
      <c r="J1006" s="6">
        <v>2.9387342246853994</v>
      </c>
      <c r="K1006" s="6"/>
      <c r="L1006" s="6"/>
      <c r="M1006" s="6"/>
      <c r="N1006" s="6">
        <f t="shared" ref="N1006:P1006" si="1009">IF(LEN($C1006)&gt;0,H1006-E1006,"")</f>
        <v>-100434.9291</v>
      </c>
      <c r="O1006" s="6">
        <f t="shared" si="1009"/>
        <v>-4.576444784</v>
      </c>
      <c r="P1006" s="6">
        <f t="shared" si="1009"/>
        <v>-1.48510891</v>
      </c>
      <c r="Q1006" s="6"/>
      <c r="R1006" s="6"/>
      <c r="S1006" s="6"/>
      <c r="T1006" s="6"/>
      <c r="U1006" s="6"/>
      <c r="V1006" s="6"/>
      <c r="W1006" s="6"/>
      <c r="X1006" s="6"/>
      <c r="Y1006" s="6"/>
      <c r="Z1006" s="6"/>
      <c r="AA1006" s="6"/>
      <c r="AB1006" s="6"/>
      <c r="AC1006" s="6"/>
      <c r="AD1006" s="6"/>
      <c r="AE1006" s="6"/>
      <c r="AF1006" s="6"/>
      <c r="AG1006" s="6"/>
    </row>
    <row r="1007" ht="14.25" customHeight="1">
      <c r="A1007" s="6"/>
      <c r="B1007" s="6"/>
      <c r="C1007" s="6">
        <v>1000.0</v>
      </c>
      <c r="D1007" s="6"/>
      <c r="E1007" s="6">
        <v>7913571.787929132</v>
      </c>
      <c r="F1007" s="6">
        <v>456.90162802618534</v>
      </c>
      <c r="G1007" s="6">
        <v>5.964722590809075</v>
      </c>
      <c r="H1007" s="6">
        <v>7823048.581413553</v>
      </c>
      <c r="I1007" s="6">
        <v>452.92195052655194</v>
      </c>
      <c r="J1007" s="6">
        <v>4.988452742613159</v>
      </c>
      <c r="K1007" s="6"/>
      <c r="L1007" s="6"/>
      <c r="M1007" s="6"/>
      <c r="N1007" s="6">
        <f t="shared" ref="N1007:P1007" si="1010">IF(LEN($C1007)&gt;0,H1007-E1007,"")</f>
        <v>-90523.20652</v>
      </c>
      <c r="O1007" s="6">
        <f t="shared" si="1010"/>
        <v>-3.9796775</v>
      </c>
      <c r="P1007" s="6">
        <f t="shared" si="1010"/>
        <v>-0.9762698482</v>
      </c>
      <c r="Q1007" s="6"/>
      <c r="R1007" s="6"/>
      <c r="S1007" s="6"/>
      <c r="T1007" s="6"/>
      <c r="U1007" s="6"/>
      <c r="V1007" s="6"/>
      <c r="W1007" s="6"/>
      <c r="X1007" s="6"/>
      <c r="Y1007" s="6"/>
      <c r="Z1007" s="6"/>
      <c r="AA1007" s="6"/>
      <c r="AB1007" s="6"/>
      <c r="AC1007" s="6"/>
      <c r="AD1007" s="6"/>
      <c r="AE1007" s="6"/>
      <c r="AF1007" s="6"/>
      <c r="AG1007" s="6"/>
    </row>
    <row r="1008" ht="14.25" customHeight="1">
      <c r="A1008" s="6"/>
      <c r="B1008" s="6"/>
      <c r="C1008" s="6">
        <v>1001.0</v>
      </c>
      <c r="D1008" s="6"/>
      <c r="E1008" s="6">
        <v>7125197.636858634</v>
      </c>
      <c r="F1008" s="6">
        <v>442.6491767237607</v>
      </c>
      <c r="G1008" s="6">
        <v>3.699840265817322</v>
      </c>
      <c r="H1008" s="6">
        <v>7086279.421254029</v>
      </c>
      <c r="I1008" s="6">
        <v>440.44515761061143</v>
      </c>
      <c r="J1008" s="6">
        <v>3.1357652513024092</v>
      </c>
      <c r="K1008" s="6"/>
      <c r="L1008" s="6"/>
      <c r="M1008" s="6"/>
      <c r="N1008" s="6">
        <f t="shared" ref="N1008:P1008" si="1011">IF(LEN($C1008)&gt;0,H1008-E1008,"")</f>
        <v>-38918.2156</v>
      </c>
      <c r="O1008" s="6">
        <f t="shared" si="1011"/>
        <v>-2.204019113</v>
      </c>
      <c r="P1008" s="6">
        <f t="shared" si="1011"/>
        <v>-0.5640750145</v>
      </c>
      <c r="Q1008" s="6"/>
      <c r="R1008" s="6"/>
      <c r="S1008" s="6"/>
      <c r="T1008" s="6"/>
      <c r="U1008" s="6"/>
      <c r="V1008" s="6"/>
      <c r="W1008" s="6"/>
      <c r="X1008" s="6"/>
      <c r="Y1008" s="6"/>
      <c r="Z1008" s="6"/>
      <c r="AA1008" s="6"/>
      <c r="AB1008" s="6"/>
      <c r="AC1008" s="6"/>
      <c r="AD1008" s="6"/>
      <c r="AE1008" s="6"/>
      <c r="AF1008" s="6"/>
      <c r="AG1008" s="6"/>
    </row>
    <row r="1009" ht="14.25" customHeight="1">
      <c r="A1009" s="6"/>
      <c r="B1009" s="6"/>
      <c r="C1009" s="6">
        <v>1002.0</v>
      </c>
      <c r="D1009" s="6"/>
      <c r="E1009" s="6">
        <v>5558257.347087384</v>
      </c>
      <c r="F1009" s="6">
        <v>440.9084122098442</v>
      </c>
      <c r="G1009" s="6">
        <v>5.164235878045794</v>
      </c>
      <c r="H1009" s="6">
        <v>5474770.288548725</v>
      </c>
      <c r="I1009" s="6">
        <v>437.98005919031704</v>
      </c>
      <c r="J1009" s="6">
        <v>3.9363660562545926</v>
      </c>
      <c r="K1009" s="6"/>
      <c r="L1009" s="6"/>
      <c r="M1009" s="6"/>
      <c r="N1009" s="6">
        <f t="shared" ref="N1009:P1009" si="1012">IF(LEN($C1009)&gt;0,H1009-E1009,"")</f>
        <v>-83487.05854</v>
      </c>
      <c r="O1009" s="6">
        <f t="shared" si="1012"/>
        <v>-2.92835302</v>
      </c>
      <c r="P1009" s="6">
        <f t="shared" si="1012"/>
        <v>-1.227869822</v>
      </c>
      <c r="Q1009" s="6"/>
      <c r="R1009" s="6"/>
      <c r="S1009" s="6"/>
      <c r="T1009" s="6"/>
      <c r="U1009" s="6"/>
      <c r="V1009" s="6"/>
      <c r="W1009" s="6"/>
      <c r="X1009" s="6"/>
      <c r="Y1009" s="6"/>
      <c r="Z1009" s="6"/>
      <c r="AA1009" s="6"/>
      <c r="AB1009" s="6"/>
      <c r="AC1009" s="6"/>
      <c r="AD1009" s="6"/>
      <c r="AE1009" s="6"/>
      <c r="AF1009" s="6"/>
      <c r="AG1009" s="6"/>
    </row>
    <row r="1010" ht="14.25" customHeight="1">
      <c r="A1010" s="6"/>
      <c r="B1010" s="6"/>
      <c r="C1010" s="6">
        <v>1003.0</v>
      </c>
      <c r="D1010" s="6"/>
      <c r="E1010" s="6">
        <v>6274288.0091971895</v>
      </c>
      <c r="F1010" s="6">
        <v>460.35439579113194</v>
      </c>
      <c r="G1010" s="6">
        <v>6.071292549030182</v>
      </c>
      <c r="H1010" s="6">
        <v>6156633.438206006</v>
      </c>
      <c r="I1010" s="6">
        <v>456.97120640040544</v>
      </c>
      <c r="J1010" s="6">
        <v>4.143552123867709</v>
      </c>
      <c r="K1010" s="6"/>
      <c r="L1010" s="6"/>
      <c r="M1010" s="6"/>
      <c r="N1010" s="6">
        <f t="shared" ref="N1010:P1010" si="1013">IF(LEN($C1010)&gt;0,H1010-E1010,"")</f>
        <v>-117654.571</v>
      </c>
      <c r="O1010" s="6">
        <f t="shared" si="1013"/>
        <v>-3.383189391</v>
      </c>
      <c r="P1010" s="6">
        <f t="shared" si="1013"/>
        <v>-1.927740425</v>
      </c>
      <c r="Q1010" s="6"/>
      <c r="R1010" s="6"/>
      <c r="S1010" s="6"/>
      <c r="T1010" s="6"/>
      <c r="U1010" s="6"/>
      <c r="V1010" s="6"/>
      <c r="W1010" s="6"/>
      <c r="X1010" s="6"/>
      <c r="Y1010" s="6"/>
      <c r="Z1010" s="6"/>
      <c r="AA1010" s="6"/>
      <c r="AB1010" s="6"/>
      <c r="AC1010" s="6"/>
      <c r="AD1010" s="6"/>
      <c r="AE1010" s="6"/>
      <c r="AF1010" s="6"/>
      <c r="AG1010" s="6"/>
    </row>
    <row r="1011" ht="14.25" customHeight="1">
      <c r="A1011" s="6"/>
      <c r="B1011" s="6"/>
      <c r="C1011" s="6">
        <v>1004.0</v>
      </c>
      <c r="D1011" s="6"/>
      <c r="E1011" s="6">
        <v>7717801.153929502</v>
      </c>
      <c r="F1011" s="6">
        <v>475.20967535446505</v>
      </c>
      <c r="G1011" s="6">
        <v>4.677605513666499</v>
      </c>
      <c r="H1011" s="6">
        <v>7665359.267447194</v>
      </c>
      <c r="I1011" s="6">
        <v>472.88541717952137</v>
      </c>
      <c r="J1011" s="6">
        <v>4.059209057027622</v>
      </c>
      <c r="K1011" s="6"/>
      <c r="L1011" s="6"/>
      <c r="M1011" s="6"/>
      <c r="N1011" s="6">
        <f t="shared" ref="N1011:P1011" si="1014">IF(LEN($C1011)&gt;0,H1011-E1011,"")</f>
        <v>-52441.88648</v>
      </c>
      <c r="O1011" s="6">
        <f t="shared" si="1014"/>
        <v>-2.324258175</v>
      </c>
      <c r="P1011" s="6">
        <f t="shared" si="1014"/>
        <v>-0.6183964566</v>
      </c>
      <c r="Q1011" s="6"/>
      <c r="R1011" s="6"/>
      <c r="S1011" s="6"/>
      <c r="T1011" s="6"/>
      <c r="U1011" s="6"/>
      <c r="V1011" s="6"/>
      <c r="W1011" s="6"/>
      <c r="X1011" s="6"/>
      <c r="Y1011" s="6"/>
      <c r="Z1011" s="6"/>
      <c r="AA1011" s="6"/>
      <c r="AB1011" s="6"/>
      <c r="AC1011" s="6"/>
      <c r="AD1011" s="6"/>
      <c r="AE1011" s="6"/>
      <c r="AF1011" s="6"/>
      <c r="AG1011" s="6"/>
    </row>
    <row r="1012" ht="14.25" customHeight="1">
      <c r="A1012" s="6"/>
      <c r="B1012" s="6"/>
      <c r="C1012" s="6">
        <v>1005.0</v>
      </c>
      <c r="D1012" s="6"/>
      <c r="E1012" s="6">
        <v>7164049.57823907</v>
      </c>
      <c r="F1012" s="6">
        <v>459.7721734160711</v>
      </c>
      <c r="G1012" s="6">
        <v>4.440966036554766</v>
      </c>
      <c r="H1012" s="6">
        <v>7048580.7217324665</v>
      </c>
      <c r="I1012" s="6">
        <v>455.3296440911048</v>
      </c>
      <c r="J1012" s="6">
        <v>3.2383500044986846</v>
      </c>
      <c r="K1012" s="6"/>
      <c r="L1012" s="6"/>
      <c r="M1012" s="6"/>
      <c r="N1012" s="6">
        <f t="shared" ref="N1012:P1012" si="1015">IF(LEN($C1012)&gt;0,H1012-E1012,"")</f>
        <v>-115468.8565</v>
      </c>
      <c r="O1012" s="6">
        <f t="shared" si="1015"/>
        <v>-4.442529325</v>
      </c>
      <c r="P1012" s="6">
        <f t="shared" si="1015"/>
        <v>-1.202616032</v>
      </c>
      <c r="Q1012" s="6"/>
      <c r="R1012" s="6"/>
      <c r="S1012" s="6"/>
      <c r="T1012" s="6"/>
      <c r="U1012" s="6"/>
      <c r="V1012" s="6"/>
      <c r="W1012" s="6"/>
      <c r="X1012" s="6"/>
      <c r="Y1012" s="6"/>
      <c r="Z1012" s="6"/>
      <c r="AA1012" s="6"/>
      <c r="AB1012" s="6"/>
      <c r="AC1012" s="6"/>
      <c r="AD1012" s="6"/>
      <c r="AE1012" s="6"/>
      <c r="AF1012" s="6"/>
      <c r="AG1012" s="6"/>
    </row>
    <row r="1013" ht="14.25" customHeight="1">
      <c r="A1013" s="6"/>
      <c r="B1013" s="6"/>
      <c r="C1013" s="6">
        <v>1006.0</v>
      </c>
      <c r="D1013" s="6"/>
      <c r="E1013" s="6">
        <v>9154615.890145706</v>
      </c>
      <c r="F1013" s="6">
        <v>450.7647519618377</v>
      </c>
      <c r="G1013" s="6">
        <v>6.258791143764288</v>
      </c>
      <c r="H1013" s="6">
        <v>9012667.577102125</v>
      </c>
      <c r="I1013" s="6">
        <v>445.1933451602296</v>
      </c>
      <c r="J1013" s="6">
        <v>5.023196439957619</v>
      </c>
      <c r="K1013" s="6"/>
      <c r="L1013" s="6"/>
      <c r="M1013" s="6"/>
      <c r="N1013" s="6">
        <f t="shared" ref="N1013:P1013" si="1016">IF(LEN($C1013)&gt;0,H1013-E1013,"")</f>
        <v>-141948.313</v>
      </c>
      <c r="O1013" s="6">
        <f t="shared" si="1016"/>
        <v>-5.571406802</v>
      </c>
      <c r="P1013" s="6">
        <f t="shared" si="1016"/>
        <v>-1.235594704</v>
      </c>
      <c r="Q1013" s="6"/>
      <c r="R1013" s="6"/>
      <c r="S1013" s="6"/>
      <c r="T1013" s="6"/>
      <c r="U1013" s="6"/>
      <c r="V1013" s="6"/>
      <c r="W1013" s="6"/>
      <c r="X1013" s="6"/>
      <c r="Y1013" s="6"/>
      <c r="Z1013" s="6"/>
      <c r="AA1013" s="6"/>
      <c r="AB1013" s="6"/>
      <c r="AC1013" s="6"/>
      <c r="AD1013" s="6"/>
      <c r="AE1013" s="6"/>
      <c r="AF1013" s="6"/>
      <c r="AG1013" s="6"/>
    </row>
    <row r="1014" ht="14.25" customHeight="1">
      <c r="A1014" s="6"/>
      <c r="B1014" s="6"/>
      <c r="C1014" s="6">
        <v>1007.0</v>
      </c>
      <c r="D1014" s="6"/>
      <c r="E1014" s="6">
        <v>7408249.673064047</v>
      </c>
      <c r="F1014" s="6">
        <v>445.91330700822994</v>
      </c>
      <c r="G1014" s="6">
        <v>5.085703393765059</v>
      </c>
      <c r="H1014" s="6">
        <v>7330586.087522984</v>
      </c>
      <c r="I1014" s="6">
        <v>442.71863019833717</v>
      </c>
      <c r="J1014" s="6">
        <v>3.896992178615514</v>
      </c>
      <c r="K1014" s="6"/>
      <c r="L1014" s="6"/>
      <c r="M1014" s="6"/>
      <c r="N1014" s="6">
        <f t="shared" ref="N1014:P1014" si="1017">IF(LEN($C1014)&gt;0,H1014-E1014,"")</f>
        <v>-77663.58554</v>
      </c>
      <c r="O1014" s="6">
        <f t="shared" si="1017"/>
        <v>-3.19467681</v>
      </c>
      <c r="P1014" s="6">
        <f t="shared" si="1017"/>
        <v>-1.188711215</v>
      </c>
      <c r="Q1014" s="6"/>
      <c r="R1014" s="6"/>
      <c r="S1014" s="6"/>
      <c r="T1014" s="6"/>
      <c r="U1014" s="6"/>
      <c r="V1014" s="6"/>
      <c r="W1014" s="6"/>
      <c r="X1014" s="6"/>
      <c r="Y1014" s="6"/>
      <c r="Z1014" s="6"/>
      <c r="AA1014" s="6"/>
      <c r="AB1014" s="6"/>
      <c r="AC1014" s="6"/>
      <c r="AD1014" s="6"/>
      <c r="AE1014" s="6"/>
      <c r="AF1014" s="6"/>
      <c r="AG1014" s="6"/>
    </row>
    <row r="1015" ht="14.25" customHeight="1">
      <c r="A1015" s="6"/>
      <c r="B1015" s="6"/>
      <c r="C1015" s="6">
        <v>1008.0</v>
      </c>
      <c r="D1015" s="6"/>
      <c r="E1015" s="6">
        <v>8768619.393568201</v>
      </c>
      <c r="F1015" s="6">
        <v>438.32282829218104</v>
      </c>
      <c r="G1015" s="6">
        <v>5.330517828615181</v>
      </c>
      <c r="H1015" s="6">
        <v>8591342.417633824</v>
      </c>
      <c r="I1015" s="6">
        <v>432.6007546704989</v>
      </c>
      <c r="J1015" s="6">
        <v>3.442663300962531</v>
      </c>
      <c r="K1015" s="6"/>
      <c r="L1015" s="6"/>
      <c r="M1015" s="6"/>
      <c r="N1015" s="6">
        <f t="shared" ref="N1015:P1015" si="1018">IF(LEN($C1015)&gt;0,H1015-E1015,"")</f>
        <v>-177276.9759</v>
      </c>
      <c r="O1015" s="6">
        <f t="shared" si="1018"/>
        <v>-5.722073622</v>
      </c>
      <c r="P1015" s="6">
        <f t="shared" si="1018"/>
        <v>-1.887854528</v>
      </c>
      <c r="Q1015" s="6"/>
      <c r="R1015" s="6"/>
      <c r="S1015" s="6"/>
      <c r="T1015" s="6"/>
      <c r="U1015" s="6"/>
      <c r="V1015" s="6"/>
      <c r="W1015" s="6"/>
      <c r="X1015" s="6"/>
      <c r="Y1015" s="6"/>
      <c r="Z1015" s="6"/>
      <c r="AA1015" s="6"/>
      <c r="AB1015" s="6"/>
      <c r="AC1015" s="6"/>
      <c r="AD1015" s="6"/>
      <c r="AE1015" s="6"/>
      <c r="AF1015" s="6"/>
      <c r="AG1015" s="6"/>
    </row>
    <row r="1016" ht="14.25" customHeight="1">
      <c r="A1016" s="6"/>
      <c r="B1016" s="6"/>
      <c r="C1016" s="6">
        <v>1009.0</v>
      </c>
      <c r="D1016" s="6"/>
      <c r="E1016" s="6">
        <v>8496651.707999175</v>
      </c>
      <c r="F1016" s="6">
        <v>484.33895070052444</v>
      </c>
      <c r="G1016" s="6">
        <v>5.340676346107199</v>
      </c>
      <c r="H1016" s="6">
        <v>8347874.485926379</v>
      </c>
      <c r="I1016" s="6">
        <v>479.22336372040377</v>
      </c>
      <c r="J1016" s="6">
        <v>4.011263321062259</v>
      </c>
      <c r="K1016" s="6"/>
      <c r="L1016" s="6"/>
      <c r="M1016" s="6"/>
      <c r="N1016" s="6">
        <f t="shared" ref="N1016:P1016" si="1019">IF(LEN($C1016)&gt;0,H1016-E1016,"")</f>
        <v>-148777.2221</v>
      </c>
      <c r="O1016" s="6">
        <f t="shared" si="1019"/>
        <v>-5.11558698</v>
      </c>
      <c r="P1016" s="6">
        <f t="shared" si="1019"/>
        <v>-1.329413025</v>
      </c>
      <c r="Q1016" s="6"/>
      <c r="R1016" s="6"/>
      <c r="S1016" s="6"/>
      <c r="T1016" s="6"/>
      <c r="U1016" s="6"/>
      <c r="V1016" s="6"/>
      <c r="W1016" s="6"/>
      <c r="X1016" s="6"/>
      <c r="Y1016" s="6"/>
      <c r="Z1016" s="6"/>
      <c r="AA1016" s="6"/>
      <c r="AB1016" s="6"/>
      <c r="AC1016" s="6"/>
      <c r="AD1016" s="6"/>
      <c r="AE1016" s="6"/>
      <c r="AF1016" s="6"/>
      <c r="AG1016" s="6"/>
    </row>
    <row r="1017" ht="14.25" customHeight="1">
      <c r="A1017" s="6"/>
      <c r="B1017" s="6"/>
      <c r="C1017" s="6">
        <v>1010.0</v>
      </c>
      <c r="D1017" s="6"/>
      <c r="E1017" s="6">
        <v>7504622.761242374</v>
      </c>
      <c r="F1017" s="6">
        <v>487.58785054439164</v>
      </c>
      <c r="G1017" s="6">
        <v>4.799564321368168</v>
      </c>
      <c r="H1017" s="6">
        <v>7332304.505661606</v>
      </c>
      <c r="I1017" s="6">
        <v>479.4920599760991</v>
      </c>
      <c r="J1017" s="6">
        <v>3.1229186697681888</v>
      </c>
      <c r="K1017" s="6"/>
      <c r="L1017" s="6"/>
      <c r="M1017" s="6"/>
      <c r="N1017" s="6">
        <f t="shared" ref="N1017:P1017" si="1020">IF(LEN($C1017)&gt;0,H1017-E1017,"")</f>
        <v>-172318.2556</v>
      </c>
      <c r="O1017" s="6">
        <f t="shared" si="1020"/>
        <v>-8.095790568</v>
      </c>
      <c r="P1017" s="6">
        <f t="shared" si="1020"/>
        <v>-1.676645652</v>
      </c>
      <c r="Q1017" s="6"/>
      <c r="R1017" s="6"/>
      <c r="S1017" s="6"/>
      <c r="T1017" s="6"/>
      <c r="U1017" s="6"/>
      <c r="V1017" s="6"/>
      <c r="W1017" s="6"/>
      <c r="X1017" s="6"/>
      <c r="Y1017" s="6"/>
      <c r="Z1017" s="6"/>
      <c r="AA1017" s="6"/>
      <c r="AB1017" s="6"/>
      <c r="AC1017" s="6"/>
      <c r="AD1017" s="6"/>
      <c r="AE1017" s="6"/>
      <c r="AF1017" s="6"/>
      <c r="AG1017" s="6"/>
    </row>
    <row r="1018" ht="14.25" customHeight="1">
      <c r="A1018" s="6"/>
      <c r="B1018" s="6"/>
      <c r="C1018" s="6">
        <v>1011.0</v>
      </c>
      <c r="D1018" s="6"/>
      <c r="E1018" s="6">
        <v>6861490.3373026615</v>
      </c>
      <c r="F1018" s="6">
        <v>469.9682832207044</v>
      </c>
      <c r="G1018" s="6">
        <v>5.040782828423585</v>
      </c>
      <c r="H1018" s="6">
        <v>6732935.1515472</v>
      </c>
      <c r="I1018" s="6">
        <v>465.8663134597923</v>
      </c>
      <c r="J1018" s="6">
        <v>3.3361088944191972</v>
      </c>
      <c r="K1018" s="6"/>
      <c r="L1018" s="6"/>
      <c r="M1018" s="6"/>
      <c r="N1018" s="6">
        <f t="shared" ref="N1018:P1018" si="1021">IF(LEN($C1018)&gt;0,H1018-E1018,"")</f>
        <v>-128555.1858</v>
      </c>
      <c r="O1018" s="6">
        <f t="shared" si="1021"/>
        <v>-4.101969761</v>
      </c>
      <c r="P1018" s="6">
        <f t="shared" si="1021"/>
        <v>-1.704673934</v>
      </c>
      <c r="Q1018" s="6"/>
      <c r="R1018" s="6"/>
      <c r="S1018" s="6"/>
      <c r="T1018" s="6"/>
      <c r="U1018" s="6"/>
      <c r="V1018" s="6"/>
      <c r="W1018" s="6"/>
      <c r="X1018" s="6"/>
      <c r="Y1018" s="6"/>
      <c r="Z1018" s="6"/>
      <c r="AA1018" s="6"/>
      <c r="AB1018" s="6"/>
      <c r="AC1018" s="6"/>
      <c r="AD1018" s="6"/>
      <c r="AE1018" s="6"/>
      <c r="AF1018" s="6"/>
      <c r="AG1018" s="6"/>
    </row>
    <row r="1019" ht="14.25" customHeight="1">
      <c r="A1019" s="6"/>
      <c r="B1019" s="6"/>
      <c r="C1019" s="6">
        <v>1012.0</v>
      </c>
      <c r="D1019" s="6"/>
      <c r="E1019" s="6">
        <v>7253798.379010315</v>
      </c>
      <c r="F1019" s="6">
        <v>455.0978939916435</v>
      </c>
      <c r="G1019" s="6">
        <v>5.06286175937084</v>
      </c>
      <c r="H1019" s="6">
        <v>7096283.653171297</v>
      </c>
      <c r="I1019" s="6">
        <v>447.86916071107765</v>
      </c>
      <c r="J1019" s="6">
        <v>3.557988579463287</v>
      </c>
      <c r="K1019" s="6"/>
      <c r="L1019" s="6"/>
      <c r="M1019" s="6"/>
      <c r="N1019" s="6">
        <f t="shared" ref="N1019:P1019" si="1022">IF(LEN($C1019)&gt;0,H1019-E1019,"")</f>
        <v>-157514.7258</v>
      </c>
      <c r="O1019" s="6">
        <f t="shared" si="1022"/>
        <v>-7.228733281</v>
      </c>
      <c r="P1019" s="6">
        <f t="shared" si="1022"/>
        <v>-1.50487318</v>
      </c>
      <c r="Q1019" s="6"/>
      <c r="R1019" s="6"/>
      <c r="S1019" s="6"/>
      <c r="T1019" s="6"/>
      <c r="U1019" s="6"/>
      <c r="V1019" s="6"/>
      <c r="W1019" s="6"/>
      <c r="X1019" s="6"/>
      <c r="Y1019" s="6"/>
      <c r="Z1019" s="6"/>
      <c r="AA1019" s="6"/>
      <c r="AB1019" s="6"/>
      <c r="AC1019" s="6"/>
      <c r="AD1019" s="6"/>
      <c r="AE1019" s="6"/>
      <c r="AF1019" s="6"/>
      <c r="AG1019" s="6"/>
    </row>
    <row r="1020" ht="14.25" customHeight="1">
      <c r="A1020" s="6"/>
      <c r="B1020" s="6"/>
      <c r="C1020" s="6">
        <v>1013.0</v>
      </c>
      <c r="D1020" s="6"/>
      <c r="E1020" s="6">
        <v>6720169.684083579</v>
      </c>
      <c r="F1020" s="6">
        <v>447.3751296047812</v>
      </c>
      <c r="G1020" s="6">
        <v>4.767082729229983</v>
      </c>
      <c r="H1020" s="6">
        <v>6687350.205605625</v>
      </c>
      <c r="I1020" s="6">
        <v>445.9450159654998</v>
      </c>
      <c r="J1020" s="6">
        <v>4.319616807825894</v>
      </c>
      <c r="K1020" s="6"/>
      <c r="L1020" s="6"/>
      <c r="M1020" s="6"/>
      <c r="N1020" s="6">
        <f t="shared" ref="N1020:P1020" si="1023">IF(LEN($C1020)&gt;0,H1020-E1020,"")</f>
        <v>-32819.47848</v>
      </c>
      <c r="O1020" s="6">
        <f t="shared" si="1023"/>
        <v>-1.430113639</v>
      </c>
      <c r="P1020" s="6">
        <f t="shared" si="1023"/>
        <v>-0.4474659214</v>
      </c>
      <c r="Q1020" s="6"/>
      <c r="R1020" s="6"/>
      <c r="S1020" s="6"/>
      <c r="T1020" s="6"/>
      <c r="U1020" s="6"/>
      <c r="V1020" s="6"/>
      <c r="W1020" s="6"/>
      <c r="X1020" s="6"/>
      <c r="Y1020" s="6"/>
      <c r="Z1020" s="6"/>
      <c r="AA1020" s="6"/>
      <c r="AB1020" s="6"/>
      <c r="AC1020" s="6"/>
      <c r="AD1020" s="6"/>
      <c r="AE1020" s="6"/>
      <c r="AF1020" s="6"/>
      <c r="AG1020" s="6"/>
    </row>
    <row r="1021" ht="14.25" customHeight="1">
      <c r="A1021" s="6"/>
      <c r="B1021" s="6"/>
      <c r="C1021" s="6">
        <v>1014.0</v>
      </c>
      <c r="D1021" s="6"/>
      <c r="E1021" s="6">
        <v>7921436.732696784</v>
      </c>
      <c r="F1021" s="6">
        <v>462.7181560763237</v>
      </c>
      <c r="G1021" s="6">
        <v>4.870261277737958</v>
      </c>
      <c r="H1021" s="6">
        <v>7790132.283634786</v>
      </c>
      <c r="I1021" s="6">
        <v>454.5101991103468</v>
      </c>
      <c r="J1021" s="6">
        <v>3.665201305516435</v>
      </c>
      <c r="K1021" s="6"/>
      <c r="L1021" s="6"/>
      <c r="M1021" s="6"/>
      <c r="N1021" s="6">
        <f t="shared" ref="N1021:P1021" si="1024">IF(LEN($C1021)&gt;0,H1021-E1021,"")</f>
        <v>-131304.4491</v>
      </c>
      <c r="O1021" s="6">
        <f t="shared" si="1024"/>
        <v>-8.207956966</v>
      </c>
      <c r="P1021" s="6">
        <f t="shared" si="1024"/>
        <v>-1.205059972</v>
      </c>
      <c r="Q1021" s="6"/>
      <c r="R1021" s="6"/>
      <c r="S1021" s="6"/>
      <c r="T1021" s="6"/>
      <c r="U1021" s="6"/>
      <c r="V1021" s="6"/>
      <c r="W1021" s="6"/>
      <c r="X1021" s="6"/>
      <c r="Y1021" s="6"/>
      <c r="Z1021" s="6"/>
      <c r="AA1021" s="6"/>
      <c r="AB1021" s="6"/>
      <c r="AC1021" s="6"/>
      <c r="AD1021" s="6"/>
      <c r="AE1021" s="6"/>
      <c r="AF1021" s="6"/>
      <c r="AG1021" s="6"/>
    </row>
    <row r="1022" ht="14.25" customHeight="1">
      <c r="A1022" s="6"/>
      <c r="B1022" s="6"/>
      <c r="C1022" s="6">
        <v>1015.0</v>
      </c>
      <c r="D1022" s="6"/>
      <c r="E1022" s="6">
        <v>7644879.855720006</v>
      </c>
      <c r="F1022" s="6">
        <v>472.62187892541306</v>
      </c>
      <c r="G1022" s="6">
        <v>6.241904267334477</v>
      </c>
      <c r="H1022" s="6">
        <v>7487174.614258613</v>
      </c>
      <c r="I1022" s="6">
        <v>466.7349581811562</v>
      </c>
      <c r="J1022" s="6">
        <v>4.391657558593413</v>
      </c>
      <c r="K1022" s="6"/>
      <c r="L1022" s="6"/>
      <c r="M1022" s="6"/>
      <c r="N1022" s="6">
        <f t="shared" ref="N1022:P1022" si="1025">IF(LEN($C1022)&gt;0,H1022-E1022,"")</f>
        <v>-157705.2415</v>
      </c>
      <c r="O1022" s="6">
        <f t="shared" si="1025"/>
        <v>-5.886920744</v>
      </c>
      <c r="P1022" s="6">
        <f t="shared" si="1025"/>
        <v>-1.850246709</v>
      </c>
      <c r="Q1022" s="6"/>
      <c r="R1022" s="6"/>
      <c r="S1022" s="6"/>
      <c r="T1022" s="6"/>
      <c r="U1022" s="6"/>
      <c r="V1022" s="6"/>
      <c r="W1022" s="6"/>
      <c r="X1022" s="6"/>
      <c r="Y1022" s="6"/>
      <c r="Z1022" s="6"/>
      <c r="AA1022" s="6"/>
      <c r="AB1022" s="6"/>
      <c r="AC1022" s="6"/>
      <c r="AD1022" s="6"/>
      <c r="AE1022" s="6"/>
      <c r="AF1022" s="6"/>
      <c r="AG1022" s="6"/>
    </row>
    <row r="1023" ht="14.25" customHeight="1">
      <c r="A1023" s="6"/>
      <c r="B1023" s="6"/>
      <c r="C1023" s="6">
        <v>1016.0</v>
      </c>
      <c r="D1023" s="6"/>
      <c r="E1023" s="6">
        <v>8038972.426264058</v>
      </c>
      <c r="F1023" s="6">
        <v>452.59722796183945</v>
      </c>
      <c r="G1023" s="6">
        <v>5.724927608215602</v>
      </c>
      <c r="H1023" s="6">
        <v>7925507.817932839</v>
      </c>
      <c r="I1023" s="6">
        <v>448.75016890437024</v>
      </c>
      <c r="J1023" s="6">
        <v>4.783258859255834</v>
      </c>
      <c r="K1023" s="6"/>
      <c r="L1023" s="6"/>
      <c r="M1023" s="6"/>
      <c r="N1023" s="6">
        <f t="shared" ref="N1023:P1023" si="1026">IF(LEN($C1023)&gt;0,H1023-E1023,"")</f>
        <v>-113464.6083</v>
      </c>
      <c r="O1023" s="6">
        <f t="shared" si="1026"/>
        <v>-3.847059057</v>
      </c>
      <c r="P1023" s="6">
        <f t="shared" si="1026"/>
        <v>-0.941668749</v>
      </c>
      <c r="Q1023" s="6"/>
      <c r="R1023" s="6"/>
      <c r="S1023" s="6"/>
      <c r="T1023" s="6"/>
      <c r="U1023" s="6"/>
      <c r="V1023" s="6"/>
      <c r="W1023" s="6"/>
      <c r="X1023" s="6"/>
      <c r="Y1023" s="6"/>
      <c r="Z1023" s="6"/>
      <c r="AA1023" s="6"/>
      <c r="AB1023" s="6"/>
      <c r="AC1023" s="6"/>
      <c r="AD1023" s="6"/>
      <c r="AE1023" s="6"/>
      <c r="AF1023" s="6"/>
      <c r="AG1023" s="6"/>
    </row>
    <row r="1024" ht="14.25" customHeight="1">
      <c r="A1024" s="6"/>
      <c r="B1024" s="6"/>
      <c r="C1024" s="6">
        <v>1017.0</v>
      </c>
      <c r="D1024" s="6"/>
      <c r="E1024" s="6">
        <v>9237110.226639887</v>
      </c>
      <c r="F1024" s="6">
        <v>487.2199770630286</v>
      </c>
      <c r="G1024" s="6">
        <v>4.962817726838103</v>
      </c>
      <c r="H1024" s="6">
        <v>9041432.057748029</v>
      </c>
      <c r="I1024" s="6">
        <v>478.4634362607771</v>
      </c>
      <c r="J1024" s="6">
        <v>3.8075942089042902</v>
      </c>
      <c r="K1024" s="6"/>
      <c r="L1024" s="6"/>
      <c r="M1024" s="6"/>
      <c r="N1024" s="6">
        <f t="shared" ref="N1024:P1024" si="1027">IF(LEN($C1024)&gt;0,H1024-E1024,"")</f>
        <v>-195678.1689</v>
      </c>
      <c r="O1024" s="6">
        <f t="shared" si="1027"/>
        <v>-8.756540802</v>
      </c>
      <c r="P1024" s="6">
        <f t="shared" si="1027"/>
        <v>-1.155223518</v>
      </c>
      <c r="Q1024" s="6"/>
      <c r="R1024" s="6"/>
      <c r="S1024" s="6"/>
      <c r="T1024" s="6"/>
      <c r="U1024" s="6"/>
      <c r="V1024" s="6"/>
      <c r="W1024" s="6"/>
      <c r="X1024" s="6"/>
      <c r="Y1024" s="6"/>
      <c r="Z1024" s="6"/>
      <c r="AA1024" s="6"/>
      <c r="AB1024" s="6"/>
      <c r="AC1024" s="6"/>
      <c r="AD1024" s="6"/>
      <c r="AE1024" s="6"/>
      <c r="AF1024" s="6"/>
      <c r="AG1024" s="6"/>
    </row>
    <row r="1025" ht="14.25" customHeight="1">
      <c r="A1025" s="6"/>
      <c r="B1025" s="6"/>
      <c r="C1025" s="6">
        <v>1018.0</v>
      </c>
      <c r="D1025" s="6"/>
      <c r="E1025" s="6">
        <v>7356609.907559432</v>
      </c>
      <c r="F1025" s="6">
        <v>462.50702138990454</v>
      </c>
      <c r="G1025" s="6">
        <v>5.259156361073689</v>
      </c>
      <c r="H1025" s="6">
        <v>7238726.049106891</v>
      </c>
      <c r="I1025" s="6">
        <v>457.1237453182172</v>
      </c>
      <c r="J1025" s="6">
        <v>4.181890953201769</v>
      </c>
      <c r="K1025" s="6"/>
      <c r="L1025" s="6"/>
      <c r="M1025" s="6"/>
      <c r="N1025" s="6">
        <f t="shared" ref="N1025:P1025" si="1028">IF(LEN($C1025)&gt;0,H1025-E1025,"")</f>
        <v>-117883.8585</v>
      </c>
      <c r="O1025" s="6">
        <f t="shared" si="1028"/>
        <v>-5.383276072</v>
      </c>
      <c r="P1025" s="6">
        <f t="shared" si="1028"/>
        <v>-1.077265408</v>
      </c>
      <c r="Q1025" s="6"/>
      <c r="R1025" s="6"/>
      <c r="S1025" s="6"/>
      <c r="T1025" s="6"/>
      <c r="U1025" s="6"/>
      <c r="V1025" s="6"/>
      <c r="W1025" s="6"/>
      <c r="X1025" s="6"/>
      <c r="Y1025" s="6"/>
      <c r="Z1025" s="6"/>
      <c r="AA1025" s="6"/>
      <c r="AB1025" s="6"/>
      <c r="AC1025" s="6"/>
      <c r="AD1025" s="6"/>
      <c r="AE1025" s="6"/>
      <c r="AF1025" s="6"/>
      <c r="AG1025" s="6"/>
    </row>
    <row r="1026" ht="14.25" customHeight="1">
      <c r="A1026" s="6"/>
      <c r="B1026" s="6"/>
      <c r="C1026" s="6">
        <v>1019.0</v>
      </c>
      <c r="D1026" s="6"/>
      <c r="E1026" s="6">
        <v>6368270.037347878</v>
      </c>
      <c r="F1026" s="6">
        <v>441.61309864185654</v>
      </c>
      <c r="G1026" s="6">
        <v>5.52890637254891</v>
      </c>
      <c r="H1026" s="6">
        <v>6236591.228501244</v>
      </c>
      <c r="I1026" s="6">
        <v>438.3726127209052</v>
      </c>
      <c r="J1026" s="6">
        <v>3.801919637231045</v>
      </c>
      <c r="K1026" s="6"/>
      <c r="L1026" s="6"/>
      <c r="M1026" s="6"/>
      <c r="N1026" s="6">
        <f t="shared" ref="N1026:P1026" si="1029">IF(LEN($C1026)&gt;0,H1026-E1026,"")</f>
        <v>-131678.8088</v>
      </c>
      <c r="O1026" s="6">
        <f t="shared" si="1029"/>
        <v>-3.240485921</v>
      </c>
      <c r="P1026" s="6">
        <f t="shared" si="1029"/>
        <v>-1.726986735</v>
      </c>
      <c r="Q1026" s="6"/>
      <c r="R1026" s="6"/>
      <c r="S1026" s="6"/>
      <c r="T1026" s="6"/>
      <c r="U1026" s="6"/>
      <c r="V1026" s="6"/>
      <c r="W1026" s="6"/>
      <c r="X1026" s="6"/>
      <c r="Y1026" s="6"/>
      <c r="Z1026" s="6"/>
      <c r="AA1026" s="6"/>
      <c r="AB1026" s="6"/>
      <c r="AC1026" s="6"/>
      <c r="AD1026" s="6"/>
      <c r="AE1026" s="6"/>
      <c r="AF1026" s="6"/>
      <c r="AG1026" s="6"/>
    </row>
    <row r="1027" ht="14.25" customHeight="1">
      <c r="A1027" s="6"/>
      <c r="B1027" s="6"/>
      <c r="C1027" s="6">
        <v>1020.0</v>
      </c>
      <c r="D1027" s="6"/>
      <c r="E1027" s="6">
        <v>9857564.353508286</v>
      </c>
      <c r="F1027" s="6">
        <v>481.0040818286241</v>
      </c>
      <c r="G1027" s="6">
        <v>5.353333370410229</v>
      </c>
      <c r="H1027" s="6">
        <v>9777753.029276192</v>
      </c>
      <c r="I1027" s="6">
        <v>478.73865837949637</v>
      </c>
      <c r="J1027" s="6">
        <v>4.08888519907917</v>
      </c>
      <c r="K1027" s="6"/>
      <c r="L1027" s="6"/>
      <c r="M1027" s="6"/>
      <c r="N1027" s="6">
        <f t="shared" ref="N1027:P1027" si="1030">IF(LEN($C1027)&gt;0,H1027-E1027,"")</f>
        <v>-79811.32423</v>
      </c>
      <c r="O1027" s="6">
        <f t="shared" si="1030"/>
        <v>-2.265423449</v>
      </c>
      <c r="P1027" s="6">
        <f t="shared" si="1030"/>
        <v>-1.264448171</v>
      </c>
      <c r="Q1027" s="6"/>
      <c r="R1027" s="6"/>
      <c r="S1027" s="6"/>
      <c r="T1027" s="6"/>
      <c r="U1027" s="6"/>
      <c r="V1027" s="6"/>
      <c r="W1027" s="6"/>
      <c r="X1027" s="6"/>
      <c r="Y1027" s="6"/>
      <c r="Z1027" s="6"/>
      <c r="AA1027" s="6"/>
      <c r="AB1027" s="6"/>
      <c r="AC1027" s="6"/>
      <c r="AD1027" s="6"/>
      <c r="AE1027" s="6"/>
      <c r="AF1027" s="6"/>
      <c r="AG1027" s="6"/>
    </row>
    <row r="1028" ht="14.25" customHeight="1">
      <c r="A1028" s="6"/>
      <c r="B1028" s="6"/>
      <c r="C1028" s="6">
        <v>1021.0</v>
      </c>
      <c r="D1028" s="6"/>
      <c r="E1028" s="6">
        <v>8032270.429647809</v>
      </c>
      <c r="F1028" s="6">
        <v>468.8696480371236</v>
      </c>
      <c r="G1028" s="6">
        <v>4.313475827963083</v>
      </c>
      <c r="H1028" s="6">
        <v>7950047.324286813</v>
      </c>
      <c r="I1028" s="6">
        <v>466.1592183493698</v>
      </c>
      <c r="J1028" s="6">
        <v>3.3163084816103092</v>
      </c>
      <c r="K1028" s="6"/>
      <c r="L1028" s="6"/>
      <c r="M1028" s="6"/>
      <c r="N1028" s="6">
        <f t="shared" ref="N1028:P1028" si="1031">IF(LEN($C1028)&gt;0,H1028-E1028,"")</f>
        <v>-82223.10536</v>
      </c>
      <c r="O1028" s="6">
        <f t="shared" si="1031"/>
        <v>-2.710429688</v>
      </c>
      <c r="P1028" s="6">
        <f t="shared" si="1031"/>
        <v>-0.9971673464</v>
      </c>
      <c r="Q1028" s="6"/>
      <c r="R1028" s="6"/>
      <c r="S1028" s="6"/>
      <c r="T1028" s="6"/>
      <c r="U1028" s="6"/>
      <c r="V1028" s="6"/>
      <c r="W1028" s="6"/>
      <c r="X1028" s="6"/>
      <c r="Y1028" s="6"/>
      <c r="Z1028" s="6"/>
      <c r="AA1028" s="6"/>
      <c r="AB1028" s="6"/>
      <c r="AC1028" s="6"/>
      <c r="AD1028" s="6"/>
      <c r="AE1028" s="6"/>
      <c r="AF1028" s="6"/>
      <c r="AG1028" s="6"/>
    </row>
    <row r="1029" ht="14.25" customHeight="1">
      <c r="A1029" s="6"/>
      <c r="B1029" s="6"/>
      <c r="C1029" s="6">
        <v>1022.0</v>
      </c>
      <c r="D1029" s="6"/>
      <c r="E1029" s="6">
        <v>7846842.476971074</v>
      </c>
      <c r="F1029" s="6">
        <v>467.69824214269937</v>
      </c>
      <c r="G1029" s="6">
        <v>4.83927354546856</v>
      </c>
      <c r="H1029" s="6">
        <v>7714843.428758436</v>
      </c>
      <c r="I1029" s="6">
        <v>460.785540970047</v>
      </c>
      <c r="J1029" s="6">
        <v>3.5599816375209596</v>
      </c>
      <c r="K1029" s="6"/>
      <c r="L1029" s="6"/>
      <c r="M1029" s="6"/>
      <c r="N1029" s="6">
        <f t="shared" ref="N1029:P1029" si="1032">IF(LEN($C1029)&gt;0,H1029-E1029,"")</f>
        <v>-131999.0482</v>
      </c>
      <c r="O1029" s="6">
        <f t="shared" si="1032"/>
        <v>-6.912701173</v>
      </c>
      <c r="P1029" s="6">
        <f t="shared" si="1032"/>
        <v>-1.279291908</v>
      </c>
      <c r="Q1029" s="6"/>
      <c r="R1029" s="6"/>
      <c r="S1029" s="6"/>
      <c r="T1029" s="6"/>
      <c r="U1029" s="6"/>
      <c r="V1029" s="6"/>
      <c r="W1029" s="6"/>
      <c r="X1029" s="6"/>
      <c r="Y1029" s="6"/>
      <c r="Z1029" s="6"/>
      <c r="AA1029" s="6"/>
      <c r="AB1029" s="6"/>
      <c r="AC1029" s="6"/>
      <c r="AD1029" s="6"/>
      <c r="AE1029" s="6"/>
      <c r="AF1029" s="6"/>
      <c r="AG1029" s="6"/>
    </row>
    <row r="1030" ht="14.25" customHeight="1">
      <c r="A1030" s="6"/>
      <c r="B1030" s="6"/>
      <c r="C1030" s="6">
        <v>1023.0</v>
      </c>
      <c r="D1030" s="6"/>
      <c r="E1030" s="6">
        <v>7567039.259618952</v>
      </c>
      <c r="F1030" s="6">
        <v>444.92019231180075</v>
      </c>
      <c r="G1030" s="6">
        <v>4.629685081411027</v>
      </c>
      <c r="H1030" s="6">
        <v>7424407.601493897</v>
      </c>
      <c r="I1030" s="6">
        <v>439.9199512490639</v>
      </c>
      <c r="J1030" s="6">
        <v>3.1372963034620427</v>
      </c>
      <c r="K1030" s="6"/>
      <c r="L1030" s="6"/>
      <c r="M1030" s="6"/>
      <c r="N1030" s="6">
        <f t="shared" ref="N1030:P1030" si="1033">IF(LEN($C1030)&gt;0,H1030-E1030,"")</f>
        <v>-142631.6581</v>
      </c>
      <c r="O1030" s="6">
        <f t="shared" si="1033"/>
        <v>-5.000241063</v>
      </c>
      <c r="P1030" s="6">
        <f t="shared" si="1033"/>
        <v>-1.492388778</v>
      </c>
      <c r="Q1030" s="6"/>
      <c r="R1030" s="6"/>
      <c r="S1030" s="6"/>
      <c r="T1030" s="6"/>
      <c r="U1030" s="6"/>
      <c r="V1030" s="6"/>
      <c r="W1030" s="6"/>
      <c r="X1030" s="6"/>
      <c r="Y1030" s="6"/>
      <c r="Z1030" s="6"/>
      <c r="AA1030" s="6"/>
      <c r="AB1030" s="6"/>
      <c r="AC1030" s="6"/>
      <c r="AD1030" s="6"/>
      <c r="AE1030" s="6"/>
      <c r="AF1030" s="6"/>
      <c r="AG1030" s="6"/>
    </row>
    <row r="1031" ht="14.25" customHeight="1">
      <c r="A1031" s="6"/>
      <c r="B1031" s="6"/>
      <c r="C1031" s="6">
        <v>1024.0</v>
      </c>
      <c r="D1031" s="6"/>
      <c r="E1031" s="6">
        <v>6763614.026002896</v>
      </c>
      <c r="F1031" s="6">
        <v>463.1501423170486</v>
      </c>
      <c r="G1031" s="6">
        <v>6.250358724237356</v>
      </c>
      <c r="H1031" s="6">
        <v>6612079.669757303</v>
      </c>
      <c r="I1031" s="6">
        <v>459.32859691147553</v>
      </c>
      <c r="J1031" s="6">
        <v>4.377606442130891</v>
      </c>
      <c r="K1031" s="6"/>
      <c r="L1031" s="6"/>
      <c r="M1031" s="6"/>
      <c r="N1031" s="6">
        <f t="shared" ref="N1031:P1031" si="1034">IF(LEN($C1031)&gt;0,H1031-E1031,"")</f>
        <v>-151534.3562</v>
      </c>
      <c r="O1031" s="6">
        <f t="shared" si="1034"/>
        <v>-3.821545406</v>
      </c>
      <c r="P1031" s="6">
        <f t="shared" si="1034"/>
        <v>-1.872752282</v>
      </c>
      <c r="Q1031" s="6"/>
      <c r="R1031" s="6"/>
      <c r="S1031" s="6"/>
      <c r="T1031" s="6"/>
      <c r="U1031" s="6"/>
      <c r="V1031" s="6"/>
      <c r="W1031" s="6"/>
      <c r="X1031" s="6"/>
      <c r="Y1031" s="6"/>
      <c r="Z1031" s="6"/>
      <c r="AA1031" s="6"/>
      <c r="AB1031" s="6"/>
      <c r="AC1031" s="6"/>
      <c r="AD1031" s="6"/>
      <c r="AE1031" s="6"/>
      <c r="AF1031" s="6"/>
      <c r="AG1031" s="6"/>
    </row>
    <row r="1032" ht="14.25" customHeight="1">
      <c r="A1032" s="6"/>
      <c r="B1032" s="6"/>
      <c r="C1032" s="6">
        <v>1025.0</v>
      </c>
      <c r="D1032" s="6"/>
      <c r="E1032" s="6">
        <v>5948918.451170306</v>
      </c>
      <c r="F1032" s="6">
        <v>424.71412984831096</v>
      </c>
      <c r="G1032" s="6">
        <v>5.1063092189066595</v>
      </c>
      <c r="H1032" s="6">
        <v>5862266.816072813</v>
      </c>
      <c r="I1032" s="6">
        <v>422.8467705114478</v>
      </c>
      <c r="J1032" s="6">
        <v>3.7391094714013513</v>
      </c>
      <c r="K1032" s="6"/>
      <c r="L1032" s="6"/>
      <c r="M1032" s="6"/>
      <c r="N1032" s="6">
        <f t="shared" ref="N1032:P1032" si="1035">IF(LEN($C1032)&gt;0,H1032-E1032,"")</f>
        <v>-86651.6351</v>
      </c>
      <c r="O1032" s="6">
        <f t="shared" si="1035"/>
        <v>-1.867359337</v>
      </c>
      <c r="P1032" s="6">
        <f t="shared" si="1035"/>
        <v>-1.367199748</v>
      </c>
      <c r="Q1032" s="6"/>
      <c r="R1032" s="6"/>
      <c r="S1032" s="6"/>
      <c r="T1032" s="6"/>
      <c r="U1032" s="6"/>
      <c r="V1032" s="6"/>
      <c r="W1032" s="6"/>
      <c r="X1032" s="6"/>
      <c r="Y1032" s="6"/>
      <c r="Z1032" s="6"/>
      <c r="AA1032" s="6"/>
      <c r="AB1032" s="6"/>
      <c r="AC1032" s="6"/>
      <c r="AD1032" s="6"/>
      <c r="AE1032" s="6"/>
      <c r="AF1032" s="6"/>
      <c r="AG1032" s="6"/>
    </row>
    <row r="1033" ht="14.25" customHeight="1">
      <c r="A1033" s="6"/>
      <c r="B1033" s="6"/>
      <c r="C1033" s="6">
        <v>1026.0</v>
      </c>
      <c r="D1033" s="6"/>
      <c r="E1033" s="6">
        <v>8491679.231758017</v>
      </c>
      <c r="F1033" s="6">
        <v>447.30430472352384</v>
      </c>
      <c r="G1033" s="6">
        <v>3.864858193271438</v>
      </c>
      <c r="H1033" s="6">
        <v>8380666.354675898</v>
      </c>
      <c r="I1033" s="6">
        <v>443.5664436571515</v>
      </c>
      <c r="J1033" s="6">
        <v>2.8840191367249037</v>
      </c>
      <c r="K1033" s="6"/>
      <c r="L1033" s="6"/>
      <c r="M1033" s="6"/>
      <c r="N1033" s="6">
        <f t="shared" ref="N1033:P1033" si="1036">IF(LEN($C1033)&gt;0,H1033-E1033,"")</f>
        <v>-111012.8771</v>
      </c>
      <c r="O1033" s="6">
        <f t="shared" si="1036"/>
        <v>-3.737861066</v>
      </c>
      <c r="P1033" s="6">
        <f t="shared" si="1036"/>
        <v>-0.9808390565</v>
      </c>
      <c r="Q1033" s="6"/>
      <c r="R1033" s="6"/>
      <c r="S1033" s="6"/>
      <c r="T1033" s="6"/>
      <c r="U1033" s="6"/>
      <c r="V1033" s="6"/>
      <c r="W1033" s="6"/>
      <c r="X1033" s="6"/>
      <c r="Y1033" s="6"/>
      <c r="Z1033" s="6"/>
      <c r="AA1033" s="6"/>
      <c r="AB1033" s="6"/>
      <c r="AC1033" s="6"/>
      <c r="AD1033" s="6"/>
      <c r="AE1033" s="6"/>
      <c r="AF1033" s="6"/>
      <c r="AG1033" s="6"/>
    </row>
    <row r="1034" ht="14.25" customHeight="1">
      <c r="A1034" s="6"/>
      <c r="B1034" s="6"/>
      <c r="C1034" s="6">
        <v>1027.0</v>
      </c>
      <c r="D1034" s="6"/>
      <c r="E1034" s="6">
        <v>7669552.583815713</v>
      </c>
      <c r="F1034" s="6">
        <v>499.87812166317207</v>
      </c>
      <c r="G1034" s="6">
        <v>4.239554914300547</v>
      </c>
      <c r="H1034" s="6">
        <v>7537391.375776493</v>
      </c>
      <c r="I1034" s="6">
        <v>493.9307799013919</v>
      </c>
      <c r="J1034" s="6">
        <v>3.2614715625778894</v>
      </c>
      <c r="K1034" s="6"/>
      <c r="L1034" s="6"/>
      <c r="M1034" s="6"/>
      <c r="N1034" s="6">
        <f t="shared" ref="N1034:P1034" si="1037">IF(LEN($C1034)&gt;0,H1034-E1034,"")</f>
        <v>-132161.208</v>
      </c>
      <c r="O1034" s="6">
        <f t="shared" si="1037"/>
        <v>-5.947341762</v>
      </c>
      <c r="P1034" s="6">
        <f t="shared" si="1037"/>
        <v>-0.9780833517</v>
      </c>
      <c r="Q1034" s="6"/>
      <c r="R1034" s="6"/>
      <c r="S1034" s="6"/>
      <c r="T1034" s="6"/>
      <c r="U1034" s="6"/>
      <c r="V1034" s="6"/>
      <c r="W1034" s="6"/>
      <c r="X1034" s="6"/>
      <c r="Y1034" s="6"/>
      <c r="Z1034" s="6"/>
      <c r="AA1034" s="6"/>
      <c r="AB1034" s="6"/>
      <c r="AC1034" s="6"/>
      <c r="AD1034" s="6"/>
      <c r="AE1034" s="6"/>
      <c r="AF1034" s="6"/>
      <c r="AG1034" s="6"/>
    </row>
    <row r="1035" ht="14.25" customHeight="1">
      <c r="A1035" s="6"/>
      <c r="B1035" s="6"/>
      <c r="C1035" s="6">
        <v>1028.0</v>
      </c>
      <c r="D1035" s="6"/>
      <c r="E1035" s="6">
        <v>6571786.746715017</v>
      </c>
      <c r="F1035" s="6">
        <v>449.7256107760841</v>
      </c>
      <c r="G1035" s="6">
        <v>5.455140554872217</v>
      </c>
      <c r="H1035" s="6">
        <v>6457971.609221708</v>
      </c>
      <c r="I1035" s="6">
        <v>444.45313329113475</v>
      </c>
      <c r="J1035" s="6">
        <v>4.399576783004376</v>
      </c>
      <c r="K1035" s="6"/>
      <c r="L1035" s="6"/>
      <c r="M1035" s="6"/>
      <c r="N1035" s="6">
        <f t="shared" ref="N1035:P1035" si="1038">IF(LEN($C1035)&gt;0,H1035-E1035,"")</f>
        <v>-113815.1375</v>
      </c>
      <c r="O1035" s="6">
        <f t="shared" si="1038"/>
        <v>-5.272477485</v>
      </c>
      <c r="P1035" s="6">
        <f t="shared" si="1038"/>
        <v>-1.055563772</v>
      </c>
      <c r="Q1035" s="6"/>
      <c r="R1035" s="6"/>
      <c r="S1035" s="6"/>
      <c r="T1035" s="6"/>
      <c r="U1035" s="6"/>
      <c r="V1035" s="6"/>
      <c r="W1035" s="6"/>
      <c r="X1035" s="6"/>
      <c r="Y1035" s="6"/>
      <c r="Z1035" s="6"/>
      <c r="AA1035" s="6"/>
      <c r="AB1035" s="6"/>
      <c r="AC1035" s="6"/>
      <c r="AD1035" s="6"/>
      <c r="AE1035" s="6"/>
      <c r="AF1035" s="6"/>
      <c r="AG1035" s="6"/>
    </row>
    <row r="1036" ht="14.25" customHeight="1">
      <c r="A1036" s="6"/>
      <c r="B1036" s="6"/>
      <c r="C1036" s="6">
        <v>1029.0</v>
      </c>
      <c r="D1036" s="6"/>
      <c r="E1036" s="6">
        <v>7382889.68731474</v>
      </c>
      <c r="F1036" s="6">
        <v>471.39164682920534</v>
      </c>
      <c r="G1036" s="6">
        <v>5.1159132439158554</v>
      </c>
      <c r="H1036" s="6">
        <v>7323076.658243664</v>
      </c>
      <c r="I1036" s="6">
        <v>469.4723911891375</v>
      </c>
      <c r="J1036" s="6">
        <v>3.916793274034122</v>
      </c>
      <c r="K1036" s="6"/>
      <c r="L1036" s="6"/>
      <c r="M1036" s="6"/>
      <c r="N1036" s="6">
        <f t="shared" ref="N1036:P1036" si="1039">IF(LEN($C1036)&gt;0,H1036-E1036,"")</f>
        <v>-59813.02907</v>
      </c>
      <c r="O1036" s="6">
        <f t="shared" si="1039"/>
        <v>-1.91925564</v>
      </c>
      <c r="P1036" s="6">
        <f t="shared" si="1039"/>
        <v>-1.19911997</v>
      </c>
      <c r="Q1036" s="6"/>
      <c r="R1036" s="6"/>
      <c r="S1036" s="6"/>
      <c r="T1036" s="6"/>
      <c r="U1036" s="6"/>
      <c r="V1036" s="6"/>
      <c r="W1036" s="6"/>
      <c r="X1036" s="6"/>
      <c r="Y1036" s="6"/>
      <c r="Z1036" s="6"/>
      <c r="AA1036" s="6"/>
      <c r="AB1036" s="6"/>
      <c r="AC1036" s="6"/>
      <c r="AD1036" s="6"/>
      <c r="AE1036" s="6"/>
      <c r="AF1036" s="6"/>
      <c r="AG1036" s="6"/>
    </row>
    <row r="1037" ht="14.25" customHeight="1">
      <c r="A1037" s="6"/>
      <c r="B1037" s="6"/>
      <c r="C1037" s="6">
        <v>1030.0</v>
      </c>
      <c r="D1037" s="6"/>
      <c r="E1037" s="6">
        <v>6907736.185650145</v>
      </c>
      <c r="F1037" s="6">
        <v>443.7356297853468</v>
      </c>
      <c r="G1037" s="6">
        <v>5.19640131636986</v>
      </c>
      <c r="H1037" s="6">
        <v>6780648.687662446</v>
      </c>
      <c r="I1037" s="6">
        <v>438.80112305080695</v>
      </c>
      <c r="J1037" s="6">
        <v>3.6144220548574855</v>
      </c>
      <c r="K1037" s="6"/>
      <c r="L1037" s="6"/>
      <c r="M1037" s="6"/>
      <c r="N1037" s="6">
        <f t="shared" ref="N1037:P1037" si="1040">IF(LEN($C1037)&gt;0,H1037-E1037,"")</f>
        <v>-127087.498</v>
      </c>
      <c r="O1037" s="6">
        <f t="shared" si="1040"/>
        <v>-4.934506735</v>
      </c>
      <c r="P1037" s="6">
        <f t="shared" si="1040"/>
        <v>-1.581979262</v>
      </c>
      <c r="Q1037" s="6"/>
      <c r="R1037" s="6"/>
      <c r="S1037" s="6"/>
      <c r="T1037" s="6"/>
      <c r="U1037" s="6"/>
      <c r="V1037" s="6"/>
      <c r="W1037" s="6"/>
      <c r="X1037" s="6"/>
      <c r="Y1037" s="6"/>
      <c r="Z1037" s="6"/>
      <c r="AA1037" s="6"/>
      <c r="AB1037" s="6"/>
      <c r="AC1037" s="6"/>
      <c r="AD1037" s="6"/>
      <c r="AE1037" s="6"/>
      <c r="AF1037" s="6"/>
      <c r="AG1037" s="6"/>
    </row>
    <row r="1038" ht="14.25" customHeight="1">
      <c r="A1038" s="6"/>
      <c r="B1038" s="6"/>
      <c r="C1038" s="6">
        <v>1031.0</v>
      </c>
      <c r="D1038" s="6"/>
      <c r="E1038" s="6">
        <v>7050577.003915546</v>
      </c>
      <c r="F1038" s="6">
        <v>441.2395738566442</v>
      </c>
      <c r="G1038" s="6">
        <v>4.96660494549408</v>
      </c>
      <c r="H1038" s="6">
        <v>6959330.030358648</v>
      </c>
      <c r="I1038" s="6">
        <v>435.4423335405417</v>
      </c>
      <c r="J1038" s="6">
        <v>3.7018140681233658</v>
      </c>
      <c r="K1038" s="6"/>
      <c r="L1038" s="6"/>
      <c r="M1038" s="6"/>
      <c r="N1038" s="6">
        <f t="shared" ref="N1038:P1038" si="1041">IF(LEN($C1038)&gt;0,H1038-E1038,"")</f>
        <v>-91246.97356</v>
      </c>
      <c r="O1038" s="6">
        <f t="shared" si="1041"/>
        <v>-5.797240316</v>
      </c>
      <c r="P1038" s="6">
        <f t="shared" si="1041"/>
        <v>-1.264790877</v>
      </c>
      <c r="Q1038" s="6"/>
      <c r="R1038" s="6"/>
      <c r="S1038" s="6"/>
      <c r="T1038" s="6"/>
      <c r="U1038" s="6"/>
      <c r="V1038" s="6"/>
      <c r="W1038" s="6"/>
      <c r="X1038" s="6"/>
      <c r="Y1038" s="6"/>
      <c r="Z1038" s="6"/>
      <c r="AA1038" s="6"/>
      <c r="AB1038" s="6"/>
      <c r="AC1038" s="6"/>
      <c r="AD1038" s="6"/>
      <c r="AE1038" s="6"/>
      <c r="AF1038" s="6"/>
      <c r="AG1038" s="6"/>
    </row>
    <row r="1039" ht="14.25" customHeight="1">
      <c r="A1039" s="6"/>
      <c r="B1039" s="6"/>
      <c r="C1039" s="6">
        <v>1032.0</v>
      </c>
      <c r="D1039" s="6"/>
      <c r="E1039" s="6">
        <v>7150858.712785955</v>
      </c>
      <c r="F1039" s="6">
        <v>445.26926521115627</v>
      </c>
      <c r="G1039" s="6">
        <v>5.328711556232766</v>
      </c>
      <c r="H1039" s="6">
        <v>7075814.06698895</v>
      </c>
      <c r="I1039" s="6">
        <v>443.3812778611285</v>
      </c>
      <c r="J1039" s="6">
        <v>4.185145069056712</v>
      </c>
      <c r="K1039" s="6"/>
      <c r="L1039" s="6"/>
      <c r="M1039" s="6"/>
      <c r="N1039" s="6">
        <f t="shared" ref="N1039:P1039" si="1042">IF(LEN($C1039)&gt;0,H1039-E1039,"")</f>
        <v>-75044.6458</v>
      </c>
      <c r="O1039" s="6">
        <f t="shared" si="1042"/>
        <v>-1.88798735</v>
      </c>
      <c r="P1039" s="6">
        <f t="shared" si="1042"/>
        <v>-1.143566487</v>
      </c>
      <c r="Q1039" s="6"/>
      <c r="R1039" s="6"/>
      <c r="S1039" s="6"/>
      <c r="T1039" s="6"/>
      <c r="U1039" s="6"/>
      <c r="V1039" s="6"/>
      <c r="W1039" s="6"/>
      <c r="X1039" s="6"/>
      <c r="Y1039" s="6"/>
      <c r="Z1039" s="6"/>
      <c r="AA1039" s="6"/>
      <c r="AB1039" s="6"/>
      <c r="AC1039" s="6"/>
      <c r="AD1039" s="6"/>
      <c r="AE1039" s="6"/>
      <c r="AF1039" s="6"/>
      <c r="AG1039" s="6"/>
    </row>
    <row r="1040" ht="14.25" customHeight="1">
      <c r="A1040" s="6"/>
      <c r="B1040" s="6"/>
      <c r="C1040" s="6">
        <v>1033.0</v>
      </c>
      <c r="D1040" s="6"/>
      <c r="E1040" s="6">
        <v>9091936.823619701</v>
      </c>
      <c r="F1040" s="6">
        <v>480.72334137154667</v>
      </c>
      <c r="G1040" s="6">
        <v>4.712012676728211</v>
      </c>
      <c r="H1040" s="6">
        <v>8986111.312508127</v>
      </c>
      <c r="I1040" s="6">
        <v>476.791659798434</v>
      </c>
      <c r="J1040" s="6">
        <v>3.2111171957451936</v>
      </c>
      <c r="K1040" s="6"/>
      <c r="L1040" s="6"/>
      <c r="M1040" s="6"/>
      <c r="N1040" s="6">
        <f t="shared" ref="N1040:P1040" si="1043">IF(LEN($C1040)&gt;0,H1040-E1040,"")</f>
        <v>-105825.5111</v>
      </c>
      <c r="O1040" s="6">
        <f t="shared" si="1043"/>
        <v>-3.931681573</v>
      </c>
      <c r="P1040" s="6">
        <f t="shared" si="1043"/>
        <v>-1.500895481</v>
      </c>
      <c r="Q1040" s="6"/>
      <c r="R1040" s="6"/>
      <c r="S1040" s="6"/>
      <c r="T1040" s="6"/>
      <c r="U1040" s="6"/>
      <c r="V1040" s="6"/>
      <c r="W1040" s="6"/>
      <c r="X1040" s="6"/>
      <c r="Y1040" s="6"/>
      <c r="Z1040" s="6"/>
      <c r="AA1040" s="6"/>
      <c r="AB1040" s="6"/>
      <c r="AC1040" s="6"/>
      <c r="AD1040" s="6"/>
      <c r="AE1040" s="6"/>
      <c r="AF1040" s="6"/>
      <c r="AG1040" s="6"/>
    </row>
    <row r="1041" ht="14.25" customHeight="1">
      <c r="A1041" s="6"/>
      <c r="B1041" s="6"/>
      <c r="C1041" s="6">
        <v>1034.0</v>
      </c>
      <c r="D1041" s="6"/>
      <c r="E1041" s="6">
        <v>7051138.17801566</v>
      </c>
      <c r="F1041" s="6">
        <v>469.9359361698197</v>
      </c>
      <c r="G1041" s="6">
        <v>4.903175922974538</v>
      </c>
      <c r="H1041" s="6">
        <v>7027196.5496305525</v>
      </c>
      <c r="I1041" s="6">
        <v>468.7671488147844</v>
      </c>
      <c r="J1041" s="6">
        <v>4.520442506140837</v>
      </c>
      <c r="K1041" s="6"/>
      <c r="L1041" s="6"/>
      <c r="M1041" s="6"/>
      <c r="N1041" s="6">
        <f t="shared" ref="N1041:P1041" si="1044">IF(LEN($C1041)&gt;0,H1041-E1041,"")</f>
        <v>-23941.62839</v>
      </c>
      <c r="O1041" s="6">
        <f t="shared" si="1044"/>
        <v>-1.168787355</v>
      </c>
      <c r="P1041" s="6">
        <f t="shared" si="1044"/>
        <v>-0.3827334168</v>
      </c>
      <c r="Q1041" s="6"/>
      <c r="R1041" s="6"/>
      <c r="S1041" s="6"/>
      <c r="T1041" s="6"/>
      <c r="U1041" s="6"/>
      <c r="V1041" s="6"/>
      <c r="W1041" s="6"/>
      <c r="X1041" s="6"/>
      <c r="Y1041" s="6"/>
      <c r="Z1041" s="6"/>
      <c r="AA1041" s="6"/>
      <c r="AB1041" s="6"/>
      <c r="AC1041" s="6"/>
      <c r="AD1041" s="6"/>
      <c r="AE1041" s="6"/>
      <c r="AF1041" s="6"/>
      <c r="AG1041" s="6"/>
    </row>
    <row r="1042" ht="14.25" customHeight="1">
      <c r="A1042" s="6"/>
      <c r="B1042" s="6"/>
      <c r="C1042" s="6">
        <v>1035.0</v>
      </c>
      <c r="D1042" s="6"/>
      <c r="E1042" s="6">
        <v>7621488.547662614</v>
      </c>
      <c r="F1042" s="6">
        <v>480.6300373141119</v>
      </c>
      <c r="G1042" s="6">
        <v>5.6077589770776495</v>
      </c>
      <c r="H1042" s="6">
        <v>7537224.88770581</v>
      </c>
      <c r="I1042" s="6">
        <v>477.80192884615616</v>
      </c>
      <c r="J1042" s="6">
        <v>4.387777857583424</v>
      </c>
      <c r="K1042" s="6"/>
      <c r="L1042" s="6"/>
      <c r="M1042" s="6"/>
      <c r="N1042" s="6">
        <f t="shared" ref="N1042:P1042" si="1045">IF(LEN($C1042)&gt;0,H1042-E1042,"")</f>
        <v>-84263.65996</v>
      </c>
      <c r="O1042" s="6">
        <f t="shared" si="1045"/>
        <v>-2.828108468</v>
      </c>
      <c r="P1042" s="6">
        <f t="shared" si="1045"/>
        <v>-1.219981119</v>
      </c>
      <c r="Q1042" s="6"/>
      <c r="R1042" s="6"/>
      <c r="S1042" s="6"/>
      <c r="T1042" s="6"/>
      <c r="U1042" s="6"/>
      <c r="V1042" s="6"/>
      <c r="W1042" s="6"/>
      <c r="X1042" s="6"/>
      <c r="Y1042" s="6"/>
      <c r="Z1042" s="6"/>
      <c r="AA1042" s="6"/>
      <c r="AB1042" s="6"/>
      <c r="AC1042" s="6"/>
      <c r="AD1042" s="6"/>
      <c r="AE1042" s="6"/>
      <c r="AF1042" s="6"/>
      <c r="AG1042" s="6"/>
    </row>
    <row r="1043" ht="14.25" customHeight="1">
      <c r="A1043" s="6"/>
      <c r="B1043" s="6"/>
      <c r="C1043" s="6">
        <v>1036.0</v>
      </c>
      <c r="D1043" s="6"/>
      <c r="E1043" s="6">
        <v>7746753.866989153</v>
      </c>
      <c r="F1043" s="6">
        <v>450.11993384609195</v>
      </c>
      <c r="G1043" s="6">
        <v>5.8886450572892155</v>
      </c>
      <c r="H1043" s="6">
        <v>7621641.612720997</v>
      </c>
      <c r="I1043" s="6">
        <v>444.21569707467836</v>
      </c>
      <c r="J1043" s="6">
        <v>4.448055764634868</v>
      </c>
      <c r="K1043" s="6"/>
      <c r="L1043" s="6"/>
      <c r="M1043" s="6"/>
      <c r="N1043" s="6">
        <f t="shared" ref="N1043:P1043" si="1046">IF(LEN($C1043)&gt;0,H1043-E1043,"")</f>
        <v>-125112.2543</v>
      </c>
      <c r="O1043" s="6">
        <f t="shared" si="1046"/>
        <v>-5.904236771</v>
      </c>
      <c r="P1043" s="6">
        <f t="shared" si="1046"/>
        <v>-1.440589293</v>
      </c>
      <c r="Q1043" s="6"/>
      <c r="R1043" s="6"/>
      <c r="S1043" s="6"/>
      <c r="T1043" s="6"/>
      <c r="U1043" s="6"/>
      <c r="V1043" s="6"/>
      <c r="W1043" s="6"/>
      <c r="X1043" s="6"/>
      <c r="Y1043" s="6"/>
      <c r="Z1043" s="6"/>
      <c r="AA1043" s="6"/>
      <c r="AB1043" s="6"/>
      <c r="AC1043" s="6"/>
      <c r="AD1043" s="6"/>
      <c r="AE1043" s="6"/>
      <c r="AF1043" s="6"/>
      <c r="AG1043" s="6"/>
    </row>
    <row r="1044" ht="14.25" customHeight="1">
      <c r="A1044" s="6"/>
      <c r="B1044" s="6"/>
      <c r="C1044" s="6">
        <v>1037.0</v>
      </c>
      <c r="D1044" s="6"/>
      <c r="E1044" s="6">
        <v>8525978.809795968</v>
      </c>
      <c r="F1044" s="6">
        <v>446.23534611193867</v>
      </c>
      <c r="G1044" s="6">
        <v>4.158050317157312</v>
      </c>
      <c r="H1044" s="6">
        <v>8398467.528119948</v>
      </c>
      <c r="I1044" s="6">
        <v>442.00374897750413</v>
      </c>
      <c r="J1044" s="6">
        <v>2.8305724498045186</v>
      </c>
      <c r="K1044" s="6"/>
      <c r="L1044" s="6"/>
      <c r="M1044" s="6"/>
      <c r="N1044" s="6">
        <f t="shared" ref="N1044:P1044" si="1047">IF(LEN($C1044)&gt;0,H1044-E1044,"")</f>
        <v>-127511.2817</v>
      </c>
      <c r="O1044" s="6">
        <f t="shared" si="1047"/>
        <v>-4.231597134</v>
      </c>
      <c r="P1044" s="6">
        <f t="shared" si="1047"/>
        <v>-1.327477867</v>
      </c>
      <c r="Q1044" s="6"/>
      <c r="R1044" s="6"/>
      <c r="S1044" s="6"/>
      <c r="T1044" s="6"/>
      <c r="U1044" s="6"/>
      <c r="V1044" s="6"/>
      <c r="W1044" s="6"/>
      <c r="X1044" s="6"/>
      <c r="Y1044" s="6"/>
      <c r="Z1044" s="6"/>
      <c r="AA1044" s="6"/>
      <c r="AB1044" s="6"/>
      <c r="AC1044" s="6"/>
      <c r="AD1044" s="6"/>
      <c r="AE1044" s="6"/>
      <c r="AF1044" s="6"/>
      <c r="AG1044" s="6"/>
    </row>
    <row r="1045" ht="14.25" customHeight="1">
      <c r="A1045" s="6"/>
      <c r="B1045" s="6"/>
      <c r="C1045" s="6">
        <v>1038.0</v>
      </c>
      <c r="D1045" s="6"/>
      <c r="E1045" s="6">
        <v>7545252.398687392</v>
      </c>
      <c r="F1045" s="6">
        <v>487.55125326697976</v>
      </c>
      <c r="G1045" s="6">
        <v>5.437000114884194</v>
      </c>
      <c r="H1045" s="6">
        <v>7409518.083188132</v>
      </c>
      <c r="I1045" s="6">
        <v>480.9478599216351</v>
      </c>
      <c r="J1045" s="6">
        <v>4.106103101013578</v>
      </c>
      <c r="K1045" s="6"/>
      <c r="L1045" s="6"/>
      <c r="M1045" s="6"/>
      <c r="N1045" s="6">
        <f t="shared" ref="N1045:P1045" si="1048">IF(LEN($C1045)&gt;0,H1045-E1045,"")</f>
        <v>-135734.3155</v>
      </c>
      <c r="O1045" s="6">
        <f t="shared" si="1048"/>
        <v>-6.603393345</v>
      </c>
      <c r="P1045" s="6">
        <f t="shared" si="1048"/>
        <v>-1.330897014</v>
      </c>
      <c r="Q1045" s="6"/>
      <c r="R1045" s="6"/>
      <c r="S1045" s="6"/>
      <c r="T1045" s="6"/>
      <c r="U1045" s="6"/>
      <c r="V1045" s="6"/>
      <c r="W1045" s="6"/>
      <c r="X1045" s="6"/>
      <c r="Y1045" s="6"/>
      <c r="Z1045" s="6"/>
      <c r="AA1045" s="6"/>
      <c r="AB1045" s="6"/>
      <c r="AC1045" s="6"/>
      <c r="AD1045" s="6"/>
      <c r="AE1045" s="6"/>
      <c r="AF1045" s="6"/>
      <c r="AG1045" s="6"/>
    </row>
    <row r="1046" ht="14.25" customHeight="1">
      <c r="A1046" s="6"/>
      <c r="B1046" s="6"/>
      <c r="C1046" s="6">
        <v>1039.0</v>
      </c>
      <c r="D1046" s="6"/>
      <c r="E1046" s="6">
        <v>6780390.52878787</v>
      </c>
      <c r="F1046" s="6">
        <v>457.6647116314386</v>
      </c>
      <c r="G1046" s="6">
        <v>5.0964287537044735</v>
      </c>
      <c r="H1046" s="6">
        <v>6686828.194780947</v>
      </c>
      <c r="I1046" s="6">
        <v>453.68007935080163</v>
      </c>
      <c r="J1046" s="6">
        <v>3.8637693801865534</v>
      </c>
      <c r="K1046" s="6"/>
      <c r="L1046" s="6"/>
      <c r="M1046" s="6"/>
      <c r="N1046" s="6">
        <f t="shared" ref="N1046:P1046" si="1049">IF(LEN($C1046)&gt;0,H1046-E1046,"")</f>
        <v>-93562.33401</v>
      </c>
      <c r="O1046" s="6">
        <f t="shared" si="1049"/>
        <v>-3.984632281</v>
      </c>
      <c r="P1046" s="6">
        <f t="shared" si="1049"/>
        <v>-1.232659374</v>
      </c>
      <c r="Q1046" s="6"/>
      <c r="R1046" s="6"/>
      <c r="S1046" s="6"/>
      <c r="T1046" s="6"/>
      <c r="U1046" s="6"/>
      <c r="V1046" s="6"/>
      <c r="W1046" s="6"/>
      <c r="X1046" s="6"/>
      <c r="Y1046" s="6"/>
      <c r="Z1046" s="6"/>
      <c r="AA1046" s="6"/>
      <c r="AB1046" s="6"/>
      <c r="AC1046" s="6"/>
      <c r="AD1046" s="6"/>
      <c r="AE1046" s="6"/>
      <c r="AF1046" s="6"/>
      <c r="AG1046" s="6"/>
    </row>
    <row r="1047" ht="14.25" customHeight="1">
      <c r="A1047" s="6"/>
      <c r="B1047" s="6"/>
      <c r="C1047" s="6">
        <v>1040.0</v>
      </c>
      <c r="D1047" s="6"/>
      <c r="E1047" s="6">
        <v>7879111.313891445</v>
      </c>
      <c r="F1047" s="6">
        <v>443.19448129898456</v>
      </c>
      <c r="G1047" s="6">
        <v>5.313445445739985</v>
      </c>
      <c r="H1047" s="6">
        <v>7797279.691838854</v>
      </c>
      <c r="I1047" s="6">
        <v>439.21827431558967</v>
      </c>
      <c r="J1047" s="6">
        <v>3.5986718513766363</v>
      </c>
      <c r="K1047" s="6"/>
      <c r="L1047" s="6"/>
      <c r="M1047" s="6"/>
      <c r="N1047" s="6">
        <f t="shared" ref="N1047:P1047" si="1050">IF(LEN($C1047)&gt;0,H1047-E1047,"")</f>
        <v>-81831.62205</v>
      </c>
      <c r="O1047" s="6">
        <f t="shared" si="1050"/>
        <v>-3.976206983</v>
      </c>
      <c r="P1047" s="6">
        <f t="shared" si="1050"/>
        <v>-1.714773594</v>
      </c>
      <c r="Q1047" s="6"/>
      <c r="R1047" s="6"/>
      <c r="S1047" s="6"/>
      <c r="T1047" s="6"/>
      <c r="U1047" s="6"/>
      <c r="V1047" s="6"/>
      <c r="W1047" s="6"/>
      <c r="X1047" s="6"/>
      <c r="Y1047" s="6"/>
      <c r="Z1047" s="6"/>
      <c r="AA1047" s="6"/>
      <c r="AB1047" s="6"/>
      <c r="AC1047" s="6"/>
      <c r="AD1047" s="6"/>
      <c r="AE1047" s="6"/>
      <c r="AF1047" s="6"/>
      <c r="AG1047" s="6"/>
    </row>
    <row r="1048" ht="14.25" customHeight="1">
      <c r="A1048" s="6"/>
      <c r="B1048" s="6"/>
      <c r="C1048" s="6">
        <v>1041.0</v>
      </c>
      <c r="D1048" s="6"/>
      <c r="E1048" s="6">
        <v>6771495.149879816</v>
      </c>
      <c r="F1048" s="6">
        <v>478.1530432023653</v>
      </c>
      <c r="G1048" s="6">
        <v>4.099641492816793</v>
      </c>
      <c r="H1048" s="6">
        <v>6663775.761081381</v>
      </c>
      <c r="I1048" s="6">
        <v>474.908696793686</v>
      </c>
      <c r="J1048" s="6">
        <v>2.5439705898931253</v>
      </c>
      <c r="K1048" s="6"/>
      <c r="L1048" s="6"/>
      <c r="M1048" s="6"/>
      <c r="N1048" s="6">
        <f t="shared" ref="N1048:P1048" si="1051">IF(LEN($C1048)&gt;0,H1048-E1048,"")</f>
        <v>-107719.3888</v>
      </c>
      <c r="O1048" s="6">
        <f t="shared" si="1051"/>
        <v>-3.244346409</v>
      </c>
      <c r="P1048" s="6">
        <f t="shared" si="1051"/>
        <v>-1.555670903</v>
      </c>
      <c r="Q1048" s="6"/>
      <c r="R1048" s="6"/>
      <c r="S1048" s="6"/>
      <c r="T1048" s="6"/>
      <c r="U1048" s="6"/>
      <c r="V1048" s="6"/>
      <c r="W1048" s="6"/>
      <c r="X1048" s="6"/>
      <c r="Y1048" s="6"/>
      <c r="Z1048" s="6"/>
      <c r="AA1048" s="6"/>
      <c r="AB1048" s="6"/>
      <c r="AC1048" s="6"/>
      <c r="AD1048" s="6"/>
      <c r="AE1048" s="6"/>
      <c r="AF1048" s="6"/>
      <c r="AG1048" s="6"/>
    </row>
    <row r="1049" ht="14.25" customHeight="1">
      <c r="A1049" s="6"/>
      <c r="B1049" s="6"/>
      <c r="C1049" s="6">
        <v>1042.0</v>
      </c>
      <c r="D1049" s="6"/>
      <c r="E1049" s="6">
        <v>7348152.043246661</v>
      </c>
      <c r="F1049" s="6">
        <v>497.8052696852856</v>
      </c>
      <c r="G1049" s="6">
        <v>5.876889284937079</v>
      </c>
      <c r="H1049" s="6">
        <v>7249415.473645637</v>
      </c>
      <c r="I1049" s="6">
        <v>493.73921434419736</v>
      </c>
      <c r="J1049" s="6">
        <v>4.902854255056147</v>
      </c>
      <c r="K1049" s="6"/>
      <c r="L1049" s="6"/>
      <c r="M1049" s="6"/>
      <c r="N1049" s="6">
        <f t="shared" ref="N1049:P1049" si="1052">IF(LEN($C1049)&gt;0,H1049-E1049,"")</f>
        <v>-98736.5696</v>
      </c>
      <c r="O1049" s="6">
        <f t="shared" si="1052"/>
        <v>-4.066055341</v>
      </c>
      <c r="P1049" s="6">
        <f t="shared" si="1052"/>
        <v>-0.9740350299</v>
      </c>
      <c r="Q1049" s="6"/>
      <c r="R1049" s="6"/>
      <c r="S1049" s="6"/>
      <c r="T1049" s="6"/>
      <c r="U1049" s="6"/>
      <c r="V1049" s="6"/>
      <c r="W1049" s="6"/>
      <c r="X1049" s="6"/>
      <c r="Y1049" s="6"/>
      <c r="Z1049" s="6"/>
      <c r="AA1049" s="6"/>
      <c r="AB1049" s="6"/>
      <c r="AC1049" s="6"/>
      <c r="AD1049" s="6"/>
      <c r="AE1049" s="6"/>
      <c r="AF1049" s="6"/>
      <c r="AG1049" s="6"/>
    </row>
    <row r="1050" ht="14.25" customHeight="1">
      <c r="A1050" s="6"/>
      <c r="B1050" s="6"/>
      <c r="C1050" s="6">
        <v>1043.0</v>
      </c>
      <c r="D1050" s="6"/>
      <c r="E1050" s="6">
        <v>8209206.4719303455</v>
      </c>
      <c r="F1050" s="6">
        <v>450.04744245842164</v>
      </c>
      <c r="G1050" s="6">
        <v>5.070936067594324</v>
      </c>
      <c r="H1050" s="6">
        <v>8119892.329627621</v>
      </c>
      <c r="I1050" s="6">
        <v>446.31014181027683</v>
      </c>
      <c r="J1050" s="6">
        <v>3.872087720964498</v>
      </c>
      <c r="K1050" s="6"/>
      <c r="L1050" s="6"/>
      <c r="M1050" s="6"/>
      <c r="N1050" s="6">
        <f t="shared" ref="N1050:P1050" si="1053">IF(LEN($C1050)&gt;0,H1050-E1050,"")</f>
        <v>-89314.1423</v>
      </c>
      <c r="O1050" s="6">
        <f t="shared" si="1053"/>
        <v>-3.737300648</v>
      </c>
      <c r="P1050" s="6">
        <f t="shared" si="1053"/>
        <v>-1.198848347</v>
      </c>
      <c r="Q1050" s="6"/>
      <c r="R1050" s="6"/>
      <c r="S1050" s="6"/>
      <c r="T1050" s="6"/>
      <c r="U1050" s="6"/>
      <c r="V1050" s="6"/>
      <c r="W1050" s="6"/>
      <c r="X1050" s="6"/>
      <c r="Y1050" s="6"/>
      <c r="Z1050" s="6"/>
      <c r="AA1050" s="6"/>
      <c r="AB1050" s="6"/>
      <c r="AC1050" s="6"/>
      <c r="AD1050" s="6"/>
      <c r="AE1050" s="6"/>
      <c r="AF1050" s="6"/>
      <c r="AG1050" s="6"/>
    </row>
    <row r="1051" ht="14.25" customHeight="1">
      <c r="A1051" s="6"/>
      <c r="B1051" s="6"/>
      <c r="C1051" s="6">
        <v>1044.0</v>
      </c>
      <c r="D1051" s="6"/>
      <c r="E1051" s="6">
        <v>6399955.057470816</v>
      </c>
      <c r="F1051" s="6">
        <v>477.28878821862156</v>
      </c>
      <c r="G1051" s="6">
        <v>5.344560209598985</v>
      </c>
      <c r="H1051" s="6">
        <v>6308972.237320407</v>
      </c>
      <c r="I1051" s="6">
        <v>474.8243037012874</v>
      </c>
      <c r="J1051" s="6">
        <v>4.014225100729053</v>
      </c>
      <c r="K1051" s="6"/>
      <c r="L1051" s="6"/>
      <c r="M1051" s="6"/>
      <c r="N1051" s="6">
        <f t="shared" ref="N1051:P1051" si="1054">IF(LEN($C1051)&gt;0,H1051-E1051,"")</f>
        <v>-90982.82015</v>
      </c>
      <c r="O1051" s="6">
        <f t="shared" si="1054"/>
        <v>-2.464484517</v>
      </c>
      <c r="P1051" s="6">
        <f t="shared" si="1054"/>
        <v>-1.330335109</v>
      </c>
      <c r="Q1051" s="6"/>
      <c r="R1051" s="6"/>
      <c r="S1051" s="6"/>
      <c r="T1051" s="6"/>
      <c r="U1051" s="6"/>
      <c r="V1051" s="6"/>
      <c r="W1051" s="6"/>
      <c r="X1051" s="6"/>
      <c r="Y1051" s="6"/>
      <c r="Z1051" s="6"/>
      <c r="AA1051" s="6"/>
      <c r="AB1051" s="6"/>
      <c r="AC1051" s="6"/>
      <c r="AD1051" s="6"/>
      <c r="AE1051" s="6"/>
      <c r="AF1051" s="6"/>
      <c r="AG1051" s="6"/>
    </row>
    <row r="1052" ht="14.25" customHeight="1">
      <c r="A1052" s="6"/>
      <c r="B1052" s="6"/>
      <c r="C1052" s="6">
        <v>1045.0</v>
      </c>
      <c r="D1052" s="6"/>
      <c r="E1052" s="6">
        <v>6424424.512203523</v>
      </c>
      <c r="F1052" s="6">
        <v>474.8491379397394</v>
      </c>
      <c r="G1052" s="6">
        <v>6.545480713354985</v>
      </c>
      <c r="H1052" s="6">
        <v>6257648.584350972</v>
      </c>
      <c r="I1052" s="6">
        <v>469.7196942686909</v>
      </c>
      <c r="J1052" s="6">
        <v>4.782952562159341</v>
      </c>
      <c r="K1052" s="6"/>
      <c r="L1052" s="6"/>
      <c r="M1052" s="6"/>
      <c r="N1052" s="6">
        <f t="shared" ref="N1052:P1052" si="1055">IF(LEN($C1052)&gt;0,H1052-E1052,"")</f>
        <v>-166775.9279</v>
      </c>
      <c r="O1052" s="6">
        <f t="shared" si="1055"/>
        <v>-5.129443671</v>
      </c>
      <c r="P1052" s="6">
        <f t="shared" si="1055"/>
        <v>-1.762528151</v>
      </c>
      <c r="Q1052" s="6"/>
      <c r="R1052" s="6"/>
      <c r="S1052" s="6"/>
      <c r="T1052" s="6"/>
      <c r="U1052" s="6"/>
      <c r="V1052" s="6"/>
      <c r="W1052" s="6"/>
      <c r="X1052" s="6"/>
      <c r="Y1052" s="6"/>
      <c r="Z1052" s="6"/>
      <c r="AA1052" s="6"/>
      <c r="AB1052" s="6"/>
      <c r="AC1052" s="6"/>
      <c r="AD1052" s="6"/>
      <c r="AE1052" s="6"/>
      <c r="AF1052" s="6"/>
      <c r="AG1052" s="6"/>
    </row>
    <row r="1053" ht="14.25" customHeight="1">
      <c r="A1053" s="6"/>
      <c r="B1053" s="6"/>
      <c r="C1053" s="6">
        <v>1046.0</v>
      </c>
      <c r="D1053" s="6"/>
      <c r="E1053" s="6">
        <v>1.065760368482006E7</v>
      </c>
      <c r="F1053" s="6">
        <v>490.3380667075538</v>
      </c>
      <c r="G1053" s="6">
        <v>4.6143813016511395</v>
      </c>
      <c r="H1053" s="6">
        <v>1.0508653550464598E7</v>
      </c>
      <c r="I1053" s="6">
        <v>485.9163064707429</v>
      </c>
      <c r="J1053" s="6">
        <v>3.230381514171947</v>
      </c>
      <c r="K1053" s="6"/>
      <c r="L1053" s="6"/>
      <c r="M1053" s="6"/>
      <c r="N1053" s="6">
        <f t="shared" ref="N1053:P1053" si="1056">IF(LEN($C1053)&gt;0,H1053-E1053,"")</f>
        <v>-148950.1344</v>
      </c>
      <c r="O1053" s="6">
        <f t="shared" si="1056"/>
        <v>-4.421760237</v>
      </c>
      <c r="P1053" s="6">
        <f t="shared" si="1056"/>
        <v>-1.383999787</v>
      </c>
      <c r="Q1053" s="6"/>
      <c r="R1053" s="6"/>
      <c r="S1053" s="6"/>
      <c r="T1053" s="6"/>
      <c r="U1053" s="6"/>
      <c r="V1053" s="6"/>
      <c r="W1053" s="6"/>
      <c r="X1053" s="6"/>
      <c r="Y1053" s="6"/>
      <c r="Z1053" s="6"/>
      <c r="AA1053" s="6"/>
      <c r="AB1053" s="6"/>
      <c r="AC1053" s="6"/>
      <c r="AD1053" s="6"/>
      <c r="AE1053" s="6"/>
      <c r="AF1053" s="6"/>
      <c r="AG1053" s="6"/>
    </row>
    <row r="1054" ht="14.25" customHeight="1">
      <c r="A1054" s="6"/>
      <c r="B1054" s="6"/>
      <c r="C1054" s="6">
        <v>1047.0</v>
      </c>
      <c r="D1054" s="6"/>
      <c r="E1054" s="6">
        <v>8462641.911399765</v>
      </c>
      <c r="F1054" s="6">
        <v>432.8021363837198</v>
      </c>
      <c r="G1054" s="6">
        <v>4.194839401381454</v>
      </c>
      <c r="H1054" s="6">
        <v>8391081.131860832</v>
      </c>
      <c r="I1054" s="6">
        <v>430.6979905742605</v>
      </c>
      <c r="J1054" s="6">
        <v>3.19209371336341</v>
      </c>
      <c r="K1054" s="6"/>
      <c r="L1054" s="6"/>
      <c r="M1054" s="6"/>
      <c r="N1054" s="6">
        <f t="shared" ref="N1054:P1054" si="1057">IF(LEN($C1054)&gt;0,H1054-E1054,"")</f>
        <v>-71560.77954</v>
      </c>
      <c r="O1054" s="6">
        <f t="shared" si="1057"/>
        <v>-2.104145809</v>
      </c>
      <c r="P1054" s="6">
        <f t="shared" si="1057"/>
        <v>-1.002745688</v>
      </c>
      <c r="Q1054" s="6"/>
      <c r="R1054" s="6"/>
      <c r="S1054" s="6"/>
      <c r="T1054" s="6"/>
      <c r="U1054" s="6"/>
      <c r="V1054" s="6"/>
      <c r="W1054" s="6"/>
      <c r="X1054" s="6"/>
      <c r="Y1054" s="6"/>
      <c r="Z1054" s="6"/>
      <c r="AA1054" s="6"/>
      <c r="AB1054" s="6"/>
      <c r="AC1054" s="6"/>
      <c r="AD1054" s="6"/>
      <c r="AE1054" s="6"/>
      <c r="AF1054" s="6"/>
      <c r="AG1054" s="6"/>
    </row>
    <row r="1055" ht="14.25" customHeight="1">
      <c r="A1055" s="6"/>
      <c r="B1055" s="6"/>
      <c r="C1055" s="6">
        <v>1048.0</v>
      </c>
      <c r="D1055" s="6"/>
      <c r="E1055" s="6">
        <v>7874784.223744921</v>
      </c>
      <c r="F1055" s="6">
        <v>468.4638085599488</v>
      </c>
      <c r="G1055" s="6">
        <v>3.8998703677083726</v>
      </c>
      <c r="H1055" s="6">
        <v>7781593.141614492</v>
      </c>
      <c r="I1055" s="6">
        <v>464.5719608321365</v>
      </c>
      <c r="J1055" s="6">
        <v>2.6546735462095064</v>
      </c>
      <c r="K1055" s="6"/>
      <c r="L1055" s="6"/>
      <c r="M1055" s="6"/>
      <c r="N1055" s="6">
        <f t="shared" ref="N1055:P1055" si="1058">IF(LEN($C1055)&gt;0,H1055-E1055,"")</f>
        <v>-93191.08213</v>
      </c>
      <c r="O1055" s="6">
        <f t="shared" si="1058"/>
        <v>-3.891847728</v>
      </c>
      <c r="P1055" s="6">
        <f t="shared" si="1058"/>
        <v>-1.245196821</v>
      </c>
      <c r="Q1055" s="6"/>
      <c r="R1055" s="6"/>
      <c r="S1055" s="6"/>
      <c r="T1055" s="6"/>
      <c r="U1055" s="6"/>
      <c r="V1055" s="6"/>
      <c r="W1055" s="6"/>
      <c r="X1055" s="6"/>
      <c r="Y1055" s="6"/>
      <c r="Z1055" s="6"/>
      <c r="AA1055" s="6"/>
      <c r="AB1055" s="6"/>
      <c r="AC1055" s="6"/>
      <c r="AD1055" s="6"/>
      <c r="AE1055" s="6"/>
      <c r="AF1055" s="6"/>
      <c r="AG1055" s="6"/>
    </row>
    <row r="1056" ht="14.25" customHeight="1">
      <c r="A1056" s="6"/>
      <c r="B1056" s="6"/>
      <c r="C1056" s="6">
        <v>1049.0</v>
      </c>
      <c r="D1056" s="6"/>
      <c r="E1056" s="6">
        <v>6382731.296777012</v>
      </c>
      <c r="F1056" s="6">
        <v>433.3455988883153</v>
      </c>
      <c r="G1056" s="6">
        <v>4.257236498508568</v>
      </c>
      <c r="H1056" s="6">
        <v>6315340.455036063</v>
      </c>
      <c r="I1056" s="6">
        <v>429.14385207489653</v>
      </c>
      <c r="J1056" s="6">
        <v>2.972345941178525</v>
      </c>
      <c r="K1056" s="6"/>
      <c r="L1056" s="6"/>
      <c r="M1056" s="6"/>
      <c r="N1056" s="6">
        <f t="shared" ref="N1056:P1056" si="1059">IF(LEN($C1056)&gt;0,H1056-E1056,"")</f>
        <v>-67390.84174</v>
      </c>
      <c r="O1056" s="6">
        <f t="shared" si="1059"/>
        <v>-4.201746813</v>
      </c>
      <c r="P1056" s="6">
        <f t="shared" si="1059"/>
        <v>-1.284890557</v>
      </c>
      <c r="Q1056" s="6"/>
      <c r="R1056" s="6"/>
      <c r="S1056" s="6"/>
      <c r="T1056" s="6"/>
      <c r="U1056" s="6"/>
      <c r="V1056" s="6"/>
      <c r="W1056" s="6"/>
      <c r="X1056" s="6"/>
      <c r="Y1056" s="6"/>
      <c r="Z1056" s="6"/>
      <c r="AA1056" s="6"/>
      <c r="AB1056" s="6"/>
      <c r="AC1056" s="6"/>
      <c r="AD1056" s="6"/>
      <c r="AE1056" s="6"/>
      <c r="AF1056" s="6"/>
      <c r="AG1056" s="6"/>
    </row>
    <row r="1057" ht="14.25" customHeight="1">
      <c r="A1057" s="6"/>
      <c r="B1057" s="6"/>
      <c r="C1057" s="6">
        <v>1050.0</v>
      </c>
      <c r="D1057" s="6"/>
      <c r="E1057" s="6">
        <v>6437156.391413683</v>
      </c>
      <c r="F1057" s="6">
        <v>456.9917576518714</v>
      </c>
      <c r="G1057" s="6">
        <v>4.764696448768324</v>
      </c>
      <c r="H1057" s="6">
        <v>6175173.1576943835</v>
      </c>
      <c r="I1057" s="6">
        <v>443.41627483018857</v>
      </c>
      <c r="J1057" s="6">
        <v>2.80382292075234</v>
      </c>
      <c r="K1057" s="6"/>
      <c r="L1057" s="6"/>
      <c r="M1057" s="6"/>
      <c r="N1057" s="6">
        <f t="shared" ref="N1057:P1057" si="1060">IF(LEN($C1057)&gt;0,H1057-E1057,"")</f>
        <v>-261983.2337</v>
      </c>
      <c r="O1057" s="6">
        <f t="shared" si="1060"/>
        <v>-13.57548282</v>
      </c>
      <c r="P1057" s="6">
        <f t="shared" si="1060"/>
        <v>-1.960873528</v>
      </c>
      <c r="Q1057" s="6"/>
      <c r="R1057" s="6"/>
      <c r="S1057" s="6"/>
      <c r="T1057" s="6"/>
      <c r="U1057" s="6"/>
      <c r="V1057" s="6"/>
      <c r="W1057" s="6"/>
      <c r="X1057" s="6"/>
      <c r="Y1057" s="6"/>
      <c r="Z1057" s="6"/>
      <c r="AA1057" s="6"/>
      <c r="AB1057" s="6"/>
      <c r="AC1057" s="6"/>
      <c r="AD1057" s="6"/>
      <c r="AE1057" s="6"/>
      <c r="AF1057" s="6"/>
      <c r="AG1057" s="6"/>
    </row>
    <row r="1058" ht="14.25" customHeight="1">
      <c r="A1058" s="6"/>
      <c r="B1058" s="6"/>
      <c r="C1058" s="6">
        <v>1051.0</v>
      </c>
      <c r="D1058" s="6"/>
      <c r="E1058" s="6">
        <v>7794068.037541458</v>
      </c>
      <c r="F1058" s="6">
        <v>482.89649283822047</v>
      </c>
      <c r="G1058" s="6">
        <v>5.132613566912603</v>
      </c>
      <c r="H1058" s="6">
        <v>7732607.86363889</v>
      </c>
      <c r="I1058" s="6">
        <v>480.4377540131167</v>
      </c>
      <c r="J1058" s="6">
        <v>3.861364618448386</v>
      </c>
      <c r="K1058" s="6"/>
      <c r="L1058" s="6"/>
      <c r="M1058" s="6"/>
      <c r="N1058" s="6">
        <f t="shared" ref="N1058:P1058" si="1061">IF(LEN($C1058)&gt;0,H1058-E1058,"")</f>
        <v>-61460.1739</v>
      </c>
      <c r="O1058" s="6">
        <f t="shared" si="1061"/>
        <v>-2.458738825</v>
      </c>
      <c r="P1058" s="6">
        <f t="shared" si="1061"/>
        <v>-1.271248948</v>
      </c>
      <c r="Q1058" s="6"/>
      <c r="R1058" s="6"/>
      <c r="S1058" s="6"/>
      <c r="T1058" s="6"/>
      <c r="U1058" s="6"/>
      <c r="V1058" s="6"/>
      <c r="W1058" s="6"/>
      <c r="X1058" s="6"/>
      <c r="Y1058" s="6"/>
      <c r="Z1058" s="6"/>
      <c r="AA1058" s="6"/>
      <c r="AB1058" s="6"/>
      <c r="AC1058" s="6"/>
      <c r="AD1058" s="6"/>
      <c r="AE1058" s="6"/>
      <c r="AF1058" s="6"/>
      <c r="AG1058" s="6"/>
    </row>
    <row r="1059" ht="14.25" customHeight="1">
      <c r="A1059" s="6"/>
      <c r="B1059" s="6"/>
      <c r="C1059" s="6">
        <v>1052.0</v>
      </c>
      <c r="D1059" s="6"/>
      <c r="E1059" s="6">
        <v>6110338.309742813</v>
      </c>
      <c r="F1059" s="6">
        <v>441.6843831302396</v>
      </c>
      <c r="G1059" s="6">
        <v>5.043352949822493</v>
      </c>
      <c r="H1059" s="6">
        <v>6029549.23092346</v>
      </c>
      <c r="I1059" s="6">
        <v>438.3733789773066</v>
      </c>
      <c r="J1059" s="6">
        <v>3.7572967714439622</v>
      </c>
      <c r="K1059" s="6"/>
      <c r="L1059" s="6"/>
      <c r="M1059" s="6"/>
      <c r="N1059" s="6">
        <f t="shared" ref="N1059:P1059" si="1062">IF(LEN($C1059)&gt;0,H1059-E1059,"")</f>
        <v>-80789.07882</v>
      </c>
      <c r="O1059" s="6">
        <f t="shared" si="1062"/>
        <v>-3.311004153</v>
      </c>
      <c r="P1059" s="6">
        <f t="shared" si="1062"/>
        <v>-1.286056178</v>
      </c>
      <c r="Q1059" s="6"/>
      <c r="R1059" s="6"/>
      <c r="S1059" s="6"/>
      <c r="T1059" s="6"/>
      <c r="U1059" s="6"/>
      <c r="V1059" s="6"/>
      <c r="W1059" s="6"/>
      <c r="X1059" s="6"/>
      <c r="Y1059" s="6"/>
      <c r="Z1059" s="6"/>
      <c r="AA1059" s="6"/>
      <c r="AB1059" s="6"/>
      <c r="AC1059" s="6"/>
      <c r="AD1059" s="6"/>
      <c r="AE1059" s="6"/>
      <c r="AF1059" s="6"/>
      <c r="AG1059" s="6"/>
    </row>
    <row r="1060" ht="14.25" customHeight="1">
      <c r="A1060" s="6"/>
      <c r="B1060" s="6"/>
      <c r="C1060" s="6">
        <v>1053.0</v>
      </c>
      <c r="D1060" s="6"/>
      <c r="E1060" s="6">
        <v>6921964.545647459</v>
      </c>
      <c r="F1060" s="6">
        <v>484.26097521009376</v>
      </c>
      <c r="G1060" s="6">
        <v>5.064647249349859</v>
      </c>
      <c r="H1060" s="6">
        <v>6830856.445486762</v>
      </c>
      <c r="I1060" s="6">
        <v>480.99558833371754</v>
      </c>
      <c r="J1060" s="6">
        <v>3.877140783131004</v>
      </c>
      <c r="K1060" s="6"/>
      <c r="L1060" s="6"/>
      <c r="M1060" s="6"/>
      <c r="N1060" s="6">
        <f t="shared" ref="N1060:P1060" si="1063">IF(LEN($C1060)&gt;0,H1060-E1060,"")</f>
        <v>-91108.10016</v>
      </c>
      <c r="O1060" s="6">
        <f t="shared" si="1063"/>
        <v>-3.265386876</v>
      </c>
      <c r="P1060" s="6">
        <f t="shared" si="1063"/>
        <v>-1.187506466</v>
      </c>
      <c r="Q1060" s="6"/>
      <c r="R1060" s="6"/>
      <c r="S1060" s="6"/>
      <c r="T1060" s="6"/>
      <c r="U1060" s="6"/>
      <c r="V1060" s="6"/>
      <c r="W1060" s="6"/>
      <c r="X1060" s="6"/>
      <c r="Y1060" s="6"/>
      <c r="Z1060" s="6"/>
      <c r="AA1060" s="6"/>
      <c r="AB1060" s="6"/>
      <c r="AC1060" s="6"/>
      <c r="AD1060" s="6"/>
      <c r="AE1060" s="6"/>
      <c r="AF1060" s="6"/>
      <c r="AG1060" s="6"/>
    </row>
    <row r="1061" ht="14.25" customHeight="1">
      <c r="A1061" s="6"/>
      <c r="B1061" s="6"/>
      <c r="C1061" s="6">
        <v>1054.0</v>
      </c>
      <c r="D1061" s="6"/>
      <c r="E1061" s="6">
        <v>6085584.517225424</v>
      </c>
      <c r="F1061" s="6">
        <v>475.5273158498516</v>
      </c>
      <c r="G1061" s="6">
        <v>4.578117038787179</v>
      </c>
      <c r="H1061" s="6">
        <v>6037433.329348234</v>
      </c>
      <c r="I1061" s="6">
        <v>473.5582662906488</v>
      </c>
      <c r="J1061" s="6">
        <v>3.8443570029777505</v>
      </c>
      <c r="K1061" s="6"/>
      <c r="L1061" s="6"/>
      <c r="M1061" s="6"/>
      <c r="N1061" s="6">
        <f t="shared" ref="N1061:P1061" si="1064">IF(LEN($C1061)&gt;0,H1061-E1061,"")</f>
        <v>-48151.18788</v>
      </c>
      <c r="O1061" s="6">
        <f t="shared" si="1064"/>
        <v>-1.969049559</v>
      </c>
      <c r="P1061" s="6">
        <f t="shared" si="1064"/>
        <v>-0.7337600358</v>
      </c>
      <c r="Q1061" s="6"/>
      <c r="R1061" s="6"/>
      <c r="S1061" s="6"/>
      <c r="T1061" s="6"/>
      <c r="U1061" s="6"/>
      <c r="V1061" s="6"/>
      <c r="W1061" s="6"/>
      <c r="X1061" s="6"/>
      <c r="Y1061" s="6"/>
      <c r="Z1061" s="6"/>
      <c r="AA1061" s="6"/>
      <c r="AB1061" s="6"/>
      <c r="AC1061" s="6"/>
      <c r="AD1061" s="6"/>
      <c r="AE1061" s="6"/>
      <c r="AF1061" s="6"/>
      <c r="AG1061" s="6"/>
    </row>
    <row r="1062" ht="14.25" customHeight="1">
      <c r="A1062" s="6"/>
      <c r="B1062" s="6"/>
      <c r="C1062" s="6">
        <v>1055.0</v>
      </c>
      <c r="D1062" s="6"/>
      <c r="E1062" s="6">
        <v>6999367.399082782</v>
      </c>
      <c r="F1062" s="6">
        <v>430.2437142238227</v>
      </c>
      <c r="G1062" s="6">
        <v>4.608870715933816</v>
      </c>
      <c r="H1062" s="6">
        <v>6901777.007137111</v>
      </c>
      <c r="I1062" s="6">
        <v>426.971243847785</v>
      </c>
      <c r="J1062" s="6">
        <v>3.6499970979858376</v>
      </c>
      <c r="K1062" s="6"/>
      <c r="L1062" s="6"/>
      <c r="M1062" s="6"/>
      <c r="N1062" s="6">
        <f t="shared" ref="N1062:P1062" si="1065">IF(LEN($C1062)&gt;0,H1062-E1062,"")</f>
        <v>-97590.39195</v>
      </c>
      <c r="O1062" s="6">
        <f t="shared" si="1065"/>
        <v>-3.272470376</v>
      </c>
      <c r="P1062" s="6">
        <f t="shared" si="1065"/>
        <v>-0.9588736179</v>
      </c>
      <c r="Q1062" s="6"/>
      <c r="R1062" s="6"/>
      <c r="S1062" s="6"/>
      <c r="T1062" s="6"/>
      <c r="U1062" s="6"/>
      <c r="V1062" s="6"/>
      <c r="W1062" s="6"/>
      <c r="X1062" s="6"/>
      <c r="Y1062" s="6"/>
      <c r="Z1062" s="6"/>
      <c r="AA1062" s="6"/>
      <c r="AB1062" s="6"/>
      <c r="AC1062" s="6"/>
      <c r="AD1062" s="6"/>
      <c r="AE1062" s="6"/>
      <c r="AF1062" s="6"/>
      <c r="AG1062" s="6"/>
    </row>
    <row r="1063" ht="14.25" customHeight="1">
      <c r="A1063" s="6"/>
      <c r="B1063" s="6"/>
      <c r="C1063" s="6">
        <v>1056.0</v>
      </c>
      <c r="D1063" s="6"/>
      <c r="E1063" s="6">
        <v>6746757.851024327</v>
      </c>
      <c r="F1063" s="6">
        <v>470.7924637379408</v>
      </c>
      <c r="G1063" s="6">
        <v>4.758871953134836</v>
      </c>
      <c r="H1063" s="6">
        <v>6652141.350936082</v>
      </c>
      <c r="I1063" s="6">
        <v>468.3679160635968</v>
      </c>
      <c r="J1063" s="6">
        <v>3.5252248000952124</v>
      </c>
      <c r="K1063" s="6"/>
      <c r="L1063" s="6"/>
      <c r="M1063" s="6"/>
      <c r="N1063" s="6">
        <f t="shared" ref="N1063:P1063" si="1066">IF(LEN($C1063)&gt;0,H1063-E1063,"")</f>
        <v>-94616.50009</v>
      </c>
      <c r="O1063" s="6">
        <f t="shared" si="1066"/>
        <v>-2.424547674</v>
      </c>
      <c r="P1063" s="6">
        <f t="shared" si="1066"/>
        <v>-1.233647153</v>
      </c>
      <c r="Q1063" s="6"/>
      <c r="R1063" s="6"/>
      <c r="S1063" s="6"/>
      <c r="T1063" s="6"/>
      <c r="U1063" s="6"/>
      <c r="V1063" s="6"/>
      <c r="W1063" s="6"/>
      <c r="X1063" s="6"/>
      <c r="Y1063" s="6"/>
      <c r="Z1063" s="6"/>
      <c r="AA1063" s="6"/>
      <c r="AB1063" s="6"/>
      <c r="AC1063" s="6"/>
      <c r="AD1063" s="6"/>
      <c r="AE1063" s="6"/>
      <c r="AF1063" s="6"/>
      <c r="AG1063" s="6"/>
    </row>
    <row r="1064" ht="14.25" customHeight="1">
      <c r="A1064" s="6"/>
      <c r="B1064" s="6"/>
      <c r="C1064" s="6">
        <v>1057.0</v>
      </c>
      <c r="D1064" s="6"/>
      <c r="E1064" s="6">
        <v>9073045.047263091</v>
      </c>
      <c r="F1064" s="6">
        <v>448.14886446620727</v>
      </c>
      <c r="G1064" s="6">
        <v>5.4371747344486385</v>
      </c>
      <c r="H1064" s="6">
        <v>8871933.68032182</v>
      </c>
      <c r="I1064" s="6">
        <v>439.448640685022</v>
      </c>
      <c r="J1064" s="6">
        <v>3.4627436442293917</v>
      </c>
      <c r="K1064" s="6"/>
      <c r="L1064" s="6"/>
      <c r="M1064" s="6"/>
      <c r="N1064" s="6">
        <f t="shared" ref="N1064:P1064" si="1067">IF(LEN($C1064)&gt;0,H1064-E1064,"")</f>
        <v>-201111.3669</v>
      </c>
      <c r="O1064" s="6">
        <f t="shared" si="1067"/>
        <v>-8.700223781</v>
      </c>
      <c r="P1064" s="6">
        <f t="shared" si="1067"/>
        <v>-1.97443109</v>
      </c>
      <c r="Q1064" s="6"/>
      <c r="R1064" s="6"/>
      <c r="S1064" s="6"/>
      <c r="T1064" s="6"/>
      <c r="U1064" s="6"/>
      <c r="V1064" s="6"/>
      <c r="W1064" s="6"/>
      <c r="X1064" s="6"/>
      <c r="Y1064" s="6"/>
      <c r="Z1064" s="6"/>
      <c r="AA1064" s="6"/>
      <c r="AB1064" s="6"/>
      <c r="AC1064" s="6"/>
      <c r="AD1064" s="6"/>
      <c r="AE1064" s="6"/>
      <c r="AF1064" s="6"/>
      <c r="AG1064" s="6"/>
    </row>
    <row r="1065" ht="14.25" customHeight="1">
      <c r="A1065" s="6"/>
      <c r="B1065" s="6"/>
      <c r="C1065" s="6">
        <v>1058.0</v>
      </c>
      <c r="D1065" s="6"/>
      <c r="E1065" s="6">
        <v>5762164.793654245</v>
      </c>
      <c r="F1065" s="6">
        <v>488.690687387775</v>
      </c>
      <c r="G1065" s="6">
        <v>5.934833423645168</v>
      </c>
      <c r="H1065" s="6">
        <v>5712103.306153841</v>
      </c>
      <c r="I1065" s="6">
        <v>486.0282639779097</v>
      </c>
      <c r="J1065" s="6">
        <v>5.22311776505622</v>
      </c>
      <c r="K1065" s="6"/>
      <c r="L1065" s="6"/>
      <c r="M1065" s="6"/>
      <c r="N1065" s="6">
        <f t="shared" ref="N1065:P1065" si="1068">IF(LEN($C1065)&gt;0,H1065-E1065,"")</f>
        <v>-50061.4875</v>
      </c>
      <c r="O1065" s="6">
        <f t="shared" si="1068"/>
        <v>-2.66242341</v>
      </c>
      <c r="P1065" s="6">
        <f t="shared" si="1068"/>
        <v>-0.7117156586</v>
      </c>
      <c r="Q1065" s="6"/>
      <c r="R1065" s="6"/>
      <c r="S1065" s="6"/>
      <c r="T1065" s="6"/>
      <c r="U1065" s="6"/>
      <c r="V1065" s="6"/>
      <c r="W1065" s="6"/>
      <c r="X1065" s="6"/>
      <c r="Y1065" s="6"/>
      <c r="Z1065" s="6"/>
      <c r="AA1065" s="6"/>
      <c r="AB1065" s="6"/>
      <c r="AC1065" s="6"/>
      <c r="AD1065" s="6"/>
      <c r="AE1065" s="6"/>
      <c r="AF1065" s="6"/>
      <c r="AG1065" s="6"/>
    </row>
    <row r="1066" ht="14.25" customHeight="1">
      <c r="A1066" s="6"/>
      <c r="B1066" s="6"/>
      <c r="C1066" s="6">
        <v>1059.0</v>
      </c>
      <c r="D1066" s="6"/>
      <c r="E1066" s="6">
        <v>7034177.175390343</v>
      </c>
      <c r="F1066" s="6">
        <v>442.8012537771344</v>
      </c>
      <c r="G1066" s="6">
        <v>4.633696189040163</v>
      </c>
      <c r="H1066" s="6">
        <v>6956584.009089148</v>
      </c>
      <c r="I1066" s="6">
        <v>439.54555956935496</v>
      </c>
      <c r="J1066" s="6">
        <v>3.6561054981578476</v>
      </c>
      <c r="K1066" s="6"/>
      <c r="L1066" s="6"/>
      <c r="M1066" s="6"/>
      <c r="N1066" s="6">
        <f t="shared" ref="N1066:P1066" si="1069">IF(LEN($C1066)&gt;0,H1066-E1066,"")</f>
        <v>-77593.1663</v>
      </c>
      <c r="O1066" s="6">
        <f t="shared" si="1069"/>
        <v>-3.255694208</v>
      </c>
      <c r="P1066" s="6">
        <f t="shared" si="1069"/>
        <v>-0.9775906909</v>
      </c>
      <c r="Q1066" s="6"/>
      <c r="R1066" s="6"/>
      <c r="S1066" s="6"/>
      <c r="T1066" s="6"/>
      <c r="U1066" s="6"/>
      <c r="V1066" s="6"/>
      <c r="W1066" s="6"/>
      <c r="X1066" s="6"/>
      <c r="Y1066" s="6"/>
      <c r="Z1066" s="6"/>
      <c r="AA1066" s="6"/>
      <c r="AB1066" s="6"/>
      <c r="AC1066" s="6"/>
      <c r="AD1066" s="6"/>
      <c r="AE1066" s="6"/>
      <c r="AF1066" s="6"/>
      <c r="AG1066" s="6"/>
    </row>
    <row r="1067" ht="14.25" customHeight="1">
      <c r="A1067" s="6"/>
      <c r="B1067" s="6"/>
      <c r="C1067" s="6">
        <v>1060.0</v>
      </c>
      <c r="D1067" s="6"/>
      <c r="E1067" s="6">
        <v>5963293.972106122</v>
      </c>
      <c r="F1067" s="6">
        <v>477.01960584047623</v>
      </c>
      <c r="G1067" s="6">
        <v>5.344709151610548</v>
      </c>
      <c r="H1067" s="6">
        <v>5858019.409450005</v>
      </c>
      <c r="I1067" s="6">
        <v>473.18239313221596</v>
      </c>
      <c r="J1067" s="6">
        <v>3.660998810718369</v>
      </c>
      <c r="K1067" s="6"/>
      <c r="L1067" s="6"/>
      <c r="M1067" s="6"/>
      <c r="N1067" s="6">
        <f t="shared" ref="N1067:P1067" si="1070">IF(LEN($C1067)&gt;0,H1067-E1067,"")</f>
        <v>-105274.5627</v>
      </c>
      <c r="O1067" s="6">
        <f t="shared" si="1070"/>
        <v>-3.837212708</v>
      </c>
      <c r="P1067" s="6">
        <f t="shared" si="1070"/>
        <v>-1.683710341</v>
      </c>
      <c r="Q1067" s="6"/>
      <c r="R1067" s="6"/>
      <c r="S1067" s="6"/>
      <c r="T1067" s="6"/>
      <c r="U1067" s="6"/>
      <c r="V1067" s="6"/>
      <c r="W1067" s="6"/>
      <c r="X1067" s="6"/>
      <c r="Y1067" s="6"/>
      <c r="Z1067" s="6"/>
      <c r="AA1067" s="6"/>
      <c r="AB1067" s="6"/>
      <c r="AC1067" s="6"/>
      <c r="AD1067" s="6"/>
      <c r="AE1067" s="6"/>
      <c r="AF1067" s="6"/>
      <c r="AG1067" s="6"/>
    </row>
    <row r="1068" ht="14.25" customHeight="1">
      <c r="A1068" s="6"/>
      <c r="B1068" s="6"/>
      <c r="C1068" s="6">
        <v>1061.0</v>
      </c>
      <c r="D1068" s="6"/>
      <c r="E1068" s="6">
        <v>8135254.029003733</v>
      </c>
      <c r="F1068" s="6">
        <v>448.97059387780143</v>
      </c>
      <c r="G1068" s="6">
        <v>4.677460627266171</v>
      </c>
      <c r="H1068" s="6">
        <v>7889006.8402522765</v>
      </c>
      <c r="I1068" s="6">
        <v>440.34060436364786</v>
      </c>
      <c r="J1068" s="6">
        <v>3.0635663427741613</v>
      </c>
      <c r="K1068" s="6"/>
      <c r="L1068" s="6"/>
      <c r="M1068" s="6"/>
      <c r="N1068" s="6">
        <f t="shared" ref="N1068:P1068" si="1071">IF(LEN($C1068)&gt;0,H1068-E1068,"")</f>
        <v>-246247.1888</v>
      </c>
      <c r="O1068" s="6">
        <f t="shared" si="1071"/>
        <v>-8.629989514</v>
      </c>
      <c r="P1068" s="6">
        <f t="shared" si="1071"/>
        <v>-1.613894284</v>
      </c>
      <c r="Q1068" s="6"/>
      <c r="R1068" s="6"/>
      <c r="S1068" s="6"/>
      <c r="T1068" s="6"/>
      <c r="U1068" s="6"/>
      <c r="V1068" s="6"/>
      <c r="W1068" s="6"/>
      <c r="X1068" s="6"/>
      <c r="Y1068" s="6"/>
      <c r="Z1068" s="6"/>
      <c r="AA1068" s="6"/>
      <c r="AB1068" s="6"/>
      <c r="AC1068" s="6"/>
      <c r="AD1068" s="6"/>
      <c r="AE1068" s="6"/>
      <c r="AF1068" s="6"/>
      <c r="AG1068" s="6"/>
    </row>
    <row r="1069" ht="14.25" customHeight="1">
      <c r="A1069" s="6"/>
      <c r="B1069" s="6"/>
      <c r="C1069" s="6">
        <v>1062.0</v>
      </c>
      <c r="D1069" s="6"/>
      <c r="E1069" s="6">
        <v>7664545.123877202</v>
      </c>
      <c r="F1069" s="6">
        <v>475.17504038126333</v>
      </c>
      <c r="G1069" s="6">
        <v>4.4350841371470775</v>
      </c>
      <c r="H1069" s="6">
        <v>7554031.715693068</v>
      </c>
      <c r="I1069" s="6">
        <v>471.95708718288716</v>
      </c>
      <c r="J1069" s="6">
        <v>3.199316498196107</v>
      </c>
      <c r="K1069" s="6"/>
      <c r="L1069" s="6"/>
      <c r="M1069" s="6"/>
      <c r="N1069" s="6">
        <f t="shared" ref="N1069:P1069" si="1072">IF(LEN($C1069)&gt;0,H1069-E1069,"")</f>
        <v>-110513.4082</v>
      </c>
      <c r="O1069" s="6">
        <f t="shared" si="1072"/>
        <v>-3.217953198</v>
      </c>
      <c r="P1069" s="6">
        <f t="shared" si="1072"/>
        <v>-1.235767639</v>
      </c>
      <c r="Q1069" s="6"/>
      <c r="R1069" s="6"/>
      <c r="S1069" s="6"/>
      <c r="T1069" s="6"/>
      <c r="U1069" s="6"/>
      <c r="V1069" s="6"/>
      <c r="W1069" s="6"/>
      <c r="X1069" s="6"/>
      <c r="Y1069" s="6"/>
      <c r="Z1069" s="6"/>
      <c r="AA1069" s="6"/>
      <c r="AB1069" s="6"/>
      <c r="AC1069" s="6"/>
      <c r="AD1069" s="6"/>
      <c r="AE1069" s="6"/>
      <c r="AF1069" s="6"/>
      <c r="AG1069" s="6"/>
    </row>
    <row r="1070" ht="14.25" customHeight="1">
      <c r="A1070" s="6"/>
      <c r="B1070" s="6"/>
      <c r="C1070" s="6">
        <v>1063.0</v>
      </c>
      <c r="D1070" s="6"/>
      <c r="E1070" s="6">
        <v>5375832.884576266</v>
      </c>
      <c r="F1070" s="6">
        <v>431.4257732182729</v>
      </c>
      <c r="G1070" s="6">
        <v>5.621814295021107</v>
      </c>
      <c r="H1070" s="6">
        <v>5291114.684696167</v>
      </c>
      <c r="I1070" s="6">
        <v>429.183756547941</v>
      </c>
      <c r="J1070" s="6">
        <v>3.9959164881020617</v>
      </c>
      <c r="K1070" s="6"/>
      <c r="L1070" s="6"/>
      <c r="M1070" s="6"/>
      <c r="N1070" s="6">
        <f t="shared" ref="N1070:P1070" si="1073">IF(LEN($C1070)&gt;0,H1070-E1070,"")</f>
        <v>-84718.19988</v>
      </c>
      <c r="O1070" s="6">
        <f t="shared" si="1073"/>
        <v>-2.24201667</v>
      </c>
      <c r="P1070" s="6">
        <f t="shared" si="1073"/>
        <v>-1.625897807</v>
      </c>
      <c r="Q1070" s="6"/>
      <c r="R1070" s="6"/>
      <c r="S1070" s="6"/>
      <c r="T1070" s="6"/>
      <c r="U1070" s="6"/>
      <c r="V1070" s="6"/>
      <c r="W1070" s="6"/>
      <c r="X1070" s="6"/>
      <c r="Y1070" s="6"/>
      <c r="Z1070" s="6"/>
      <c r="AA1070" s="6"/>
      <c r="AB1070" s="6"/>
      <c r="AC1070" s="6"/>
      <c r="AD1070" s="6"/>
      <c r="AE1070" s="6"/>
      <c r="AF1070" s="6"/>
      <c r="AG1070" s="6"/>
    </row>
    <row r="1071" ht="14.25" customHeight="1">
      <c r="A1071" s="6"/>
      <c r="B1071" s="6"/>
      <c r="C1071" s="6">
        <v>1064.0</v>
      </c>
      <c r="D1071" s="6"/>
      <c r="E1071" s="6">
        <v>6634567.860603459</v>
      </c>
      <c r="F1071" s="6">
        <v>441.551440566771</v>
      </c>
      <c r="G1071" s="6">
        <v>5.216026053061124</v>
      </c>
      <c r="H1071" s="6">
        <v>6568143.147583894</v>
      </c>
      <c r="I1071" s="6">
        <v>438.9044402827719</v>
      </c>
      <c r="J1071" s="6">
        <v>4.287700732063207</v>
      </c>
      <c r="K1071" s="6"/>
      <c r="L1071" s="6"/>
      <c r="M1071" s="6"/>
      <c r="N1071" s="6">
        <f t="shared" ref="N1071:P1071" si="1074">IF(LEN($C1071)&gt;0,H1071-E1071,"")</f>
        <v>-66424.71302</v>
      </c>
      <c r="O1071" s="6">
        <f t="shared" si="1074"/>
        <v>-2.647000284</v>
      </c>
      <c r="P1071" s="6">
        <f t="shared" si="1074"/>
        <v>-0.928325321</v>
      </c>
      <c r="Q1071" s="6"/>
      <c r="R1071" s="6"/>
      <c r="S1071" s="6"/>
      <c r="T1071" s="6"/>
      <c r="U1071" s="6"/>
      <c r="V1071" s="6"/>
      <c r="W1071" s="6"/>
      <c r="X1071" s="6"/>
      <c r="Y1071" s="6"/>
      <c r="Z1071" s="6"/>
      <c r="AA1071" s="6"/>
      <c r="AB1071" s="6"/>
      <c r="AC1071" s="6"/>
      <c r="AD1071" s="6"/>
      <c r="AE1071" s="6"/>
      <c r="AF1071" s="6"/>
      <c r="AG1071" s="6"/>
    </row>
    <row r="1072" ht="14.25" customHeight="1">
      <c r="A1072" s="6"/>
      <c r="B1072" s="6"/>
      <c r="C1072" s="6">
        <v>1065.0</v>
      </c>
      <c r="D1072" s="6"/>
      <c r="E1072" s="6">
        <v>8781622.397950811</v>
      </c>
      <c r="F1072" s="6">
        <v>456.1932236489514</v>
      </c>
      <c r="G1072" s="6">
        <v>5.465870779580776</v>
      </c>
      <c r="H1072" s="6">
        <v>8676073.933611881</v>
      </c>
      <c r="I1072" s="6">
        <v>453.26030631948635</v>
      </c>
      <c r="J1072" s="6">
        <v>4.171207301570231</v>
      </c>
      <c r="K1072" s="6"/>
      <c r="L1072" s="6"/>
      <c r="M1072" s="6"/>
      <c r="N1072" s="6">
        <f t="shared" ref="N1072:P1072" si="1075">IF(LEN($C1072)&gt;0,H1072-E1072,"")</f>
        <v>-105548.4643</v>
      </c>
      <c r="O1072" s="6">
        <f t="shared" si="1075"/>
        <v>-2.932917329</v>
      </c>
      <c r="P1072" s="6">
        <f t="shared" si="1075"/>
        <v>-1.294663478</v>
      </c>
      <c r="Q1072" s="6"/>
      <c r="R1072" s="6"/>
      <c r="S1072" s="6"/>
      <c r="T1072" s="6"/>
      <c r="U1072" s="6"/>
      <c r="V1072" s="6"/>
      <c r="W1072" s="6"/>
      <c r="X1072" s="6"/>
      <c r="Y1072" s="6"/>
      <c r="Z1072" s="6"/>
      <c r="AA1072" s="6"/>
      <c r="AB1072" s="6"/>
      <c r="AC1072" s="6"/>
      <c r="AD1072" s="6"/>
      <c r="AE1072" s="6"/>
      <c r="AF1072" s="6"/>
      <c r="AG1072" s="6"/>
    </row>
    <row r="1073" ht="14.25" customHeight="1">
      <c r="A1073" s="6"/>
      <c r="B1073" s="6"/>
      <c r="C1073" s="6">
        <v>1066.0</v>
      </c>
      <c r="D1073" s="6"/>
      <c r="E1073" s="6">
        <v>7505511.26455662</v>
      </c>
      <c r="F1073" s="6">
        <v>459.14406285578747</v>
      </c>
      <c r="G1073" s="6">
        <v>4.225308037792188</v>
      </c>
      <c r="H1073" s="6">
        <v>7428320.19303501</v>
      </c>
      <c r="I1073" s="6">
        <v>455.86062362293785</v>
      </c>
      <c r="J1073" s="6">
        <v>3.179582006923657</v>
      </c>
      <c r="K1073" s="6"/>
      <c r="L1073" s="6"/>
      <c r="M1073" s="6"/>
      <c r="N1073" s="6">
        <f t="shared" ref="N1073:P1073" si="1076">IF(LEN($C1073)&gt;0,H1073-E1073,"")</f>
        <v>-77191.07152</v>
      </c>
      <c r="O1073" s="6">
        <f t="shared" si="1076"/>
        <v>-3.283439233</v>
      </c>
      <c r="P1073" s="6">
        <f t="shared" si="1076"/>
        <v>-1.045726031</v>
      </c>
      <c r="Q1073" s="6"/>
      <c r="R1073" s="6"/>
      <c r="S1073" s="6"/>
      <c r="T1073" s="6"/>
      <c r="U1073" s="6"/>
      <c r="V1073" s="6"/>
      <c r="W1073" s="6"/>
      <c r="X1073" s="6"/>
      <c r="Y1073" s="6"/>
      <c r="Z1073" s="6"/>
      <c r="AA1073" s="6"/>
      <c r="AB1073" s="6"/>
      <c r="AC1073" s="6"/>
      <c r="AD1073" s="6"/>
      <c r="AE1073" s="6"/>
      <c r="AF1073" s="6"/>
      <c r="AG1073" s="6"/>
    </row>
    <row r="1074" ht="14.25" customHeight="1">
      <c r="A1074" s="6"/>
      <c r="B1074" s="6"/>
      <c r="C1074" s="6">
        <v>1067.0</v>
      </c>
      <c r="D1074" s="6"/>
      <c r="E1074" s="6">
        <v>7502242.364479113</v>
      </c>
      <c r="F1074" s="6">
        <v>449.2359040649935</v>
      </c>
      <c r="G1074" s="6">
        <v>5.462149767295957</v>
      </c>
      <c r="H1074" s="6">
        <v>7396892.687321866</v>
      </c>
      <c r="I1074" s="6">
        <v>443.83259750895655</v>
      </c>
      <c r="J1074" s="6">
        <v>4.003828209035546</v>
      </c>
      <c r="K1074" s="6"/>
      <c r="L1074" s="6"/>
      <c r="M1074" s="6"/>
      <c r="N1074" s="6">
        <f t="shared" ref="N1074:P1074" si="1077">IF(LEN($C1074)&gt;0,H1074-E1074,"")</f>
        <v>-105349.6772</v>
      </c>
      <c r="O1074" s="6">
        <f t="shared" si="1077"/>
        <v>-5.403306556</v>
      </c>
      <c r="P1074" s="6">
        <f t="shared" si="1077"/>
        <v>-1.458321558</v>
      </c>
      <c r="Q1074" s="6"/>
      <c r="R1074" s="6"/>
      <c r="S1074" s="6"/>
      <c r="T1074" s="6"/>
      <c r="U1074" s="6"/>
      <c r="V1074" s="6"/>
      <c r="W1074" s="6"/>
      <c r="X1074" s="6"/>
      <c r="Y1074" s="6"/>
      <c r="Z1074" s="6"/>
      <c r="AA1074" s="6"/>
      <c r="AB1074" s="6"/>
      <c r="AC1074" s="6"/>
      <c r="AD1074" s="6"/>
      <c r="AE1074" s="6"/>
      <c r="AF1074" s="6"/>
      <c r="AG1074" s="6"/>
    </row>
    <row r="1075" ht="14.25" customHeight="1">
      <c r="A1075" s="6"/>
      <c r="B1075" s="6"/>
      <c r="C1075" s="6">
        <v>1068.0</v>
      </c>
      <c r="D1075" s="6"/>
      <c r="E1075" s="6">
        <v>9422091.777542252</v>
      </c>
      <c r="F1075" s="6">
        <v>484.95885467979514</v>
      </c>
      <c r="G1075" s="6">
        <v>4.283901570186346</v>
      </c>
      <c r="H1075" s="6">
        <v>9298177.136953687</v>
      </c>
      <c r="I1075" s="6">
        <v>480.99802469890494</v>
      </c>
      <c r="J1075" s="6">
        <v>2.9950019427116006</v>
      </c>
      <c r="K1075" s="6"/>
      <c r="L1075" s="6"/>
      <c r="M1075" s="6"/>
      <c r="N1075" s="6">
        <f t="shared" ref="N1075:P1075" si="1078">IF(LEN($C1075)&gt;0,H1075-E1075,"")</f>
        <v>-123914.6406</v>
      </c>
      <c r="O1075" s="6">
        <f t="shared" si="1078"/>
        <v>-3.960829981</v>
      </c>
      <c r="P1075" s="6">
        <f t="shared" si="1078"/>
        <v>-1.288899627</v>
      </c>
      <c r="Q1075" s="6"/>
      <c r="R1075" s="6"/>
      <c r="S1075" s="6"/>
      <c r="T1075" s="6"/>
      <c r="U1075" s="6"/>
      <c r="V1075" s="6"/>
      <c r="W1075" s="6"/>
      <c r="X1075" s="6"/>
      <c r="Y1075" s="6"/>
      <c r="Z1075" s="6"/>
      <c r="AA1075" s="6"/>
      <c r="AB1075" s="6"/>
      <c r="AC1075" s="6"/>
      <c r="AD1075" s="6"/>
      <c r="AE1075" s="6"/>
      <c r="AF1075" s="6"/>
      <c r="AG1075" s="6"/>
    </row>
    <row r="1076" ht="14.25" customHeight="1">
      <c r="A1076" s="6"/>
      <c r="B1076" s="6"/>
      <c r="C1076" s="6">
        <v>1069.0</v>
      </c>
      <c r="D1076" s="6"/>
      <c r="E1076" s="6">
        <v>6704455.160742385</v>
      </c>
      <c r="F1076" s="6">
        <v>463.53662268023135</v>
      </c>
      <c r="G1076" s="6">
        <v>5.1223960035164975</v>
      </c>
      <c r="H1076" s="6">
        <v>6658057.523663216</v>
      </c>
      <c r="I1076" s="6">
        <v>462.04741993416513</v>
      </c>
      <c r="J1076" s="6">
        <v>4.213223675781284</v>
      </c>
      <c r="K1076" s="6"/>
      <c r="L1076" s="6"/>
      <c r="M1076" s="6"/>
      <c r="N1076" s="6">
        <f t="shared" ref="N1076:P1076" si="1079">IF(LEN($C1076)&gt;0,H1076-E1076,"")</f>
        <v>-46397.63708</v>
      </c>
      <c r="O1076" s="6">
        <f t="shared" si="1079"/>
        <v>-1.489202746</v>
      </c>
      <c r="P1076" s="6">
        <f t="shared" si="1079"/>
        <v>-0.9091723277</v>
      </c>
      <c r="Q1076" s="6"/>
      <c r="R1076" s="6"/>
      <c r="S1076" s="6"/>
      <c r="T1076" s="6"/>
      <c r="U1076" s="6"/>
      <c r="V1076" s="6"/>
      <c r="W1076" s="6"/>
      <c r="X1076" s="6"/>
      <c r="Y1076" s="6"/>
      <c r="Z1076" s="6"/>
      <c r="AA1076" s="6"/>
      <c r="AB1076" s="6"/>
      <c r="AC1076" s="6"/>
      <c r="AD1076" s="6"/>
      <c r="AE1076" s="6"/>
      <c r="AF1076" s="6"/>
      <c r="AG1076" s="6"/>
    </row>
    <row r="1077" ht="14.25" customHeight="1">
      <c r="A1077" s="6"/>
      <c r="B1077" s="6"/>
      <c r="C1077" s="6">
        <v>1070.0</v>
      </c>
      <c r="D1077" s="6"/>
      <c r="E1077" s="6">
        <v>6691727.024223526</v>
      </c>
      <c r="F1077" s="6">
        <v>472.59234226019873</v>
      </c>
      <c r="G1077" s="6">
        <v>5.311715302876289</v>
      </c>
      <c r="H1077" s="6">
        <v>6514058.674446448</v>
      </c>
      <c r="I1077" s="6">
        <v>464.92520266201313</v>
      </c>
      <c r="J1077" s="6">
        <v>3.7534792208739183</v>
      </c>
      <c r="K1077" s="6"/>
      <c r="L1077" s="6"/>
      <c r="M1077" s="6"/>
      <c r="N1077" s="6">
        <f t="shared" ref="N1077:P1077" si="1080">IF(LEN($C1077)&gt;0,H1077-E1077,"")</f>
        <v>-177668.3498</v>
      </c>
      <c r="O1077" s="6">
        <f t="shared" si="1080"/>
        <v>-7.667139598</v>
      </c>
      <c r="P1077" s="6">
        <f t="shared" si="1080"/>
        <v>-1.558236082</v>
      </c>
      <c r="Q1077" s="6"/>
      <c r="R1077" s="6"/>
      <c r="S1077" s="6"/>
      <c r="T1077" s="6"/>
      <c r="U1077" s="6"/>
      <c r="V1077" s="6"/>
      <c r="W1077" s="6"/>
      <c r="X1077" s="6"/>
      <c r="Y1077" s="6"/>
      <c r="Z1077" s="6"/>
      <c r="AA1077" s="6"/>
      <c r="AB1077" s="6"/>
      <c r="AC1077" s="6"/>
      <c r="AD1077" s="6"/>
      <c r="AE1077" s="6"/>
      <c r="AF1077" s="6"/>
      <c r="AG1077" s="6"/>
    </row>
    <row r="1078" ht="14.25" customHeight="1">
      <c r="A1078" s="6"/>
      <c r="B1078" s="6"/>
      <c r="C1078" s="6">
        <v>1071.0</v>
      </c>
      <c r="D1078" s="6"/>
      <c r="E1078" s="6">
        <v>7505999.703910789</v>
      </c>
      <c r="F1078" s="6">
        <v>481.60211664497047</v>
      </c>
      <c r="G1078" s="6">
        <v>5.010257130606194</v>
      </c>
      <c r="H1078" s="6">
        <v>7439554.256511918</v>
      </c>
      <c r="I1078" s="6">
        <v>478.51950791245054</v>
      </c>
      <c r="J1078" s="6">
        <v>3.6596263730828307</v>
      </c>
      <c r="K1078" s="6"/>
      <c r="L1078" s="6"/>
      <c r="M1078" s="6"/>
      <c r="N1078" s="6">
        <f t="shared" ref="N1078:P1078" si="1081">IF(LEN($C1078)&gt;0,H1078-E1078,"")</f>
        <v>-66445.4474</v>
      </c>
      <c r="O1078" s="6">
        <f t="shared" si="1081"/>
        <v>-3.082608733</v>
      </c>
      <c r="P1078" s="6">
        <f t="shared" si="1081"/>
        <v>-1.350630758</v>
      </c>
      <c r="Q1078" s="6"/>
      <c r="R1078" s="6"/>
      <c r="S1078" s="6"/>
      <c r="T1078" s="6"/>
      <c r="U1078" s="6"/>
      <c r="V1078" s="6"/>
      <c r="W1078" s="6"/>
      <c r="X1078" s="6"/>
      <c r="Y1078" s="6"/>
      <c r="Z1078" s="6"/>
      <c r="AA1078" s="6"/>
      <c r="AB1078" s="6"/>
      <c r="AC1078" s="6"/>
      <c r="AD1078" s="6"/>
      <c r="AE1078" s="6"/>
      <c r="AF1078" s="6"/>
      <c r="AG1078" s="6"/>
    </row>
    <row r="1079" ht="14.25" customHeight="1">
      <c r="A1079" s="6"/>
      <c r="B1079" s="6"/>
      <c r="C1079" s="6">
        <v>1072.0</v>
      </c>
      <c r="D1079" s="6"/>
      <c r="E1079" s="6">
        <v>8755399.056819536</v>
      </c>
      <c r="F1079" s="6">
        <v>478.52258770562327</v>
      </c>
      <c r="G1079" s="6">
        <v>5.0518117914521925</v>
      </c>
      <c r="H1079" s="6">
        <v>8606189.66020659</v>
      </c>
      <c r="I1079" s="6">
        <v>472.6320891666961</v>
      </c>
      <c r="J1079" s="6">
        <v>3.2581088464917034</v>
      </c>
      <c r="K1079" s="6"/>
      <c r="L1079" s="6"/>
      <c r="M1079" s="6"/>
      <c r="N1079" s="6">
        <f t="shared" ref="N1079:P1079" si="1082">IF(LEN($C1079)&gt;0,H1079-E1079,"")</f>
        <v>-149209.3966</v>
      </c>
      <c r="O1079" s="6">
        <f t="shared" si="1082"/>
        <v>-5.890498539</v>
      </c>
      <c r="P1079" s="6">
        <f t="shared" si="1082"/>
        <v>-1.793702945</v>
      </c>
      <c r="Q1079" s="6"/>
      <c r="R1079" s="6"/>
      <c r="S1079" s="6"/>
      <c r="T1079" s="6"/>
      <c r="U1079" s="6"/>
      <c r="V1079" s="6"/>
      <c r="W1079" s="6"/>
      <c r="X1079" s="6"/>
      <c r="Y1079" s="6"/>
      <c r="Z1079" s="6"/>
      <c r="AA1079" s="6"/>
      <c r="AB1079" s="6"/>
      <c r="AC1079" s="6"/>
      <c r="AD1079" s="6"/>
      <c r="AE1079" s="6"/>
      <c r="AF1079" s="6"/>
      <c r="AG1079" s="6"/>
    </row>
    <row r="1080" ht="14.25" customHeight="1">
      <c r="A1080" s="6"/>
      <c r="B1080" s="6"/>
      <c r="C1080" s="6">
        <v>1073.0</v>
      </c>
      <c r="D1080" s="6"/>
      <c r="E1080" s="6">
        <v>8753466.443462977</v>
      </c>
      <c r="F1080" s="6">
        <v>452.01350856069826</v>
      </c>
      <c r="G1080" s="6">
        <v>5.18314022647262</v>
      </c>
      <c r="H1080" s="6">
        <v>8655789.13510389</v>
      </c>
      <c r="I1080" s="6">
        <v>448.06907620186854</v>
      </c>
      <c r="J1080" s="6">
        <v>3.627803881816842</v>
      </c>
      <c r="K1080" s="6"/>
      <c r="L1080" s="6"/>
      <c r="M1080" s="6"/>
      <c r="N1080" s="6">
        <f t="shared" ref="N1080:P1080" si="1083">IF(LEN($C1080)&gt;0,H1080-E1080,"")</f>
        <v>-97677.30836</v>
      </c>
      <c r="O1080" s="6">
        <f t="shared" si="1083"/>
        <v>-3.944432359</v>
      </c>
      <c r="P1080" s="6">
        <f t="shared" si="1083"/>
        <v>-1.555336345</v>
      </c>
      <c r="Q1080" s="6"/>
      <c r="R1080" s="6"/>
      <c r="S1080" s="6"/>
      <c r="T1080" s="6"/>
      <c r="U1080" s="6"/>
      <c r="V1080" s="6"/>
      <c r="W1080" s="6"/>
      <c r="X1080" s="6"/>
      <c r="Y1080" s="6"/>
      <c r="Z1080" s="6"/>
      <c r="AA1080" s="6"/>
      <c r="AB1080" s="6"/>
      <c r="AC1080" s="6"/>
      <c r="AD1080" s="6"/>
      <c r="AE1080" s="6"/>
      <c r="AF1080" s="6"/>
      <c r="AG1080" s="6"/>
    </row>
    <row r="1081" ht="14.25" customHeight="1">
      <c r="A1081" s="6"/>
      <c r="B1081" s="6"/>
      <c r="C1081" s="6">
        <v>1074.0</v>
      </c>
      <c r="D1081" s="6"/>
      <c r="E1081" s="6">
        <v>7516405.663299525</v>
      </c>
      <c r="F1081" s="6">
        <v>455.0915907175939</v>
      </c>
      <c r="G1081" s="6">
        <v>6.065587515467014</v>
      </c>
      <c r="H1081" s="6">
        <v>7427660.8297508145</v>
      </c>
      <c r="I1081" s="6">
        <v>452.4653551912471</v>
      </c>
      <c r="J1081" s="6">
        <v>4.469835159305712</v>
      </c>
      <c r="K1081" s="6"/>
      <c r="L1081" s="6"/>
      <c r="M1081" s="6"/>
      <c r="N1081" s="6">
        <f t="shared" ref="N1081:P1081" si="1084">IF(LEN($C1081)&gt;0,H1081-E1081,"")</f>
        <v>-88744.83355</v>
      </c>
      <c r="O1081" s="6">
        <f t="shared" si="1084"/>
        <v>-2.626235526</v>
      </c>
      <c r="P1081" s="6">
        <f t="shared" si="1084"/>
        <v>-1.595752356</v>
      </c>
      <c r="Q1081" s="6"/>
      <c r="R1081" s="6"/>
      <c r="S1081" s="6"/>
      <c r="T1081" s="6"/>
      <c r="U1081" s="6"/>
      <c r="V1081" s="6"/>
      <c r="W1081" s="6"/>
      <c r="X1081" s="6"/>
      <c r="Y1081" s="6"/>
      <c r="Z1081" s="6"/>
      <c r="AA1081" s="6"/>
      <c r="AB1081" s="6"/>
      <c r="AC1081" s="6"/>
      <c r="AD1081" s="6"/>
      <c r="AE1081" s="6"/>
      <c r="AF1081" s="6"/>
      <c r="AG1081" s="6"/>
    </row>
    <row r="1082" ht="14.25" customHeight="1">
      <c r="A1082" s="6"/>
      <c r="B1082" s="6"/>
      <c r="C1082" s="6">
        <v>1075.0</v>
      </c>
      <c r="D1082" s="6"/>
      <c r="E1082" s="6">
        <v>7283098.316526019</v>
      </c>
      <c r="F1082" s="6">
        <v>444.8977514780762</v>
      </c>
      <c r="G1082" s="6">
        <v>5.639882088082299</v>
      </c>
      <c r="H1082" s="6">
        <v>7223960.966703914</v>
      </c>
      <c r="I1082" s="6">
        <v>442.22228863137593</v>
      </c>
      <c r="J1082" s="6">
        <v>4.496534831271948</v>
      </c>
      <c r="K1082" s="6"/>
      <c r="L1082" s="6"/>
      <c r="M1082" s="6"/>
      <c r="N1082" s="6">
        <f t="shared" ref="N1082:P1082" si="1085">IF(LEN($C1082)&gt;0,H1082-E1082,"")</f>
        <v>-59137.34982</v>
      </c>
      <c r="O1082" s="6">
        <f t="shared" si="1085"/>
        <v>-2.675462847</v>
      </c>
      <c r="P1082" s="6">
        <f t="shared" si="1085"/>
        <v>-1.143347257</v>
      </c>
      <c r="Q1082" s="6"/>
      <c r="R1082" s="6"/>
      <c r="S1082" s="6"/>
      <c r="T1082" s="6"/>
      <c r="U1082" s="6"/>
      <c r="V1082" s="6"/>
      <c r="W1082" s="6"/>
      <c r="X1082" s="6"/>
      <c r="Y1082" s="6"/>
      <c r="Z1082" s="6"/>
      <c r="AA1082" s="6"/>
      <c r="AB1082" s="6"/>
      <c r="AC1082" s="6"/>
      <c r="AD1082" s="6"/>
      <c r="AE1082" s="6"/>
      <c r="AF1082" s="6"/>
      <c r="AG1082" s="6"/>
    </row>
    <row r="1083" ht="14.25" customHeight="1">
      <c r="A1083" s="6"/>
      <c r="B1083" s="6"/>
      <c r="C1083" s="6">
        <v>1076.0</v>
      </c>
      <c r="D1083" s="6"/>
      <c r="E1083" s="6">
        <v>5562028.670230106</v>
      </c>
      <c r="F1083" s="6">
        <v>441.4608761887455</v>
      </c>
      <c r="G1083" s="6">
        <v>5.991050510206217</v>
      </c>
      <c r="H1083" s="6">
        <v>5471763.073619577</v>
      </c>
      <c r="I1083" s="6">
        <v>436.7110152955118</v>
      </c>
      <c r="J1083" s="6">
        <v>4.3805022873085075</v>
      </c>
      <c r="K1083" s="6"/>
      <c r="L1083" s="6"/>
      <c r="M1083" s="6"/>
      <c r="N1083" s="6">
        <f t="shared" ref="N1083:P1083" si="1086">IF(LEN($C1083)&gt;0,H1083-E1083,"")</f>
        <v>-90265.59661</v>
      </c>
      <c r="O1083" s="6">
        <f t="shared" si="1086"/>
        <v>-4.749860893</v>
      </c>
      <c r="P1083" s="6">
        <f t="shared" si="1086"/>
        <v>-1.610548223</v>
      </c>
      <c r="Q1083" s="6"/>
      <c r="R1083" s="6"/>
      <c r="S1083" s="6"/>
      <c r="T1083" s="6"/>
      <c r="U1083" s="6"/>
      <c r="V1083" s="6"/>
      <c r="W1083" s="6"/>
      <c r="X1083" s="6"/>
      <c r="Y1083" s="6"/>
      <c r="Z1083" s="6"/>
      <c r="AA1083" s="6"/>
      <c r="AB1083" s="6"/>
      <c r="AC1083" s="6"/>
      <c r="AD1083" s="6"/>
      <c r="AE1083" s="6"/>
      <c r="AF1083" s="6"/>
      <c r="AG1083" s="6"/>
    </row>
    <row r="1084" ht="14.25" customHeight="1">
      <c r="A1084" s="6"/>
      <c r="B1084" s="6"/>
      <c r="C1084" s="6">
        <v>1077.0</v>
      </c>
      <c r="D1084" s="6"/>
      <c r="E1084" s="6">
        <v>6249178.955957666</v>
      </c>
      <c r="F1084" s="6">
        <v>436.90786855712645</v>
      </c>
      <c r="G1084" s="6">
        <v>4.614157772454781</v>
      </c>
      <c r="H1084" s="6">
        <v>6149299.56143077</v>
      </c>
      <c r="I1084" s="6">
        <v>433.6795798885862</v>
      </c>
      <c r="J1084" s="6">
        <v>3.3064226618117853</v>
      </c>
      <c r="K1084" s="6"/>
      <c r="L1084" s="6"/>
      <c r="M1084" s="6"/>
      <c r="N1084" s="6">
        <f t="shared" ref="N1084:P1084" si="1087">IF(LEN($C1084)&gt;0,H1084-E1084,"")</f>
        <v>-99879.39453</v>
      </c>
      <c r="O1084" s="6">
        <f t="shared" si="1087"/>
        <v>-3.228288669</v>
      </c>
      <c r="P1084" s="6">
        <f t="shared" si="1087"/>
        <v>-1.307735111</v>
      </c>
      <c r="Q1084" s="6"/>
      <c r="R1084" s="6"/>
      <c r="S1084" s="6"/>
      <c r="T1084" s="6"/>
      <c r="U1084" s="6"/>
      <c r="V1084" s="6"/>
      <c r="W1084" s="6"/>
      <c r="X1084" s="6"/>
      <c r="Y1084" s="6"/>
      <c r="Z1084" s="6"/>
      <c r="AA1084" s="6"/>
      <c r="AB1084" s="6"/>
      <c r="AC1084" s="6"/>
      <c r="AD1084" s="6"/>
      <c r="AE1084" s="6"/>
      <c r="AF1084" s="6"/>
      <c r="AG1084" s="6"/>
    </row>
    <row r="1085" ht="14.25" customHeight="1">
      <c r="A1085" s="6"/>
      <c r="B1085" s="6"/>
      <c r="C1085" s="6">
        <v>1078.0</v>
      </c>
      <c r="D1085" s="6"/>
      <c r="E1085" s="6">
        <v>7114066.359016691</v>
      </c>
      <c r="F1085" s="6">
        <v>478.9806859444692</v>
      </c>
      <c r="G1085" s="6">
        <v>4.406752811444184</v>
      </c>
      <c r="H1085" s="6">
        <v>7005830.261185289</v>
      </c>
      <c r="I1085" s="6">
        <v>473.4163057313995</v>
      </c>
      <c r="J1085" s="6">
        <v>3.178661908160974</v>
      </c>
      <c r="K1085" s="6"/>
      <c r="L1085" s="6"/>
      <c r="M1085" s="6"/>
      <c r="N1085" s="6">
        <f t="shared" ref="N1085:P1085" si="1088">IF(LEN($C1085)&gt;0,H1085-E1085,"")</f>
        <v>-108236.0978</v>
      </c>
      <c r="O1085" s="6">
        <f t="shared" si="1088"/>
        <v>-5.564380213</v>
      </c>
      <c r="P1085" s="6">
        <f t="shared" si="1088"/>
        <v>-1.228090903</v>
      </c>
      <c r="Q1085" s="6"/>
      <c r="R1085" s="6"/>
      <c r="S1085" s="6"/>
      <c r="T1085" s="6"/>
      <c r="U1085" s="6"/>
      <c r="V1085" s="6"/>
      <c r="W1085" s="6"/>
      <c r="X1085" s="6"/>
      <c r="Y1085" s="6"/>
      <c r="Z1085" s="6"/>
      <c r="AA1085" s="6"/>
      <c r="AB1085" s="6"/>
      <c r="AC1085" s="6"/>
      <c r="AD1085" s="6"/>
      <c r="AE1085" s="6"/>
      <c r="AF1085" s="6"/>
      <c r="AG1085" s="6"/>
    </row>
    <row r="1086" ht="14.25" customHeight="1">
      <c r="A1086" s="6"/>
      <c r="B1086" s="6"/>
      <c r="C1086" s="6">
        <v>1079.0</v>
      </c>
      <c r="D1086" s="6"/>
      <c r="E1086" s="6">
        <v>6921351.601932965</v>
      </c>
      <c r="F1086" s="6">
        <v>442.14166621909953</v>
      </c>
      <c r="G1086" s="6">
        <v>4.793968657151334</v>
      </c>
      <c r="H1086" s="6">
        <v>6837985.048260823</v>
      </c>
      <c r="I1086" s="6">
        <v>439.2964346308528</v>
      </c>
      <c r="J1086" s="6">
        <v>3.439313562839016</v>
      </c>
      <c r="K1086" s="6"/>
      <c r="L1086" s="6"/>
      <c r="M1086" s="6"/>
      <c r="N1086" s="6">
        <f t="shared" ref="N1086:P1086" si="1089">IF(LEN($C1086)&gt;0,H1086-E1086,"")</f>
        <v>-83366.55367</v>
      </c>
      <c r="O1086" s="6">
        <f t="shared" si="1089"/>
        <v>-2.845231588</v>
      </c>
      <c r="P1086" s="6">
        <f t="shared" si="1089"/>
        <v>-1.354655094</v>
      </c>
      <c r="Q1086" s="6"/>
      <c r="R1086" s="6"/>
      <c r="S1086" s="6"/>
      <c r="T1086" s="6"/>
      <c r="U1086" s="6"/>
      <c r="V1086" s="6"/>
      <c r="W1086" s="6"/>
      <c r="X1086" s="6"/>
      <c r="Y1086" s="6"/>
      <c r="Z1086" s="6"/>
      <c r="AA1086" s="6"/>
      <c r="AB1086" s="6"/>
      <c r="AC1086" s="6"/>
      <c r="AD1086" s="6"/>
      <c r="AE1086" s="6"/>
      <c r="AF1086" s="6"/>
      <c r="AG1086" s="6"/>
    </row>
    <row r="1087" ht="14.25" customHeight="1">
      <c r="A1087" s="6"/>
      <c r="B1087" s="6"/>
      <c r="C1087" s="6">
        <v>1080.0</v>
      </c>
      <c r="D1087" s="6"/>
      <c r="E1087" s="6">
        <v>1.0666679297946868E7</v>
      </c>
      <c r="F1087" s="6">
        <v>442.6096147788745</v>
      </c>
      <c r="G1087" s="6">
        <v>4.993814885344033</v>
      </c>
      <c r="H1087" s="6">
        <v>1.0559627269834932E7</v>
      </c>
      <c r="I1087" s="6">
        <v>438.12976009552534</v>
      </c>
      <c r="J1087" s="6">
        <v>3.8768145394972144</v>
      </c>
      <c r="K1087" s="6"/>
      <c r="L1087" s="6"/>
      <c r="M1087" s="6"/>
      <c r="N1087" s="6">
        <f t="shared" ref="N1087:P1087" si="1090">IF(LEN($C1087)&gt;0,H1087-E1087,"")</f>
        <v>-107052.0281</v>
      </c>
      <c r="O1087" s="6">
        <f t="shared" si="1090"/>
        <v>-4.479854683</v>
      </c>
      <c r="P1087" s="6">
        <f t="shared" si="1090"/>
        <v>-1.117000346</v>
      </c>
      <c r="Q1087" s="6"/>
      <c r="R1087" s="6"/>
      <c r="S1087" s="6"/>
      <c r="T1087" s="6"/>
      <c r="U1087" s="6"/>
      <c r="V1087" s="6"/>
      <c r="W1087" s="6"/>
      <c r="X1087" s="6"/>
      <c r="Y1087" s="6"/>
      <c r="Z1087" s="6"/>
      <c r="AA1087" s="6"/>
      <c r="AB1087" s="6"/>
      <c r="AC1087" s="6"/>
      <c r="AD1087" s="6"/>
      <c r="AE1087" s="6"/>
      <c r="AF1087" s="6"/>
      <c r="AG1087" s="6"/>
    </row>
    <row r="1088" ht="14.25" customHeight="1">
      <c r="A1088" s="6"/>
      <c r="B1088" s="6"/>
      <c r="C1088" s="6">
        <v>1081.0</v>
      </c>
      <c r="D1088" s="6"/>
      <c r="E1088" s="6">
        <v>6150603.32919911</v>
      </c>
      <c r="F1088" s="6">
        <v>481.7828513792803</v>
      </c>
      <c r="G1088" s="6">
        <v>5.125188044381517</v>
      </c>
      <c r="H1088" s="6">
        <v>6022743.648646627</v>
      </c>
      <c r="I1088" s="6">
        <v>475.6016687769759</v>
      </c>
      <c r="J1088" s="6">
        <v>3.389899219259017</v>
      </c>
      <c r="K1088" s="6"/>
      <c r="L1088" s="6"/>
      <c r="M1088" s="6"/>
      <c r="N1088" s="6">
        <f t="shared" ref="N1088:P1088" si="1091">IF(LEN($C1088)&gt;0,H1088-E1088,"")</f>
        <v>-127859.6806</v>
      </c>
      <c r="O1088" s="6">
        <f t="shared" si="1091"/>
        <v>-6.181182602</v>
      </c>
      <c r="P1088" s="6">
        <f t="shared" si="1091"/>
        <v>-1.735288825</v>
      </c>
      <c r="Q1088" s="6"/>
      <c r="R1088" s="6"/>
      <c r="S1088" s="6"/>
      <c r="T1088" s="6"/>
      <c r="U1088" s="6"/>
      <c r="V1088" s="6"/>
      <c r="W1088" s="6"/>
      <c r="X1088" s="6"/>
      <c r="Y1088" s="6"/>
      <c r="Z1088" s="6"/>
      <c r="AA1088" s="6"/>
      <c r="AB1088" s="6"/>
      <c r="AC1088" s="6"/>
      <c r="AD1088" s="6"/>
      <c r="AE1088" s="6"/>
      <c r="AF1088" s="6"/>
      <c r="AG1088" s="6"/>
    </row>
    <row r="1089" ht="14.25" customHeight="1">
      <c r="A1089" s="6"/>
      <c r="B1089" s="6"/>
      <c r="C1089" s="6">
        <v>1082.0</v>
      </c>
      <c r="D1089" s="6"/>
      <c r="E1089" s="6">
        <v>8705685.077099722</v>
      </c>
      <c r="F1089" s="6">
        <v>492.9773322829384</v>
      </c>
      <c r="G1089" s="6">
        <v>4.824490156991967</v>
      </c>
      <c r="H1089" s="6">
        <v>8524541.839437027</v>
      </c>
      <c r="I1089" s="6">
        <v>485.69888434593787</v>
      </c>
      <c r="J1089" s="6">
        <v>3.5216730519464625</v>
      </c>
      <c r="K1089" s="6"/>
      <c r="L1089" s="6"/>
      <c r="M1089" s="6"/>
      <c r="N1089" s="6">
        <f t="shared" ref="N1089:P1089" si="1092">IF(LEN($C1089)&gt;0,H1089-E1089,"")</f>
        <v>-181143.2377</v>
      </c>
      <c r="O1089" s="6">
        <f t="shared" si="1092"/>
        <v>-7.278447937</v>
      </c>
      <c r="P1089" s="6">
        <f t="shared" si="1092"/>
        <v>-1.302817105</v>
      </c>
      <c r="Q1089" s="6"/>
      <c r="R1089" s="6"/>
      <c r="S1089" s="6"/>
      <c r="T1089" s="6"/>
      <c r="U1089" s="6"/>
      <c r="V1089" s="6"/>
      <c r="W1089" s="6"/>
      <c r="X1089" s="6"/>
      <c r="Y1089" s="6"/>
      <c r="Z1089" s="6"/>
      <c r="AA1089" s="6"/>
      <c r="AB1089" s="6"/>
      <c r="AC1089" s="6"/>
      <c r="AD1089" s="6"/>
      <c r="AE1089" s="6"/>
      <c r="AF1089" s="6"/>
      <c r="AG1089" s="6"/>
    </row>
    <row r="1090" ht="14.25" customHeight="1">
      <c r="A1090" s="6"/>
      <c r="B1090" s="6"/>
      <c r="C1090" s="6">
        <v>1083.0</v>
      </c>
      <c r="D1090" s="6"/>
      <c r="E1090" s="6">
        <v>5692556.149993065</v>
      </c>
      <c r="F1090" s="6">
        <v>481.1569327973746</v>
      </c>
      <c r="G1090" s="6">
        <v>5.18982540830973</v>
      </c>
      <c r="H1090" s="6">
        <v>5595991.598101232</v>
      </c>
      <c r="I1090" s="6">
        <v>477.98991394757036</v>
      </c>
      <c r="J1090" s="6">
        <v>3.4262737819958042</v>
      </c>
      <c r="K1090" s="6"/>
      <c r="L1090" s="6"/>
      <c r="M1090" s="6"/>
      <c r="N1090" s="6">
        <f t="shared" ref="N1090:P1090" si="1093">IF(LEN($C1090)&gt;0,H1090-E1090,"")</f>
        <v>-96564.55189</v>
      </c>
      <c r="O1090" s="6">
        <f t="shared" si="1093"/>
        <v>-3.16701885</v>
      </c>
      <c r="P1090" s="6">
        <f t="shared" si="1093"/>
        <v>-1.763551626</v>
      </c>
      <c r="Q1090" s="6"/>
      <c r="R1090" s="6"/>
      <c r="S1090" s="6"/>
      <c r="T1090" s="6"/>
      <c r="U1090" s="6"/>
      <c r="V1090" s="6"/>
      <c r="W1090" s="6"/>
      <c r="X1090" s="6"/>
      <c r="Y1090" s="6"/>
      <c r="Z1090" s="6"/>
      <c r="AA1090" s="6"/>
      <c r="AB1090" s="6"/>
      <c r="AC1090" s="6"/>
      <c r="AD1090" s="6"/>
      <c r="AE1090" s="6"/>
      <c r="AF1090" s="6"/>
      <c r="AG1090" s="6"/>
    </row>
    <row r="1091" ht="14.25" customHeight="1">
      <c r="A1091" s="6"/>
      <c r="B1091" s="6"/>
      <c r="C1091" s="6">
        <v>1084.0</v>
      </c>
      <c r="D1091" s="6"/>
      <c r="E1091" s="6">
        <v>8645925.418092387</v>
      </c>
      <c r="F1091" s="6">
        <v>465.53417288606465</v>
      </c>
      <c r="G1091" s="6">
        <v>4.971872312009121</v>
      </c>
      <c r="H1091" s="6">
        <v>8523955.02544455</v>
      </c>
      <c r="I1091" s="6">
        <v>462.9852504856256</v>
      </c>
      <c r="J1091" s="6">
        <v>3.6635304931037354</v>
      </c>
      <c r="K1091" s="6"/>
      <c r="L1091" s="6"/>
      <c r="M1091" s="6"/>
      <c r="N1091" s="6">
        <f t="shared" ref="N1091:P1091" si="1094">IF(LEN($C1091)&gt;0,H1091-E1091,"")</f>
        <v>-121970.3926</v>
      </c>
      <c r="O1091" s="6">
        <f t="shared" si="1094"/>
        <v>-2.5489224</v>
      </c>
      <c r="P1091" s="6">
        <f t="shared" si="1094"/>
        <v>-1.308341819</v>
      </c>
      <c r="Q1091" s="6"/>
      <c r="R1091" s="6"/>
      <c r="S1091" s="6"/>
      <c r="T1091" s="6"/>
      <c r="U1091" s="6"/>
      <c r="V1091" s="6"/>
      <c r="W1091" s="6"/>
      <c r="X1091" s="6"/>
      <c r="Y1091" s="6"/>
      <c r="Z1091" s="6"/>
      <c r="AA1091" s="6"/>
      <c r="AB1091" s="6"/>
      <c r="AC1091" s="6"/>
      <c r="AD1091" s="6"/>
      <c r="AE1091" s="6"/>
      <c r="AF1091" s="6"/>
      <c r="AG1091" s="6"/>
    </row>
    <row r="1092" ht="14.25" customHeight="1">
      <c r="A1092" s="6"/>
      <c r="B1092" s="6"/>
      <c r="C1092" s="6">
        <v>1085.0</v>
      </c>
      <c r="D1092" s="6"/>
      <c r="E1092" s="6">
        <v>8882156.655412301</v>
      </c>
      <c r="F1092" s="6">
        <v>507.3067649479477</v>
      </c>
      <c r="G1092" s="6">
        <v>5.653039572865094</v>
      </c>
      <c r="H1092" s="6">
        <v>8706451.36840335</v>
      </c>
      <c r="I1092" s="6">
        <v>500.82329434224823</v>
      </c>
      <c r="J1092" s="6">
        <v>4.32304300858184</v>
      </c>
      <c r="K1092" s="6"/>
      <c r="L1092" s="6"/>
      <c r="M1092" s="6"/>
      <c r="N1092" s="6">
        <f t="shared" ref="N1092:P1092" si="1095">IF(LEN($C1092)&gt;0,H1092-E1092,"")</f>
        <v>-175705.287</v>
      </c>
      <c r="O1092" s="6">
        <f t="shared" si="1095"/>
        <v>-6.483470606</v>
      </c>
      <c r="P1092" s="6">
        <f t="shared" si="1095"/>
        <v>-1.329996564</v>
      </c>
      <c r="Q1092" s="6"/>
      <c r="R1092" s="6"/>
      <c r="S1092" s="6"/>
      <c r="T1092" s="6"/>
      <c r="U1092" s="6"/>
      <c r="V1092" s="6"/>
      <c r="W1092" s="6"/>
      <c r="X1092" s="6"/>
      <c r="Y1092" s="6"/>
      <c r="Z1092" s="6"/>
      <c r="AA1092" s="6"/>
      <c r="AB1092" s="6"/>
      <c r="AC1092" s="6"/>
      <c r="AD1092" s="6"/>
      <c r="AE1092" s="6"/>
      <c r="AF1092" s="6"/>
      <c r="AG1092" s="6"/>
    </row>
    <row r="1093" ht="14.25" customHeight="1">
      <c r="A1093" s="6"/>
      <c r="B1093" s="6"/>
      <c r="C1093" s="6">
        <v>1086.0</v>
      </c>
      <c r="D1093" s="6"/>
      <c r="E1093" s="6">
        <v>7401489.674769254</v>
      </c>
      <c r="F1093" s="6">
        <v>502.06452981347053</v>
      </c>
      <c r="G1093" s="6">
        <v>5.566502392942052</v>
      </c>
      <c r="H1093" s="6">
        <v>7210886.231063875</v>
      </c>
      <c r="I1093" s="6">
        <v>490.96436259770974</v>
      </c>
      <c r="J1093" s="6">
        <v>4.006723879999125</v>
      </c>
      <c r="K1093" s="6"/>
      <c r="L1093" s="6"/>
      <c r="M1093" s="6"/>
      <c r="N1093" s="6">
        <f t="shared" ref="N1093:P1093" si="1096">IF(LEN($C1093)&gt;0,H1093-E1093,"")</f>
        <v>-190603.4437</v>
      </c>
      <c r="O1093" s="6">
        <f t="shared" si="1096"/>
        <v>-11.10016722</v>
      </c>
      <c r="P1093" s="6">
        <f t="shared" si="1096"/>
        <v>-1.559778513</v>
      </c>
      <c r="Q1093" s="6"/>
      <c r="R1093" s="6"/>
      <c r="S1093" s="6"/>
      <c r="T1093" s="6"/>
      <c r="U1093" s="6"/>
      <c r="V1093" s="6"/>
      <c r="W1093" s="6"/>
      <c r="X1093" s="6"/>
      <c r="Y1093" s="6"/>
      <c r="Z1093" s="6"/>
      <c r="AA1093" s="6"/>
      <c r="AB1093" s="6"/>
      <c r="AC1093" s="6"/>
      <c r="AD1093" s="6"/>
      <c r="AE1093" s="6"/>
      <c r="AF1093" s="6"/>
      <c r="AG1093" s="6"/>
    </row>
    <row r="1094" ht="14.25" customHeight="1">
      <c r="A1094" s="6"/>
      <c r="B1094" s="6"/>
      <c r="C1094" s="6">
        <v>1087.0</v>
      </c>
      <c r="D1094" s="6"/>
      <c r="E1094" s="6">
        <v>6957264.113187353</v>
      </c>
      <c r="F1094" s="6">
        <v>476.0302596958488</v>
      </c>
      <c r="G1094" s="6">
        <v>3.9862238216575028</v>
      </c>
      <c r="H1094" s="6">
        <v>6776091.063396722</v>
      </c>
      <c r="I1094" s="6">
        <v>466.3259996996839</v>
      </c>
      <c r="J1094" s="6">
        <v>2.82914050274843</v>
      </c>
      <c r="K1094" s="6"/>
      <c r="L1094" s="6"/>
      <c r="M1094" s="6"/>
      <c r="N1094" s="6">
        <f t="shared" ref="N1094:P1094" si="1097">IF(LEN($C1094)&gt;0,H1094-E1094,"")</f>
        <v>-181173.0498</v>
      </c>
      <c r="O1094" s="6">
        <f t="shared" si="1097"/>
        <v>-9.704259996</v>
      </c>
      <c r="P1094" s="6">
        <f t="shared" si="1097"/>
        <v>-1.157083319</v>
      </c>
      <c r="Q1094" s="6"/>
      <c r="R1094" s="6"/>
      <c r="S1094" s="6"/>
      <c r="T1094" s="6"/>
      <c r="U1094" s="6"/>
      <c r="V1094" s="6"/>
      <c r="W1094" s="6"/>
      <c r="X1094" s="6"/>
      <c r="Y1094" s="6"/>
      <c r="Z1094" s="6"/>
      <c r="AA1094" s="6"/>
      <c r="AB1094" s="6"/>
      <c r="AC1094" s="6"/>
      <c r="AD1094" s="6"/>
      <c r="AE1094" s="6"/>
      <c r="AF1094" s="6"/>
      <c r="AG1094" s="6"/>
    </row>
    <row r="1095" ht="14.25" customHeight="1">
      <c r="A1095" s="6"/>
      <c r="B1095" s="6"/>
      <c r="C1095" s="6">
        <v>1088.0</v>
      </c>
      <c r="D1095" s="6"/>
      <c r="E1095" s="6">
        <v>7055624.807786406</v>
      </c>
      <c r="F1095" s="6">
        <v>474.82804713632385</v>
      </c>
      <c r="G1095" s="6">
        <v>5.9026004712495155</v>
      </c>
      <c r="H1095" s="6">
        <v>6926720.337262706</v>
      </c>
      <c r="I1095" s="6">
        <v>469.33273853874005</v>
      </c>
      <c r="J1095" s="6">
        <v>4.443336560482761</v>
      </c>
      <c r="K1095" s="6"/>
      <c r="L1095" s="6"/>
      <c r="M1095" s="6"/>
      <c r="N1095" s="6">
        <f t="shared" ref="N1095:P1095" si="1098">IF(LEN($C1095)&gt;0,H1095-E1095,"")</f>
        <v>-128904.4705</v>
      </c>
      <c r="O1095" s="6">
        <f t="shared" si="1098"/>
        <v>-5.495308598</v>
      </c>
      <c r="P1095" s="6">
        <f t="shared" si="1098"/>
        <v>-1.459263911</v>
      </c>
      <c r="Q1095" s="6"/>
      <c r="R1095" s="6"/>
      <c r="S1095" s="6"/>
      <c r="T1095" s="6"/>
      <c r="U1095" s="6"/>
      <c r="V1095" s="6"/>
      <c r="W1095" s="6"/>
      <c r="X1095" s="6"/>
      <c r="Y1095" s="6"/>
      <c r="Z1095" s="6"/>
      <c r="AA1095" s="6"/>
      <c r="AB1095" s="6"/>
      <c r="AC1095" s="6"/>
      <c r="AD1095" s="6"/>
      <c r="AE1095" s="6"/>
      <c r="AF1095" s="6"/>
      <c r="AG1095" s="6"/>
    </row>
    <row r="1096" ht="14.25" customHeight="1">
      <c r="A1096" s="6"/>
      <c r="B1096" s="6"/>
      <c r="C1096" s="6">
        <v>1089.0</v>
      </c>
      <c r="D1096" s="6"/>
      <c r="E1096" s="6">
        <v>7422072.320253726</v>
      </c>
      <c r="F1096" s="6">
        <v>466.55245731103</v>
      </c>
      <c r="G1096" s="6">
        <v>3.932567679764238</v>
      </c>
      <c r="H1096" s="6">
        <v>7360467.959945092</v>
      </c>
      <c r="I1096" s="6">
        <v>463.82476497969475</v>
      </c>
      <c r="J1096" s="6">
        <v>2.8443545468843814</v>
      </c>
      <c r="K1096" s="6"/>
      <c r="L1096" s="6"/>
      <c r="M1096" s="6"/>
      <c r="N1096" s="6">
        <f t="shared" ref="N1096:P1096" si="1099">IF(LEN($C1096)&gt;0,H1096-E1096,"")</f>
        <v>-61604.36031</v>
      </c>
      <c r="O1096" s="6">
        <f t="shared" si="1099"/>
        <v>-2.727692331</v>
      </c>
      <c r="P1096" s="6">
        <f t="shared" si="1099"/>
        <v>-1.088213133</v>
      </c>
      <c r="Q1096" s="6"/>
      <c r="R1096" s="6"/>
      <c r="S1096" s="6"/>
      <c r="T1096" s="6"/>
      <c r="U1096" s="6"/>
      <c r="V1096" s="6"/>
      <c r="W1096" s="6"/>
      <c r="X1096" s="6"/>
      <c r="Y1096" s="6"/>
      <c r="Z1096" s="6"/>
      <c r="AA1096" s="6"/>
      <c r="AB1096" s="6"/>
      <c r="AC1096" s="6"/>
      <c r="AD1096" s="6"/>
      <c r="AE1096" s="6"/>
      <c r="AF1096" s="6"/>
      <c r="AG1096" s="6"/>
    </row>
    <row r="1097" ht="14.25" customHeight="1">
      <c r="A1097" s="6"/>
      <c r="B1097" s="6"/>
      <c r="C1097" s="6">
        <v>1090.0</v>
      </c>
      <c r="D1097" s="6"/>
      <c r="E1097" s="6">
        <v>9775964.726632426</v>
      </c>
      <c r="F1097" s="6">
        <v>491.7154886475169</v>
      </c>
      <c r="G1097" s="6">
        <v>4.863226793100785</v>
      </c>
      <c r="H1097" s="6">
        <v>9528989.5355092</v>
      </c>
      <c r="I1097" s="6">
        <v>479.5539040061726</v>
      </c>
      <c r="J1097" s="6">
        <v>3.2823890130730238</v>
      </c>
      <c r="K1097" s="6"/>
      <c r="L1097" s="6"/>
      <c r="M1097" s="6"/>
      <c r="N1097" s="6">
        <f t="shared" ref="N1097:P1097" si="1100">IF(LEN($C1097)&gt;0,H1097-E1097,"")</f>
        <v>-246975.1911</v>
      </c>
      <c r="O1097" s="6">
        <f t="shared" si="1100"/>
        <v>-12.16158464</v>
      </c>
      <c r="P1097" s="6">
        <f t="shared" si="1100"/>
        <v>-1.58083778</v>
      </c>
      <c r="Q1097" s="6"/>
      <c r="R1097" s="6"/>
      <c r="S1097" s="6"/>
      <c r="T1097" s="6"/>
      <c r="U1097" s="6"/>
      <c r="V1097" s="6"/>
      <c r="W1097" s="6"/>
      <c r="X1097" s="6"/>
      <c r="Y1097" s="6"/>
      <c r="Z1097" s="6"/>
      <c r="AA1097" s="6"/>
      <c r="AB1097" s="6"/>
      <c r="AC1097" s="6"/>
      <c r="AD1097" s="6"/>
      <c r="AE1097" s="6"/>
      <c r="AF1097" s="6"/>
      <c r="AG1097" s="6"/>
    </row>
    <row r="1098" ht="14.25" customHeight="1">
      <c r="A1098" s="6"/>
      <c r="B1098" s="6"/>
      <c r="C1098" s="6">
        <v>1091.0</v>
      </c>
      <c r="D1098" s="6"/>
      <c r="E1098" s="6">
        <v>7176984.389923671</v>
      </c>
      <c r="F1098" s="6">
        <v>471.8813286300927</v>
      </c>
      <c r="G1098" s="6">
        <v>4.2171845154732885</v>
      </c>
      <c r="H1098" s="6">
        <v>7071899.376094431</v>
      </c>
      <c r="I1098" s="6">
        <v>466.6936451726527</v>
      </c>
      <c r="J1098" s="6">
        <v>3.1306130142727504</v>
      </c>
      <c r="K1098" s="6"/>
      <c r="L1098" s="6"/>
      <c r="M1098" s="6"/>
      <c r="N1098" s="6">
        <f t="shared" ref="N1098:P1098" si="1101">IF(LEN($C1098)&gt;0,H1098-E1098,"")</f>
        <v>-105085.0138</v>
      </c>
      <c r="O1098" s="6">
        <f t="shared" si="1101"/>
        <v>-5.187683457</v>
      </c>
      <c r="P1098" s="6">
        <f t="shared" si="1101"/>
        <v>-1.086571501</v>
      </c>
      <c r="Q1098" s="6"/>
      <c r="R1098" s="6"/>
      <c r="S1098" s="6"/>
      <c r="T1098" s="6"/>
      <c r="U1098" s="6"/>
      <c r="V1098" s="6"/>
      <c r="W1098" s="6"/>
      <c r="X1098" s="6"/>
      <c r="Y1098" s="6"/>
      <c r="Z1098" s="6"/>
      <c r="AA1098" s="6"/>
      <c r="AB1098" s="6"/>
      <c r="AC1098" s="6"/>
      <c r="AD1098" s="6"/>
      <c r="AE1098" s="6"/>
      <c r="AF1098" s="6"/>
      <c r="AG1098" s="6"/>
    </row>
    <row r="1099" ht="14.25" customHeight="1">
      <c r="A1099" s="6"/>
      <c r="B1099" s="6"/>
      <c r="C1099" s="6">
        <v>1092.0</v>
      </c>
      <c r="D1099" s="6"/>
      <c r="E1099" s="6">
        <v>7851554.106838862</v>
      </c>
      <c r="F1099" s="6">
        <v>480.40975367567745</v>
      </c>
      <c r="G1099" s="6">
        <v>4.49093865145082</v>
      </c>
      <c r="H1099" s="6">
        <v>7715370.3177661775</v>
      </c>
      <c r="I1099" s="6">
        <v>473.53223865895876</v>
      </c>
      <c r="J1099" s="6">
        <v>2.9504847913131633</v>
      </c>
      <c r="K1099" s="6"/>
      <c r="L1099" s="6"/>
      <c r="M1099" s="6"/>
      <c r="N1099" s="6">
        <f t="shared" ref="N1099:P1099" si="1102">IF(LEN($C1099)&gt;0,H1099-E1099,"")</f>
        <v>-136183.7891</v>
      </c>
      <c r="O1099" s="6">
        <f t="shared" si="1102"/>
        <v>-6.877515017</v>
      </c>
      <c r="P1099" s="6">
        <f t="shared" si="1102"/>
        <v>-1.54045386</v>
      </c>
      <c r="Q1099" s="6"/>
      <c r="R1099" s="6"/>
      <c r="S1099" s="6"/>
      <c r="T1099" s="6"/>
      <c r="U1099" s="6"/>
      <c r="V1099" s="6"/>
      <c r="W1099" s="6"/>
      <c r="X1099" s="6"/>
      <c r="Y1099" s="6"/>
      <c r="Z1099" s="6"/>
      <c r="AA1099" s="6"/>
      <c r="AB1099" s="6"/>
      <c r="AC1099" s="6"/>
      <c r="AD1099" s="6"/>
      <c r="AE1099" s="6"/>
      <c r="AF1099" s="6"/>
      <c r="AG1099" s="6"/>
    </row>
    <row r="1100" ht="14.25" customHeight="1">
      <c r="A1100" s="6"/>
      <c r="B1100" s="6"/>
      <c r="C1100" s="6">
        <v>1093.0</v>
      </c>
      <c r="D1100" s="6"/>
      <c r="E1100" s="6">
        <v>6300558.500737938</v>
      </c>
      <c r="F1100" s="6">
        <v>439.31436827987227</v>
      </c>
      <c r="G1100" s="6">
        <v>4.69033300317783</v>
      </c>
      <c r="H1100" s="6">
        <v>6272333.861370662</v>
      </c>
      <c r="I1100" s="6">
        <v>437.8852072938123</v>
      </c>
      <c r="J1100" s="6">
        <v>4.224008009316891</v>
      </c>
      <c r="K1100" s="6"/>
      <c r="L1100" s="6"/>
      <c r="M1100" s="6"/>
      <c r="N1100" s="6">
        <f t="shared" ref="N1100:P1100" si="1103">IF(LEN($C1100)&gt;0,H1100-E1100,"")</f>
        <v>-28224.63937</v>
      </c>
      <c r="O1100" s="6">
        <f t="shared" si="1103"/>
        <v>-1.429160986</v>
      </c>
      <c r="P1100" s="6">
        <f t="shared" si="1103"/>
        <v>-0.4663249939</v>
      </c>
      <c r="Q1100" s="6"/>
      <c r="R1100" s="6"/>
      <c r="S1100" s="6"/>
      <c r="T1100" s="6"/>
      <c r="U1100" s="6"/>
      <c r="V1100" s="6"/>
      <c r="W1100" s="6"/>
      <c r="X1100" s="6"/>
      <c r="Y1100" s="6"/>
      <c r="Z1100" s="6"/>
      <c r="AA1100" s="6"/>
      <c r="AB1100" s="6"/>
      <c r="AC1100" s="6"/>
      <c r="AD1100" s="6"/>
      <c r="AE1100" s="6"/>
      <c r="AF1100" s="6"/>
      <c r="AG1100" s="6"/>
    </row>
    <row r="1101" ht="14.25" customHeight="1">
      <c r="A1101" s="6"/>
      <c r="B1101" s="6"/>
      <c r="C1101" s="6">
        <v>1094.0</v>
      </c>
      <c r="D1101" s="6"/>
      <c r="E1101" s="6">
        <v>7383400.946000516</v>
      </c>
      <c r="F1101" s="6">
        <v>454.9356774385564</v>
      </c>
      <c r="G1101" s="6">
        <v>4.990098203476007</v>
      </c>
      <c r="H1101" s="6">
        <v>7300576.328657572</v>
      </c>
      <c r="I1101" s="6">
        <v>451.0615662337004</v>
      </c>
      <c r="J1101" s="6">
        <v>4.284132052786058</v>
      </c>
      <c r="K1101" s="6"/>
      <c r="L1101" s="6"/>
      <c r="M1101" s="6"/>
      <c r="N1101" s="6">
        <f t="shared" ref="N1101:P1101" si="1104">IF(LEN($C1101)&gt;0,H1101-E1101,"")</f>
        <v>-82824.61734</v>
      </c>
      <c r="O1101" s="6">
        <f t="shared" si="1104"/>
        <v>-3.874111205</v>
      </c>
      <c r="P1101" s="6">
        <f t="shared" si="1104"/>
        <v>-0.7059661507</v>
      </c>
      <c r="Q1101" s="6"/>
      <c r="R1101" s="6"/>
      <c r="S1101" s="6"/>
      <c r="T1101" s="6"/>
      <c r="U1101" s="6"/>
      <c r="V1101" s="6"/>
      <c r="W1101" s="6"/>
      <c r="X1101" s="6"/>
      <c r="Y1101" s="6"/>
      <c r="Z1101" s="6"/>
      <c r="AA1101" s="6"/>
      <c r="AB1101" s="6"/>
      <c r="AC1101" s="6"/>
      <c r="AD1101" s="6"/>
      <c r="AE1101" s="6"/>
      <c r="AF1101" s="6"/>
      <c r="AG1101" s="6"/>
    </row>
    <row r="1102" ht="14.25" customHeight="1">
      <c r="A1102" s="6"/>
      <c r="B1102" s="6"/>
      <c r="C1102" s="6">
        <v>1095.0</v>
      </c>
      <c r="D1102" s="6"/>
      <c r="E1102" s="6">
        <v>7580090.226332448</v>
      </c>
      <c r="F1102" s="6">
        <v>474.36557398940346</v>
      </c>
      <c r="G1102" s="6">
        <v>5.017511704462023</v>
      </c>
      <c r="H1102" s="6">
        <v>7431956.528436329</v>
      </c>
      <c r="I1102" s="6">
        <v>469.86034763511515</v>
      </c>
      <c r="J1102" s="6">
        <v>3.711548438120707</v>
      </c>
      <c r="K1102" s="6"/>
      <c r="L1102" s="6"/>
      <c r="M1102" s="6"/>
      <c r="N1102" s="6">
        <f t="shared" ref="N1102:P1102" si="1105">IF(LEN($C1102)&gt;0,H1102-E1102,"")</f>
        <v>-148133.6979</v>
      </c>
      <c r="O1102" s="6">
        <f t="shared" si="1105"/>
        <v>-4.505226354</v>
      </c>
      <c r="P1102" s="6">
        <f t="shared" si="1105"/>
        <v>-1.305963266</v>
      </c>
      <c r="Q1102" s="6"/>
      <c r="R1102" s="6"/>
      <c r="S1102" s="6"/>
      <c r="T1102" s="6"/>
      <c r="U1102" s="6"/>
      <c r="V1102" s="6"/>
      <c r="W1102" s="6"/>
      <c r="X1102" s="6"/>
      <c r="Y1102" s="6"/>
      <c r="Z1102" s="6"/>
      <c r="AA1102" s="6"/>
      <c r="AB1102" s="6"/>
      <c r="AC1102" s="6"/>
      <c r="AD1102" s="6"/>
      <c r="AE1102" s="6"/>
      <c r="AF1102" s="6"/>
      <c r="AG1102" s="6"/>
    </row>
    <row r="1103" ht="14.25" customHeight="1">
      <c r="A1103" s="6"/>
      <c r="B1103" s="6"/>
      <c r="C1103" s="6">
        <v>1096.0</v>
      </c>
      <c r="D1103" s="6"/>
      <c r="E1103" s="6">
        <v>8348165.94271298</v>
      </c>
      <c r="F1103" s="6">
        <v>492.5925697112679</v>
      </c>
      <c r="G1103" s="6">
        <v>3.956428850139207</v>
      </c>
      <c r="H1103" s="6">
        <v>8162516.88613525</v>
      </c>
      <c r="I1103" s="6">
        <v>484.108680186812</v>
      </c>
      <c r="J1103" s="6">
        <v>2.844705851147431</v>
      </c>
      <c r="K1103" s="6"/>
      <c r="L1103" s="6"/>
      <c r="M1103" s="6"/>
      <c r="N1103" s="6">
        <f t="shared" ref="N1103:P1103" si="1106">IF(LEN($C1103)&gt;0,H1103-E1103,"")</f>
        <v>-185649.0566</v>
      </c>
      <c r="O1103" s="6">
        <f t="shared" si="1106"/>
        <v>-8.483889524</v>
      </c>
      <c r="P1103" s="6">
        <f t="shared" si="1106"/>
        <v>-1.111722999</v>
      </c>
      <c r="Q1103" s="6"/>
      <c r="R1103" s="6"/>
      <c r="S1103" s="6"/>
      <c r="T1103" s="6"/>
      <c r="U1103" s="6"/>
      <c r="V1103" s="6"/>
      <c r="W1103" s="6"/>
      <c r="X1103" s="6"/>
      <c r="Y1103" s="6"/>
      <c r="Z1103" s="6"/>
      <c r="AA1103" s="6"/>
      <c r="AB1103" s="6"/>
      <c r="AC1103" s="6"/>
      <c r="AD1103" s="6"/>
      <c r="AE1103" s="6"/>
      <c r="AF1103" s="6"/>
      <c r="AG1103" s="6"/>
    </row>
    <row r="1104" ht="14.25" customHeight="1">
      <c r="A1104" s="6"/>
      <c r="B1104" s="6"/>
      <c r="C1104" s="6">
        <v>1097.0</v>
      </c>
      <c r="D1104" s="6"/>
      <c r="E1104" s="6">
        <v>5491312.178183995</v>
      </c>
      <c r="F1104" s="6">
        <v>479.8910486666925</v>
      </c>
      <c r="G1104" s="6">
        <v>4.439980458279882</v>
      </c>
      <c r="H1104" s="6">
        <v>5411899.744141492</v>
      </c>
      <c r="I1104" s="6">
        <v>477.5415387131758</v>
      </c>
      <c r="J1104" s="6">
        <v>3.1906565071766515</v>
      </c>
      <c r="K1104" s="6"/>
      <c r="L1104" s="6"/>
      <c r="M1104" s="6"/>
      <c r="N1104" s="6">
        <f t="shared" ref="N1104:P1104" si="1107">IF(LEN($C1104)&gt;0,H1104-E1104,"")</f>
        <v>-79412.43404</v>
      </c>
      <c r="O1104" s="6">
        <f t="shared" si="1107"/>
        <v>-2.349509954</v>
      </c>
      <c r="P1104" s="6">
        <f t="shared" si="1107"/>
        <v>-1.249323951</v>
      </c>
      <c r="Q1104" s="6"/>
      <c r="R1104" s="6"/>
      <c r="S1104" s="6"/>
      <c r="T1104" s="6"/>
      <c r="U1104" s="6"/>
      <c r="V1104" s="6"/>
      <c r="W1104" s="6"/>
      <c r="X1104" s="6"/>
      <c r="Y1104" s="6"/>
      <c r="Z1104" s="6"/>
      <c r="AA1104" s="6"/>
      <c r="AB1104" s="6"/>
      <c r="AC1104" s="6"/>
      <c r="AD1104" s="6"/>
      <c r="AE1104" s="6"/>
      <c r="AF1104" s="6"/>
      <c r="AG1104" s="6"/>
    </row>
    <row r="1105" ht="14.25" customHeight="1">
      <c r="A1105" s="6"/>
      <c r="B1105" s="6"/>
      <c r="C1105" s="6">
        <v>1098.0</v>
      </c>
      <c r="D1105" s="6"/>
      <c r="E1105" s="6">
        <v>6481119.134199105</v>
      </c>
      <c r="F1105" s="6">
        <v>499.5037910277148</v>
      </c>
      <c r="G1105" s="6">
        <v>5.186275761628766</v>
      </c>
      <c r="H1105" s="6">
        <v>6323260.608248265</v>
      </c>
      <c r="I1105" s="6">
        <v>492.3290815499983</v>
      </c>
      <c r="J1105" s="6">
        <v>3.700247321825093</v>
      </c>
      <c r="K1105" s="6"/>
      <c r="L1105" s="6"/>
      <c r="M1105" s="6"/>
      <c r="N1105" s="6">
        <f t="shared" ref="N1105:P1105" si="1108">IF(LEN($C1105)&gt;0,H1105-E1105,"")</f>
        <v>-157858.526</v>
      </c>
      <c r="O1105" s="6">
        <f t="shared" si="1108"/>
        <v>-7.174709478</v>
      </c>
      <c r="P1105" s="6">
        <f t="shared" si="1108"/>
        <v>-1.48602844</v>
      </c>
      <c r="Q1105" s="6"/>
      <c r="R1105" s="6"/>
      <c r="S1105" s="6"/>
      <c r="T1105" s="6"/>
      <c r="U1105" s="6"/>
      <c r="V1105" s="6"/>
      <c r="W1105" s="6"/>
      <c r="X1105" s="6"/>
      <c r="Y1105" s="6"/>
      <c r="Z1105" s="6"/>
      <c r="AA1105" s="6"/>
      <c r="AB1105" s="6"/>
      <c r="AC1105" s="6"/>
      <c r="AD1105" s="6"/>
      <c r="AE1105" s="6"/>
      <c r="AF1105" s="6"/>
      <c r="AG1105" s="6"/>
    </row>
    <row r="1106" ht="14.25" customHeight="1">
      <c r="A1106" s="6"/>
      <c r="B1106" s="6"/>
      <c r="C1106" s="6">
        <v>1099.0</v>
      </c>
      <c r="D1106" s="6"/>
      <c r="E1106" s="6">
        <v>6943703.0809364505</v>
      </c>
      <c r="F1106" s="6">
        <v>471.3398885872953</v>
      </c>
      <c r="G1106" s="6">
        <v>5.374603435191288</v>
      </c>
      <c r="H1106" s="6">
        <v>6719914.008255518</v>
      </c>
      <c r="I1106" s="6">
        <v>457.8572781174295</v>
      </c>
      <c r="J1106" s="6">
        <v>3.794557241217302</v>
      </c>
      <c r="K1106" s="6"/>
      <c r="L1106" s="6"/>
      <c r="M1106" s="6"/>
      <c r="N1106" s="6">
        <f t="shared" ref="N1106:P1106" si="1109">IF(LEN($C1106)&gt;0,H1106-E1106,"")</f>
        <v>-223789.0727</v>
      </c>
      <c r="O1106" s="6">
        <f t="shared" si="1109"/>
        <v>-13.48261047</v>
      </c>
      <c r="P1106" s="6">
        <f t="shared" si="1109"/>
        <v>-1.580046194</v>
      </c>
      <c r="Q1106" s="6"/>
      <c r="R1106" s="6"/>
      <c r="S1106" s="6"/>
      <c r="T1106" s="6"/>
      <c r="U1106" s="6"/>
      <c r="V1106" s="6"/>
      <c r="W1106" s="6"/>
      <c r="X1106" s="6"/>
      <c r="Y1106" s="6"/>
      <c r="Z1106" s="6"/>
      <c r="AA1106" s="6"/>
      <c r="AB1106" s="6"/>
      <c r="AC1106" s="6"/>
      <c r="AD1106" s="6"/>
      <c r="AE1106" s="6"/>
      <c r="AF1106" s="6"/>
      <c r="AG1106" s="6"/>
    </row>
    <row r="1107" ht="14.25" customHeight="1">
      <c r="A1107" s="6"/>
      <c r="B1107" s="6"/>
      <c r="C1107" s="6">
        <v>1100.0</v>
      </c>
      <c r="D1107" s="6"/>
      <c r="E1107" s="6">
        <v>6814723.053343525</v>
      </c>
      <c r="F1107" s="6">
        <v>461.4552181605352</v>
      </c>
      <c r="G1107" s="6">
        <v>4.870925923481876</v>
      </c>
      <c r="H1107" s="6">
        <v>6767402.211653146</v>
      </c>
      <c r="I1107" s="6">
        <v>459.2037398063069</v>
      </c>
      <c r="J1107" s="6">
        <v>4.208442729185045</v>
      </c>
      <c r="K1107" s="6"/>
      <c r="L1107" s="6"/>
      <c r="M1107" s="6"/>
      <c r="N1107" s="6">
        <f t="shared" ref="N1107:P1107" si="1110">IF(LEN($C1107)&gt;0,H1107-E1107,"")</f>
        <v>-47320.84169</v>
      </c>
      <c r="O1107" s="6">
        <f t="shared" si="1110"/>
        <v>-2.251478354</v>
      </c>
      <c r="P1107" s="6">
        <f t="shared" si="1110"/>
        <v>-0.6624831943</v>
      </c>
      <c r="Q1107" s="6"/>
      <c r="R1107" s="6"/>
      <c r="S1107" s="6"/>
      <c r="T1107" s="6"/>
      <c r="U1107" s="6"/>
      <c r="V1107" s="6"/>
      <c r="W1107" s="6"/>
      <c r="X1107" s="6"/>
      <c r="Y1107" s="6"/>
      <c r="Z1107" s="6"/>
      <c r="AA1107" s="6"/>
      <c r="AB1107" s="6"/>
      <c r="AC1107" s="6"/>
      <c r="AD1107" s="6"/>
      <c r="AE1107" s="6"/>
      <c r="AF1107" s="6"/>
      <c r="AG1107" s="6"/>
    </row>
    <row r="1108" ht="14.25" customHeight="1">
      <c r="A1108" s="6"/>
      <c r="B1108" s="6"/>
      <c r="C1108" s="6">
        <v>1101.0</v>
      </c>
      <c r="D1108" s="6"/>
      <c r="E1108" s="6">
        <v>6811785.002014419</v>
      </c>
      <c r="F1108" s="6">
        <v>477.9638638478158</v>
      </c>
      <c r="G1108" s="6">
        <v>4.780015174355463</v>
      </c>
      <c r="H1108" s="6">
        <v>6748804.376774669</v>
      </c>
      <c r="I1108" s="6">
        <v>475.1899496497575</v>
      </c>
      <c r="J1108" s="6">
        <v>3.647521610943451</v>
      </c>
      <c r="K1108" s="6"/>
      <c r="L1108" s="6"/>
      <c r="M1108" s="6"/>
      <c r="N1108" s="6">
        <f t="shared" ref="N1108:P1108" si="1111">IF(LEN($C1108)&gt;0,H1108-E1108,"")</f>
        <v>-62980.62524</v>
      </c>
      <c r="O1108" s="6">
        <f t="shared" si="1111"/>
        <v>-2.773914198</v>
      </c>
      <c r="P1108" s="6">
        <f t="shared" si="1111"/>
        <v>-1.132493563</v>
      </c>
      <c r="Q1108" s="6"/>
      <c r="R1108" s="6"/>
      <c r="S1108" s="6"/>
      <c r="T1108" s="6"/>
      <c r="U1108" s="6"/>
      <c r="V1108" s="6"/>
      <c r="W1108" s="6"/>
      <c r="X1108" s="6"/>
      <c r="Y1108" s="6"/>
      <c r="Z1108" s="6"/>
      <c r="AA1108" s="6"/>
      <c r="AB1108" s="6"/>
      <c r="AC1108" s="6"/>
      <c r="AD1108" s="6"/>
      <c r="AE1108" s="6"/>
      <c r="AF1108" s="6"/>
      <c r="AG1108" s="6"/>
    </row>
    <row r="1109" ht="14.25" customHeight="1">
      <c r="A1109" s="6"/>
      <c r="B1109" s="6"/>
      <c r="C1109" s="6">
        <v>1102.0</v>
      </c>
      <c r="D1109" s="6"/>
      <c r="E1109" s="6">
        <v>7178131.850647126</v>
      </c>
      <c r="F1109" s="6">
        <v>497.56143075485664</v>
      </c>
      <c r="G1109" s="6">
        <v>4.367625797061665</v>
      </c>
      <c r="H1109" s="6">
        <v>7080886.317274251</v>
      </c>
      <c r="I1109" s="6">
        <v>492.294018202693</v>
      </c>
      <c r="J1109" s="6">
        <v>3.6314101760184565</v>
      </c>
      <c r="K1109" s="6"/>
      <c r="L1109" s="6"/>
      <c r="M1109" s="6"/>
      <c r="N1109" s="6">
        <f t="shared" ref="N1109:P1109" si="1112">IF(LEN($C1109)&gt;0,H1109-E1109,"")</f>
        <v>-97245.53337</v>
      </c>
      <c r="O1109" s="6">
        <f t="shared" si="1112"/>
        <v>-5.267412552</v>
      </c>
      <c r="P1109" s="6">
        <f t="shared" si="1112"/>
        <v>-0.736215621</v>
      </c>
      <c r="Q1109" s="6"/>
      <c r="R1109" s="6"/>
      <c r="S1109" s="6"/>
      <c r="T1109" s="6"/>
      <c r="U1109" s="6"/>
      <c r="V1109" s="6"/>
      <c r="W1109" s="6"/>
      <c r="X1109" s="6"/>
      <c r="Y1109" s="6"/>
      <c r="Z1109" s="6"/>
      <c r="AA1109" s="6"/>
      <c r="AB1109" s="6"/>
      <c r="AC1109" s="6"/>
      <c r="AD1109" s="6"/>
      <c r="AE1109" s="6"/>
      <c r="AF1109" s="6"/>
      <c r="AG1109" s="6"/>
    </row>
    <row r="1110" ht="14.25" customHeight="1">
      <c r="A1110" s="6"/>
      <c r="B1110" s="6"/>
      <c r="C1110" s="6">
        <v>1103.0</v>
      </c>
      <c r="D1110" s="6"/>
      <c r="E1110" s="6">
        <v>7511609.481563086</v>
      </c>
      <c r="F1110" s="6">
        <v>493.17572701193865</v>
      </c>
      <c r="G1110" s="6">
        <v>4.11288904123933</v>
      </c>
      <c r="H1110" s="6">
        <v>7375802.362708456</v>
      </c>
      <c r="I1110" s="6">
        <v>487.0308179332226</v>
      </c>
      <c r="J1110" s="6">
        <v>2.7771762315122848</v>
      </c>
      <c r="K1110" s="6"/>
      <c r="L1110" s="6"/>
      <c r="M1110" s="6"/>
      <c r="N1110" s="6">
        <f t="shared" ref="N1110:P1110" si="1113">IF(LEN($C1110)&gt;0,H1110-E1110,"")</f>
        <v>-135807.1189</v>
      </c>
      <c r="O1110" s="6">
        <f t="shared" si="1113"/>
        <v>-6.144909079</v>
      </c>
      <c r="P1110" s="6">
        <f t="shared" si="1113"/>
        <v>-1.33571281</v>
      </c>
      <c r="Q1110" s="6"/>
      <c r="R1110" s="6"/>
      <c r="S1110" s="6"/>
      <c r="T1110" s="6"/>
      <c r="U1110" s="6"/>
      <c r="V1110" s="6"/>
      <c r="W1110" s="6"/>
      <c r="X1110" s="6"/>
      <c r="Y1110" s="6"/>
      <c r="Z1110" s="6"/>
      <c r="AA1110" s="6"/>
      <c r="AB1110" s="6"/>
      <c r="AC1110" s="6"/>
      <c r="AD1110" s="6"/>
      <c r="AE1110" s="6"/>
      <c r="AF1110" s="6"/>
      <c r="AG1110" s="6"/>
    </row>
    <row r="1111" ht="14.25" customHeight="1">
      <c r="A1111" s="6"/>
      <c r="B1111" s="6"/>
      <c r="C1111" s="6">
        <v>1104.0</v>
      </c>
      <c r="D1111" s="6"/>
      <c r="E1111" s="6">
        <v>8057293.545380417</v>
      </c>
      <c r="F1111" s="6">
        <v>444.1874912712785</v>
      </c>
      <c r="G1111" s="6">
        <v>3.8695319161974235</v>
      </c>
      <c r="H1111" s="6">
        <v>7962525.628587114</v>
      </c>
      <c r="I1111" s="6">
        <v>439.69237489091626</v>
      </c>
      <c r="J1111" s="6">
        <v>3.0612308836975877</v>
      </c>
      <c r="K1111" s="6"/>
      <c r="L1111" s="6"/>
      <c r="M1111" s="6"/>
      <c r="N1111" s="6">
        <f t="shared" ref="N1111:P1111" si="1114">IF(LEN($C1111)&gt;0,H1111-E1111,"")</f>
        <v>-94767.91679</v>
      </c>
      <c r="O1111" s="6">
        <f t="shared" si="1114"/>
        <v>-4.49511638</v>
      </c>
      <c r="P1111" s="6">
        <f t="shared" si="1114"/>
        <v>-0.8083010325</v>
      </c>
      <c r="Q1111" s="6"/>
      <c r="R1111" s="6"/>
      <c r="S1111" s="6"/>
      <c r="T1111" s="6"/>
      <c r="U1111" s="6"/>
      <c r="V1111" s="6"/>
      <c r="W1111" s="6"/>
      <c r="X1111" s="6"/>
      <c r="Y1111" s="6"/>
      <c r="Z1111" s="6"/>
      <c r="AA1111" s="6"/>
      <c r="AB1111" s="6"/>
      <c r="AC1111" s="6"/>
      <c r="AD1111" s="6"/>
      <c r="AE1111" s="6"/>
      <c r="AF1111" s="6"/>
      <c r="AG1111" s="6"/>
    </row>
    <row r="1112" ht="14.25" customHeight="1">
      <c r="A1112" s="6"/>
      <c r="B1112" s="6"/>
      <c r="C1112" s="6">
        <v>1105.0</v>
      </c>
      <c r="D1112" s="6"/>
      <c r="E1112" s="6">
        <v>7285408.945564146</v>
      </c>
      <c r="F1112" s="6">
        <v>439.63101110708703</v>
      </c>
      <c r="G1112" s="6">
        <v>4.539337933794709</v>
      </c>
      <c r="H1112" s="6">
        <v>7103022.820939686</v>
      </c>
      <c r="I1112" s="6">
        <v>433.9810493998383</v>
      </c>
      <c r="J1112" s="6">
        <v>3.1568718963173112</v>
      </c>
      <c r="K1112" s="6"/>
      <c r="L1112" s="6"/>
      <c r="M1112" s="6"/>
      <c r="N1112" s="6">
        <f t="shared" ref="N1112:P1112" si="1115">IF(LEN($C1112)&gt;0,H1112-E1112,"")</f>
        <v>-182386.1246</v>
      </c>
      <c r="O1112" s="6">
        <f t="shared" si="1115"/>
        <v>-5.649961707</v>
      </c>
      <c r="P1112" s="6">
        <f t="shared" si="1115"/>
        <v>-1.382466037</v>
      </c>
      <c r="Q1112" s="6"/>
      <c r="R1112" s="6"/>
      <c r="S1112" s="6"/>
      <c r="T1112" s="6"/>
      <c r="U1112" s="6"/>
      <c r="V1112" s="6"/>
      <c r="W1112" s="6"/>
      <c r="X1112" s="6"/>
      <c r="Y1112" s="6"/>
      <c r="Z1112" s="6"/>
      <c r="AA1112" s="6"/>
      <c r="AB1112" s="6"/>
      <c r="AC1112" s="6"/>
      <c r="AD1112" s="6"/>
      <c r="AE1112" s="6"/>
      <c r="AF1112" s="6"/>
      <c r="AG1112" s="6"/>
    </row>
    <row r="1113" ht="14.25" customHeight="1">
      <c r="A1113" s="6"/>
      <c r="B1113" s="6"/>
      <c r="C1113" s="6">
        <v>1106.0</v>
      </c>
      <c r="D1113" s="6"/>
      <c r="E1113" s="6">
        <v>6386939.738739264</v>
      </c>
      <c r="F1113" s="6">
        <v>494.63036242561867</v>
      </c>
      <c r="G1113" s="6">
        <v>4.827842917924618</v>
      </c>
      <c r="H1113" s="6">
        <v>6260807.5291332565</v>
      </c>
      <c r="I1113" s="6">
        <v>487.84646032071294</v>
      </c>
      <c r="J1113" s="6">
        <v>3.7559659574762847</v>
      </c>
      <c r="K1113" s="6"/>
      <c r="L1113" s="6"/>
      <c r="M1113" s="6"/>
      <c r="N1113" s="6">
        <f t="shared" ref="N1113:P1113" si="1116">IF(LEN($C1113)&gt;0,H1113-E1113,"")</f>
        <v>-126132.2096</v>
      </c>
      <c r="O1113" s="6">
        <f t="shared" si="1116"/>
        <v>-6.783902105</v>
      </c>
      <c r="P1113" s="6">
        <f t="shared" si="1116"/>
        <v>-1.07187696</v>
      </c>
      <c r="Q1113" s="6"/>
      <c r="R1113" s="6"/>
      <c r="S1113" s="6"/>
      <c r="T1113" s="6"/>
      <c r="U1113" s="6"/>
      <c r="V1113" s="6"/>
      <c r="W1113" s="6"/>
      <c r="X1113" s="6"/>
      <c r="Y1113" s="6"/>
      <c r="Z1113" s="6"/>
      <c r="AA1113" s="6"/>
      <c r="AB1113" s="6"/>
      <c r="AC1113" s="6"/>
      <c r="AD1113" s="6"/>
      <c r="AE1113" s="6"/>
      <c r="AF1113" s="6"/>
      <c r="AG1113" s="6"/>
    </row>
    <row r="1114" ht="14.25" customHeight="1">
      <c r="A1114" s="6"/>
      <c r="B1114" s="6"/>
      <c r="C1114" s="6">
        <v>1107.0</v>
      </c>
      <c r="D1114" s="6"/>
      <c r="E1114" s="6">
        <v>8219438.708884321</v>
      </c>
      <c r="F1114" s="6">
        <v>452.06599233154446</v>
      </c>
      <c r="G1114" s="6">
        <v>5.398216779555936</v>
      </c>
      <c r="H1114" s="6">
        <v>8081856.0546075385</v>
      </c>
      <c r="I1114" s="6">
        <v>447.66245694783527</v>
      </c>
      <c r="J1114" s="6">
        <v>4.096653866647155</v>
      </c>
      <c r="K1114" s="6"/>
      <c r="L1114" s="6"/>
      <c r="M1114" s="6"/>
      <c r="N1114" s="6">
        <f t="shared" ref="N1114:P1114" si="1117">IF(LEN($C1114)&gt;0,H1114-E1114,"")</f>
        <v>-137582.6543</v>
      </c>
      <c r="O1114" s="6">
        <f t="shared" si="1117"/>
        <v>-4.403535384</v>
      </c>
      <c r="P1114" s="6">
        <f t="shared" si="1117"/>
        <v>-1.301562913</v>
      </c>
      <c r="Q1114" s="6"/>
      <c r="R1114" s="6"/>
      <c r="S1114" s="6"/>
      <c r="T1114" s="6"/>
      <c r="U1114" s="6"/>
      <c r="V1114" s="6"/>
      <c r="W1114" s="6"/>
      <c r="X1114" s="6"/>
      <c r="Y1114" s="6"/>
      <c r="Z1114" s="6"/>
      <c r="AA1114" s="6"/>
      <c r="AB1114" s="6"/>
      <c r="AC1114" s="6"/>
      <c r="AD1114" s="6"/>
      <c r="AE1114" s="6"/>
      <c r="AF1114" s="6"/>
      <c r="AG1114" s="6"/>
    </row>
    <row r="1115" ht="14.25" customHeight="1">
      <c r="A1115" s="6"/>
      <c r="B1115" s="6"/>
      <c r="C1115" s="6">
        <v>1108.0</v>
      </c>
      <c r="D1115" s="6"/>
      <c r="E1115" s="6">
        <v>7675331.357765152</v>
      </c>
      <c r="F1115" s="6">
        <v>449.95886074680243</v>
      </c>
      <c r="G1115" s="6">
        <v>5.508174296256521</v>
      </c>
      <c r="H1115" s="6">
        <v>7572834.878555359</v>
      </c>
      <c r="I1115" s="6">
        <v>445.2140403874348</v>
      </c>
      <c r="J1115" s="6">
        <v>4.483784934779827</v>
      </c>
      <c r="K1115" s="6"/>
      <c r="L1115" s="6"/>
      <c r="M1115" s="6"/>
      <c r="N1115" s="6">
        <f t="shared" ref="N1115:P1115" si="1118">IF(LEN($C1115)&gt;0,H1115-E1115,"")</f>
        <v>-102496.4792</v>
      </c>
      <c r="O1115" s="6">
        <f t="shared" si="1118"/>
        <v>-4.744820359</v>
      </c>
      <c r="P1115" s="6">
        <f t="shared" si="1118"/>
        <v>-1.024389361</v>
      </c>
      <c r="Q1115" s="6"/>
      <c r="R1115" s="6"/>
      <c r="S1115" s="6"/>
      <c r="T1115" s="6"/>
      <c r="U1115" s="6"/>
      <c r="V1115" s="6"/>
      <c r="W1115" s="6"/>
      <c r="X1115" s="6"/>
      <c r="Y1115" s="6"/>
      <c r="Z1115" s="6"/>
      <c r="AA1115" s="6"/>
      <c r="AB1115" s="6"/>
      <c r="AC1115" s="6"/>
      <c r="AD1115" s="6"/>
      <c r="AE1115" s="6"/>
      <c r="AF1115" s="6"/>
      <c r="AG1115" s="6"/>
    </row>
    <row r="1116" ht="14.25" customHeight="1">
      <c r="A1116" s="6"/>
      <c r="B1116" s="6"/>
      <c r="C1116" s="6">
        <v>1109.0</v>
      </c>
      <c r="D1116" s="6"/>
      <c r="E1116" s="6">
        <v>8658314.071088301</v>
      </c>
      <c r="F1116" s="6">
        <v>493.7420373721944</v>
      </c>
      <c r="G1116" s="6">
        <v>4.752842484375849</v>
      </c>
      <c r="H1116" s="6">
        <v>8541750.999175536</v>
      </c>
      <c r="I1116" s="6">
        <v>488.353267542822</v>
      </c>
      <c r="J1116" s="6">
        <v>3.7555703649091283</v>
      </c>
      <c r="K1116" s="6"/>
      <c r="L1116" s="6"/>
      <c r="M1116" s="6"/>
      <c r="N1116" s="6">
        <f t="shared" ref="N1116:P1116" si="1119">IF(LEN($C1116)&gt;0,H1116-E1116,"")</f>
        <v>-116563.0719</v>
      </c>
      <c r="O1116" s="6">
        <f t="shared" si="1119"/>
        <v>-5.388769829</v>
      </c>
      <c r="P1116" s="6">
        <f t="shared" si="1119"/>
        <v>-0.9972721195</v>
      </c>
      <c r="Q1116" s="6"/>
      <c r="R1116" s="6"/>
      <c r="S1116" s="6"/>
      <c r="T1116" s="6"/>
      <c r="U1116" s="6"/>
      <c r="V1116" s="6"/>
      <c r="W1116" s="6"/>
      <c r="X1116" s="6"/>
      <c r="Y1116" s="6"/>
      <c r="Z1116" s="6"/>
      <c r="AA1116" s="6"/>
      <c r="AB1116" s="6"/>
      <c r="AC1116" s="6"/>
      <c r="AD1116" s="6"/>
      <c r="AE1116" s="6"/>
      <c r="AF1116" s="6"/>
      <c r="AG1116" s="6"/>
    </row>
    <row r="1117" ht="14.25" customHeight="1">
      <c r="A1117" s="6"/>
      <c r="B1117" s="6"/>
      <c r="C1117" s="6">
        <v>1110.0</v>
      </c>
      <c r="D1117" s="6"/>
      <c r="E1117" s="6">
        <v>6980196.812571018</v>
      </c>
      <c r="F1117" s="6">
        <v>491.3722875415971</v>
      </c>
      <c r="G1117" s="6">
        <v>5.631641950868566</v>
      </c>
      <c r="H1117" s="6">
        <v>6919577.099519344</v>
      </c>
      <c r="I1117" s="6">
        <v>489.35119053003353</v>
      </c>
      <c r="J1117" s="6">
        <v>4.700752863703998</v>
      </c>
      <c r="K1117" s="6"/>
      <c r="L1117" s="6"/>
      <c r="M1117" s="6"/>
      <c r="N1117" s="6">
        <f t="shared" ref="N1117:P1117" si="1120">IF(LEN($C1117)&gt;0,H1117-E1117,"")</f>
        <v>-60619.71305</v>
      </c>
      <c r="O1117" s="6">
        <f t="shared" si="1120"/>
        <v>-2.021097012</v>
      </c>
      <c r="P1117" s="6">
        <f t="shared" si="1120"/>
        <v>-0.9308890872</v>
      </c>
      <c r="Q1117" s="6"/>
      <c r="R1117" s="6"/>
      <c r="S1117" s="6"/>
      <c r="T1117" s="6"/>
      <c r="U1117" s="6"/>
      <c r="V1117" s="6"/>
      <c r="W1117" s="6"/>
      <c r="X1117" s="6"/>
      <c r="Y1117" s="6"/>
      <c r="Z1117" s="6"/>
      <c r="AA1117" s="6"/>
      <c r="AB1117" s="6"/>
      <c r="AC1117" s="6"/>
      <c r="AD1117" s="6"/>
      <c r="AE1117" s="6"/>
      <c r="AF1117" s="6"/>
      <c r="AG1117" s="6"/>
    </row>
    <row r="1118" ht="14.25" customHeight="1">
      <c r="A1118" s="6"/>
      <c r="B1118" s="6"/>
      <c r="C1118" s="6">
        <v>1111.0</v>
      </c>
      <c r="D1118" s="6"/>
      <c r="E1118" s="6">
        <v>7538766.32620329</v>
      </c>
      <c r="F1118" s="6">
        <v>478.5121547889738</v>
      </c>
      <c r="G1118" s="6">
        <v>4.1712419523859126</v>
      </c>
      <c r="H1118" s="6">
        <v>7442611.312039823</v>
      </c>
      <c r="I1118" s="6">
        <v>473.51594594343624</v>
      </c>
      <c r="J1118" s="6">
        <v>3.0714551893614734</v>
      </c>
      <c r="K1118" s="6"/>
      <c r="L1118" s="6"/>
      <c r="M1118" s="6"/>
      <c r="N1118" s="6">
        <f t="shared" ref="N1118:P1118" si="1121">IF(LEN($C1118)&gt;0,H1118-E1118,"")</f>
        <v>-96155.01416</v>
      </c>
      <c r="O1118" s="6">
        <f t="shared" si="1121"/>
        <v>-4.996208846</v>
      </c>
      <c r="P1118" s="6">
        <f t="shared" si="1121"/>
        <v>-1.099786763</v>
      </c>
      <c r="Q1118" s="6"/>
      <c r="R1118" s="6"/>
      <c r="S1118" s="6"/>
      <c r="T1118" s="6"/>
      <c r="U1118" s="6"/>
      <c r="V1118" s="6"/>
      <c r="W1118" s="6"/>
      <c r="X1118" s="6"/>
      <c r="Y1118" s="6"/>
      <c r="Z1118" s="6"/>
      <c r="AA1118" s="6"/>
      <c r="AB1118" s="6"/>
      <c r="AC1118" s="6"/>
      <c r="AD1118" s="6"/>
      <c r="AE1118" s="6"/>
      <c r="AF1118" s="6"/>
      <c r="AG1118" s="6"/>
    </row>
    <row r="1119" ht="14.25" customHeight="1">
      <c r="A1119" s="6"/>
      <c r="B1119" s="6"/>
      <c r="C1119" s="6">
        <v>1112.0</v>
      </c>
      <c r="D1119" s="6"/>
      <c r="E1119" s="6">
        <v>6147899.569507611</v>
      </c>
      <c r="F1119" s="6">
        <v>485.47654485548753</v>
      </c>
      <c r="G1119" s="6">
        <v>5.664227657148013</v>
      </c>
      <c r="H1119" s="6">
        <v>6036842.904789217</v>
      </c>
      <c r="I1119" s="6">
        <v>481.1402320107052</v>
      </c>
      <c r="J1119" s="6">
        <v>4.2715311464565815</v>
      </c>
      <c r="K1119" s="6"/>
      <c r="L1119" s="6"/>
      <c r="M1119" s="6"/>
      <c r="N1119" s="6">
        <f t="shared" ref="N1119:P1119" si="1122">IF(LEN($C1119)&gt;0,H1119-E1119,"")</f>
        <v>-111056.6647</v>
      </c>
      <c r="O1119" s="6">
        <f t="shared" si="1122"/>
        <v>-4.336312845</v>
      </c>
      <c r="P1119" s="6">
        <f t="shared" si="1122"/>
        <v>-1.392696511</v>
      </c>
      <c r="Q1119" s="6"/>
      <c r="R1119" s="6"/>
      <c r="S1119" s="6"/>
      <c r="T1119" s="6"/>
      <c r="U1119" s="6"/>
      <c r="V1119" s="6"/>
      <c r="W1119" s="6"/>
      <c r="X1119" s="6"/>
      <c r="Y1119" s="6"/>
      <c r="Z1119" s="6"/>
      <c r="AA1119" s="6"/>
      <c r="AB1119" s="6"/>
      <c r="AC1119" s="6"/>
      <c r="AD1119" s="6"/>
      <c r="AE1119" s="6"/>
      <c r="AF1119" s="6"/>
      <c r="AG1119" s="6"/>
    </row>
    <row r="1120" ht="14.25" customHeight="1">
      <c r="A1120" s="6"/>
      <c r="B1120" s="6"/>
      <c r="C1120" s="6">
        <v>1113.0</v>
      </c>
      <c r="D1120" s="6"/>
      <c r="E1120" s="6">
        <v>9142152.44017045</v>
      </c>
      <c r="F1120" s="6">
        <v>479.92484394732156</v>
      </c>
      <c r="G1120" s="6">
        <v>3.968976950208217</v>
      </c>
      <c r="H1120" s="6">
        <v>8954210.44600219</v>
      </c>
      <c r="I1120" s="6">
        <v>471.3616083882859</v>
      </c>
      <c r="J1120" s="6">
        <v>2.734999191187334</v>
      </c>
      <c r="K1120" s="6"/>
      <c r="L1120" s="6"/>
      <c r="M1120" s="6"/>
      <c r="N1120" s="6">
        <f t="shared" ref="N1120:P1120" si="1123">IF(LEN($C1120)&gt;0,H1120-E1120,"")</f>
        <v>-187941.9942</v>
      </c>
      <c r="O1120" s="6">
        <f t="shared" si="1123"/>
        <v>-8.563235559</v>
      </c>
      <c r="P1120" s="6">
        <f t="shared" si="1123"/>
        <v>-1.233977759</v>
      </c>
      <c r="Q1120" s="6"/>
      <c r="R1120" s="6"/>
      <c r="S1120" s="6"/>
      <c r="T1120" s="6"/>
      <c r="U1120" s="6"/>
      <c r="V1120" s="6"/>
      <c r="W1120" s="6"/>
      <c r="X1120" s="6"/>
      <c r="Y1120" s="6"/>
      <c r="Z1120" s="6"/>
      <c r="AA1120" s="6"/>
      <c r="AB1120" s="6"/>
      <c r="AC1120" s="6"/>
      <c r="AD1120" s="6"/>
      <c r="AE1120" s="6"/>
      <c r="AF1120" s="6"/>
      <c r="AG1120" s="6"/>
    </row>
    <row r="1121" ht="14.25" customHeight="1">
      <c r="A1121" s="6"/>
      <c r="B1121" s="6"/>
      <c r="C1121" s="6">
        <v>1114.0</v>
      </c>
      <c r="D1121" s="6"/>
      <c r="E1121" s="6">
        <v>8112707.145826242</v>
      </c>
      <c r="F1121" s="6">
        <v>468.77001850955696</v>
      </c>
      <c r="G1121" s="6">
        <v>4.723870068991865</v>
      </c>
      <c r="H1121" s="6">
        <v>7923422.792372514</v>
      </c>
      <c r="I1121" s="6">
        <v>461.8953045947141</v>
      </c>
      <c r="J1121" s="6">
        <v>2.90983343351244</v>
      </c>
      <c r="K1121" s="6"/>
      <c r="L1121" s="6"/>
      <c r="M1121" s="6"/>
      <c r="N1121" s="6">
        <f t="shared" ref="N1121:P1121" si="1124">IF(LEN($C1121)&gt;0,H1121-E1121,"")</f>
        <v>-189284.3535</v>
      </c>
      <c r="O1121" s="6">
        <f t="shared" si="1124"/>
        <v>-6.874713915</v>
      </c>
      <c r="P1121" s="6">
        <f t="shared" si="1124"/>
        <v>-1.814036635</v>
      </c>
      <c r="Q1121" s="6"/>
      <c r="R1121" s="6"/>
      <c r="S1121" s="6"/>
      <c r="T1121" s="6"/>
      <c r="U1121" s="6"/>
      <c r="V1121" s="6"/>
      <c r="W1121" s="6"/>
      <c r="X1121" s="6"/>
      <c r="Y1121" s="6"/>
      <c r="Z1121" s="6"/>
      <c r="AA1121" s="6"/>
      <c r="AB1121" s="6"/>
      <c r="AC1121" s="6"/>
      <c r="AD1121" s="6"/>
      <c r="AE1121" s="6"/>
      <c r="AF1121" s="6"/>
      <c r="AG1121" s="6"/>
    </row>
    <row r="1122" ht="14.25" customHeight="1">
      <c r="A1122" s="6"/>
      <c r="B1122" s="6"/>
      <c r="C1122" s="6">
        <v>1115.0</v>
      </c>
      <c r="D1122" s="6"/>
      <c r="E1122" s="6">
        <v>8961085.17881499</v>
      </c>
      <c r="F1122" s="6">
        <v>449.54818988952667</v>
      </c>
      <c r="G1122" s="6">
        <v>3.441892998850191</v>
      </c>
      <c r="H1122" s="6">
        <v>8859255.543174308</v>
      </c>
      <c r="I1122" s="6">
        <v>445.3955327269957</v>
      </c>
      <c r="J1122" s="6">
        <v>2.6886108286704946</v>
      </c>
      <c r="K1122" s="6"/>
      <c r="L1122" s="6"/>
      <c r="M1122" s="6"/>
      <c r="N1122" s="6">
        <f t="shared" ref="N1122:P1122" si="1125">IF(LEN($C1122)&gt;0,H1122-E1122,"")</f>
        <v>-101829.6356</v>
      </c>
      <c r="O1122" s="6">
        <f t="shared" si="1125"/>
        <v>-4.152657163</v>
      </c>
      <c r="P1122" s="6">
        <f t="shared" si="1125"/>
        <v>-0.7532821702</v>
      </c>
      <c r="Q1122" s="6"/>
      <c r="R1122" s="6"/>
      <c r="S1122" s="6"/>
      <c r="T1122" s="6"/>
      <c r="U1122" s="6"/>
      <c r="V1122" s="6"/>
      <c r="W1122" s="6"/>
      <c r="X1122" s="6"/>
      <c r="Y1122" s="6"/>
      <c r="Z1122" s="6"/>
      <c r="AA1122" s="6"/>
      <c r="AB1122" s="6"/>
      <c r="AC1122" s="6"/>
      <c r="AD1122" s="6"/>
      <c r="AE1122" s="6"/>
      <c r="AF1122" s="6"/>
      <c r="AG1122" s="6"/>
    </row>
    <row r="1123" ht="14.25" customHeight="1">
      <c r="A1123" s="6"/>
      <c r="B1123" s="6"/>
      <c r="C1123" s="6">
        <v>1116.0</v>
      </c>
      <c r="D1123" s="6"/>
      <c r="E1123" s="6">
        <v>8809866.737856997</v>
      </c>
      <c r="F1123" s="6">
        <v>490.1655605709</v>
      </c>
      <c r="G1123" s="6">
        <v>5.14574777098787</v>
      </c>
      <c r="H1123" s="6">
        <v>8685774.374508599</v>
      </c>
      <c r="I1123" s="6">
        <v>485.9742408691065</v>
      </c>
      <c r="J1123" s="6">
        <v>3.806910874344226</v>
      </c>
      <c r="K1123" s="6"/>
      <c r="L1123" s="6"/>
      <c r="M1123" s="6"/>
      <c r="N1123" s="6">
        <f t="shared" ref="N1123:P1123" si="1126">IF(LEN($C1123)&gt;0,H1123-E1123,"")</f>
        <v>-124092.3633</v>
      </c>
      <c r="O1123" s="6">
        <f t="shared" si="1126"/>
        <v>-4.191319702</v>
      </c>
      <c r="P1123" s="6">
        <f t="shared" si="1126"/>
        <v>-1.338836897</v>
      </c>
      <c r="Q1123" s="6"/>
      <c r="R1123" s="6"/>
      <c r="S1123" s="6"/>
      <c r="T1123" s="6"/>
      <c r="U1123" s="6"/>
      <c r="V1123" s="6"/>
      <c r="W1123" s="6"/>
      <c r="X1123" s="6"/>
      <c r="Y1123" s="6"/>
      <c r="Z1123" s="6"/>
      <c r="AA1123" s="6"/>
      <c r="AB1123" s="6"/>
      <c r="AC1123" s="6"/>
      <c r="AD1123" s="6"/>
      <c r="AE1123" s="6"/>
      <c r="AF1123" s="6"/>
      <c r="AG1123" s="6"/>
    </row>
    <row r="1124" ht="14.25" customHeight="1">
      <c r="A1124" s="6"/>
      <c r="B1124" s="6"/>
      <c r="C1124" s="6">
        <v>1117.0</v>
      </c>
      <c r="D1124" s="6"/>
      <c r="E1124" s="6">
        <v>7677401.856419111</v>
      </c>
      <c r="F1124" s="6">
        <v>481.3855201329333</v>
      </c>
      <c r="G1124" s="6">
        <v>5.143448842832043</v>
      </c>
      <c r="H1124" s="6">
        <v>7529889.418284715</v>
      </c>
      <c r="I1124" s="6">
        <v>475.7648876555213</v>
      </c>
      <c r="J1124" s="6">
        <v>3.926461256228529</v>
      </c>
      <c r="K1124" s="6"/>
      <c r="L1124" s="6"/>
      <c r="M1124" s="6"/>
      <c r="N1124" s="6">
        <f t="shared" ref="N1124:P1124" si="1127">IF(LEN($C1124)&gt;0,H1124-E1124,"")</f>
        <v>-147512.4381</v>
      </c>
      <c r="O1124" s="6">
        <f t="shared" si="1127"/>
        <v>-5.620632477</v>
      </c>
      <c r="P1124" s="6">
        <f t="shared" si="1127"/>
        <v>-1.216987587</v>
      </c>
      <c r="Q1124" s="6"/>
      <c r="R1124" s="6"/>
      <c r="S1124" s="6"/>
      <c r="T1124" s="6"/>
      <c r="U1124" s="6"/>
      <c r="V1124" s="6"/>
      <c r="W1124" s="6"/>
      <c r="X1124" s="6"/>
      <c r="Y1124" s="6"/>
      <c r="Z1124" s="6"/>
      <c r="AA1124" s="6"/>
      <c r="AB1124" s="6"/>
      <c r="AC1124" s="6"/>
      <c r="AD1124" s="6"/>
      <c r="AE1124" s="6"/>
      <c r="AF1124" s="6"/>
      <c r="AG1124" s="6"/>
    </row>
    <row r="1125" ht="14.25" customHeight="1">
      <c r="A1125" s="6"/>
      <c r="B1125" s="6"/>
      <c r="C1125" s="6">
        <v>1118.0</v>
      </c>
      <c r="D1125" s="6"/>
      <c r="E1125" s="6">
        <v>5959849.036052574</v>
      </c>
      <c r="F1125" s="6">
        <v>486.5700230190213</v>
      </c>
      <c r="G1125" s="6">
        <v>5.813234138823105</v>
      </c>
      <c r="H1125" s="6">
        <v>5838419.419594055</v>
      </c>
      <c r="I1125" s="6">
        <v>482.297352491497</v>
      </c>
      <c r="J1125" s="6">
        <v>4.52627374004605</v>
      </c>
      <c r="K1125" s="6"/>
      <c r="L1125" s="6"/>
      <c r="M1125" s="6"/>
      <c r="N1125" s="6">
        <f t="shared" ref="N1125:P1125" si="1128">IF(LEN($C1125)&gt;0,H1125-E1125,"")</f>
        <v>-121429.6165</v>
      </c>
      <c r="O1125" s="6">
        <f t="shared" si="1128"/>
        <v>-4.272670528</v>
      </c>
      <c r="P1125" s="6">
        <f t="shared" si="1128"/>
        <v>-1.286960399</v>
      </c>
      <c r="Q1125" s="6"/>
      <c r="R1125" s="6"/>
      <c r="S1125" s="6"/>
      <c r="T1125" s="6"/>
      <c r="U1125" s="6"/>
      <c r="V1125" s="6"/>
      <c r="W1125" s="6"/>
      <c r="X1125" s="6"/>
      <c r="Y1125" s="6"/>
      <c r="Z1125" s="6"/>
      <c r="AA1125" s="6"/>
      <c r="AB1125" s="6"/>
      <c r="AC1125" s="6"/>
      <c r="AD1125" s="6"/>
      <c r="AE1125" s="6"/>
      <c r="AF1125" s="6"/>
      <c r="AG1125" s="6"/>
    </row>
    <row r="1126" ht="14.25" customHeight="1">
      <c r="A1126" s="6"/>
      <c r="B1126" s="6"/>
      <c r="C1126" s="6">
        <v>1119.0</v>
      </c>
      <c r="D1126" s="6"/>
      <c r="E1126" s="6">
        <v>8856784.919282626</v>
      </c>
      <c r="F1126" s="6">
        <v>464.85236212707787</v>
      </c>
      <c r="G1126" s="6">
        <v>3.5790427396094606</v>
      </c>
      <c r="H1126" s="6">
        <v>8790281.105517011</v>
      </c>
      <c r="I1126" s="6">
        <v>461.8420425907429</v>
      </c>
      <c r="J1126" s="6">
        <v>2.7668342550529545</v>
      </c>
      <c r="K1126" s="6"/>
      <c r="L1126" s="6"/>
      <c r="M1126" s="6"/>
      <c r="N1126" s="6">
        <f t="shared" ref="N1126:P1126" si="1129">IF(LEN($C1126)&gt;0,H1126-E1126,"")</f>
        <v>-66503.81377</v>
      </c>
      <c r="O1126" s="6">
        <f t="shared" si="1129"/>
        <v>-3.010319536</v>
      </c>
      <c r="P1126" s="6">
        <f t="shared" si="1129"/>
        <v>-0.8122084846</v>
      </c>
      <c r="Q1126" s="6"/>
      <c r="R1126" s="6"/>
      <c r="S1126" s="6"/>
      <c r="T1126" s="6"/>
      <c r="U1126" s="6"/>
      <c r="V1126" s="6"/>
      <c r="W1126" s="6"/>
      <c r="X1126" s="6"/>
      <c r="Y1126" s="6"/>
      <c r="Z1126" s="6"/>
      <c r="AA1126" s="6"/>
      <c r="AB1126" s="6"/>
      <c r="AC1126" s="6"/>
      <c r="AD1126" s="6"/>
      <c r="AE1126" s="6"/>
      <c r="AF1126" s="6"/>
      <c r="AG1126" s="6"/>
    </row>
    <row r="1127" ht="14.25" customHeight="1">
      <c r="A1127" s="6"/>
      <c r="B1127" s="6"/>
      <c r="C1127" s="6">
        <v>1120.0</v>
      </c>
      <c r="D1127" s="6"/>
      <c r="E1127" s="6">
        <v>7122325.804164083</v>
      </c>
      <c r="F1127" s="6">
        <v>488.8505216969348</v>
      </c>
      <c r="G1127" s="6">
        <v>6.897711891120478</v>
      </c>
      <c r="H1127" s="6">
        <v>7011423.53902441</v>
      </c>
      <c r="I1127" s="6">
        <v>485.8022509613622</v>
      </c>
      <c r="J1127" s="6">
        <v>5.059444790343582</v>
      </c>
      <c r="K1127" s="6"/>
      <c r="L1127" s="6"/>
      <c r="M1127" s="6"/>
      <c r="N1127" s="6">
        <f t="shared" ref="N1127:P1127" si="1130">IF(LEN($C1127)&gt;0,H1127-E1127,"")</f>
        <v>-110902.2651</v>
      </c>
      <c r="O1127" s="6">
        <f t="shared" si="1130"/>
        <v>-3.048270736</v>
      </c>
      <c r="P1127" s="6">
        <f t="shared" si="1130"/>
        <v>-1.838267101</v>
      </c>
      <c r="Q1127" s="6"/>
      <c r="R1127" s="6"/>
      <c r="S1127" s="6"/>
      <c r="T1127" s="6"/>
      <c r="U1127" s="6"/>
      <c r="V1127" s="6"/>
      <c r="W1127" s="6"/>
      <c r="X1127" s="6"/>
      <c r="Y1127" s="6"/>
      <c r="Z1127" s="6"/>
      <c r="AA1127" s="6"/>
      <c r="AB1127" s="6"/>
      <c r="AC1127" s="6"/>
      <c r="AD1127" s="6"/>
      <c r="AE1127" s="6"/>
      <c r="AF1127" s="6"/>
      <c r="AG1127" s="6"/>
    </row>
    <row r="1128" ht="14.25" customHeight="1">
      <c r="A1128" s="6"/>
      <c r="B1128" s="6"/>
      <c r="C1128" s="6">
        <v>1121.0</v>
      </c>
      <c r="D1128" s="6"/>
      <c r="E1128" s="6">
        <v>5563111.995693187</v>
      </c>
      <c r="F1128" s="6">
        <v>453.25177227650244</v>
      </c>
      <c r="G1128" s="6">
        <v>6.279504663651304</v>
      </c>
      <c r="H1128" s="6">
        <v>5459515.020149148</v>
      </c>
      <c r="I1128" s="6">
        <v>449.6100075497484</v>
      </c>
      <c r="J1128" s="6">
        <v>4.6509488674919135</v>
      </c>
      <c r="K1128" s="6"/>
      <c r="L1128" s="6"/>
      <c r="M1128" s="6"/>
      <c r="N1128" s="6">
        <f t="shared" ref="N1128:P1128" si="1131">IF(LEN($C1128)&gt;0,H1128-E1128,"")</f>
        <v>-103596.9755</v>
      </c>
      <c r="O1128" s="6">
        <f t="shared" si="1131"/>
        <v>-3.641764727</v>
      </c>
      <c r="P1128" s="6">
        <f t="shared" si="1131"/>
        <v>-1.628555796</v>
      </c>
      <c r="Q1128" s="6"/>
      <c r="R1128" s="6"/>
      <c r="S1128" s="6"/>
      <c r="T1128" s="6"/>
      <c r="U1128" s="6"/>
      <c r="V1128" s="6"/>
      <c r="W1128" s="6"/>
      <c r="X1128" s="6"/>
      <c r="Y1128" s="6"/>
      <c r="Z1128" s="6"/>
      <c r="AA1128" s="6"/>
      <c r="AB1128" s="6"/>
      <c r="AC1128" s="6"/>
      <c r="AD1128" s="6"/>
      <c r="AE1128" s="6"/>
      <c r="AF1128" s="6"/>
      <c r="AG1128" s="6"/>
    </row>
    <row r="1129" ht="14.25" customHeight="1">
      <c r="A1129" s="6"/>
      <c r="B1129" s="6"/>
      <c r="C1129" s="6">
        <v>1122.0</v>
      </c>
      <c r="D1129" s="6"/>
      <c r="E1129" s="6">
        <v>9861578.217590056</v>
      </c>
      <c r="F1129" s="6">
        <v>473.7741213055946</v>
      </c>
      <c r="G1129" s="6">
        <v>7.2483021601736715</v>
      </c>
      <c r="H1129" s="6">
        <v>9757733.612714665</v>
      </c>
      <c r="I1129" s="6">
        <v>470.45063238813935</v>
      </c>
      <c r="J1129" s="6">
        <v>6.236399576537297</v>
      </c>
      <c r="K1129" s="6"/>
      <c r="L1129" s="6"/>
      <c r="M1129" s="6"/>
      <c r="N1129" s="6">
        <f t="shared" ref="N1129:P1129" si="1132">IF(LEN($C1129)&gt;0,H1129-E1129,"")</f>
        <v>-103844.6049</v>
      </c>
      <c r="O1129" s="6">
        <f t="shared" si="1132"/>
        <v>-3.323488917</v>
      </c>
      <c r="P1129" s="6">
        <f t="shared" si="1132"/>
        <v>-1.011902584</v>
      </c>
      <c r="Q1129" s="6"/>
      <c r="R1129" s="6"/>
      <c r="S1129" s="6"/>
      <c r="T1129" s="6"/>
      <c r="U1129" s="6"/>
      <c r="V1129" s="6"/>
      <c r="W1129" s="6"/>
      <c r="X1129" s="6"/>
      <c r="Y1129" s="6"/>
      <c r="Z1129" s="6"/>
      <c r="AA1129" s="6"/>
      <c r="AB1129" s="6"/>
      <c r="AC1129" s="6"/>
      <c r="AD1129" s="6"/>
      <c r="AE1129" s="6"/>
      <c r="AF1129" s="6"/>
      <c r="AG1129" s="6"/>
    </row>
    <row r="1130" ht="14.25" customHeight="1">
      <c r="A1130" s="6"/>
      <c r="B1130" s="6"/>
      <c r="C1130" s="6">
        <v>1123.0</v>
      </c>
      <c r="D1130" s="6"/>
      <c r="E1130" s="6">
        <v>7368306.454635371</v>
      </c>
      <c r="F1130" s="6">
        <v>481.8594403216584</v>
      </c>
      <c r="G1130" s="6">
        <v>4.669182926359546</v>
      </c>
      <c r="H1130" s="6">
        <v>7249229.724981788</v>
      </c>
      <c r="I1130" s="6">
        <v>476.1243941622168</v>
      </c>
      <c r="J1130" s="6">
        <v>3.805600632579445</v>
      </c>
      <c r="K1130" s="6"/>
      <c r="L1130" s="6"/>
      <c r="M1130" s="6"/>
      <c r="N1130" s="6">
        <f t="shared" ref="N1130:P1130" si="1133">IF(LEN($C1130)&gt;0,H1130-E1130,"")</f>
        <v>-119076.7297</v>
      </c>
      <c r="O1130" s="6">
        <f t="shared" si="1133"/>
        <v>-5.735046159</v>
      </c>
      <c r="P1130" s="6">
        <f t="shared" si="1133"/>
        <v>-0.8635822938</v>
      </c>
      <c r="Q1130" s="6"/>
      <c r="R1130" s="6"/>
      <c r="S1130" s="6"/>
      <c r="T1130" s="6"/>
      <c r="U1130" s="6"/>
      <c r="V1130" s="6"/>
      <c r="W1130" s="6"/>
      <c r="X1130" s="6"/>
      <c r="Y1130" s="6"/>
      <c r="Z1130" s="6"/>
      <c r="AA1130" s="6"/>
      <c r="AB1130" s="6"/>
      <c r="AC1130" s="6"/>
      <c r="AD1130" s="6"/>
      <c r="AE1130" s="6"/>
      <c r="AF1130" s="6"/>
      <c r="AG1130" s="6"/>
    </row>
    <row r="1131" ht="14.25" customHeight="1">
      <c r="A1131" s="6"/>
      <c r="B1131" s="6"/>
      <c r="C1131" s="6">
        <v>1124.0</v>
      </c>
      <c r="D1131" s="6"/>
      <c r="E1131" s="6">
        <v>7230513.815214609</v>
      </c>
      <c r="F1131" s="6">
        <v>476.7270466619599</v>
      </c>
      <c r="G1131" s="6">
        <v>5.771801358696834</v>
      </c>
      <c r="H1131" s="6">
        <v>7125636.06480279</v>
      </c>
      <c r="I1131" s="6">
        <v>472.8408973347239</v>
      </c>
      <c r="J1131" s="6">
        <v>4.324486036439813</v>
      </c>
      <c r="K1131" s="6"/>
      <c r="L1131" s="6"/>
      <c r="M1131" s="6"/>
      <c r="N1131" s="6">
        <f t="shared" ref="N1131:P1131" si="1134">IF(LEN($C1131)&gt;0,H1131-E1131,"")</f>
        <v>-104877.7504</v>
      </c>
      <c r="O1131" s="6">
        <f t="shared" si="1134"/>
        <v>-3.886149327</v>
      </c>
      <c r="P1131" s="6">
        <f t="shared" si="1134"/>
        <v>-1.447315322</v>
      </c>
      <c r="Q1131" s="6"/>
      <c r="R1131" s="6"/>
      <c r="S1131" s="6"/>
      <c r="T1131" s="6"/>
      <c r="U1131" s="6"/>
      <c r="V1131" s="6"/>
      <c r="W1131" s="6"/>
      <c r="X1131" s="6"/>
      <c r="Y1131" s="6"/>
      <c r="Z1131" s="6"/>
      <c r="AA1131" s="6"/>
      <c r="AB1131" s="6"/>
      <c r="AC1131" s="6"/>
      <c r="AD1131" s="6"/>
      <c r="AE1131" s="6"/>
      <c r="AF1131" s="6"/>
      <c r="AG1131" s="6"/>
    </row>
    <row r="1132" ht="14.25" customHeight="1">
      <c r="A1132" s="6"/>
      <c r="B1132" s="6"/>
      <c r="C1132" s="6">
        <v>1125.0</v>
      </c>
      <c r="D1132" s="6"/>
      <c r="E1132" s="6">
        <v>7298911.825362121</v>
      </c>
      <c r="F1132" s="6">
        <v>445.88965272583516</v>
      </c>
      <c r="G1132" s="6">
        <v>6.533735899526365</v>
      </c>
      <c r="H1132" s="6">
        <v>7157883.733363645</v>
      </c>
      <c r="I1132" s="6">
        <v>440.80140961584686</v>
      </c>
      <c r="J1132" s="6">
        <v>4.773417983408861</v>
      </c>
      <c r="K1132" s="6"/>
      <c r="L1132" s="6"/>
      <c r="M1132" s="6"/>
      <c r="N1132" s="6">
        <f t="shared" ref="N1132:P1132" si="1135">IF(LEN($C1132)&gt;0,H1132-E1132,"")</f>
        <v>-141028.092</v>
      </c>
      <c r="O1132" s="6">
        <f t="shared" si="1135"/>
        <v>-5.08824311</v>
      </c>
      <c r="P1132" s="6">
        <f t="shared" si="1135"/>
        <v>-1.760317916</v>
      </c>
      <c r="Q1132" s="6"/>
      <c r="R1132" s="6"/>
      <c r="S1132" s="6"/>
      <c r="T1132" s="6"/>
      <c r="U1132" s="6"/>
      <c r="V1132" s="6"/>
      <c r="W1132" s="6"/>
      <c r="X1132" s="6"/>
      <c r="Y1132" s="6"/>
      <c r="Z1132" s="6"/>
      <c r="AA1132" s="6"/>
      <c r="AB1132" s="6"/>
      <c r="AC1132" s="6"/>
      <c r="AD1132" s="6"/>
      <c r="AE1132" s="6"/>
      <c r="AF1132" s="6"/>
      <c r="AG1132" s="6"/>
    </row>
    <row r="1133" ht="14.25" customHeight="1">
      <c r="A1133" s="6"/>
      <c r="B1133" s="6"/>
      <c r="C1133" s="6">
        <v>1126.0</v>
      </c>
      <c r="D1133" s="6"/>
      <c r="E1133" s="6">
        <v>7083900.228286318</v>
      </c>
      <c r="F1133" s="6">
        <v>448.16281837689036</v>
      </c>
      <c r="G1133" s="6">
        <v>5.216186938263814</v>
      </c>
      <c r="H1133" s="6">
        <v>7038106.019793275</v>
      </c>
      <c r="I1133" s="6">
        <v>445.4320073944838</v>
      </c>
      <c r="J1133" s="6">
        <v>4.691718465665532</v>
      </c>
      <c r="K1133" s="6"/>
      <c r="L1133" s="6"/>
      <c r="M1133" s="6"/>
      <c r="N1133" s="6">
        <f t="shared" ref="N1133:P1133" si="1136">IF(LEN($C1133)&gt;0,H1133-E1133,"")</f>
        <v>-45794.20849</v>
      </c>
      <c r="O1133" s="6">
        <f t="shared" si="1136"/>
        <v>-2.730810982</v>
      </c>
      <c r="P1133" s="6">
        <f t="shared" si="1136"/>
        <v>-0.5244684726</v>
      </c>
      <c r="Q1133" s="6"/>
      <c r="R1133" s="6"/>
      <c r="S1133" s="6"/>
      <c r="T1133" s="6"/>
      <c r="U1133" s="6"/>
      <c r="V1133" s="6"/>
      <c r="W1133" s="6"/>
      <c r="X1133" s="6"/>
      <c r="Y1133" s="6"/>
      <c r="Z1133" s="6"/>
      <c r="AA1133" s="6"/>
      <c r="AB1133" s="6"/>
      <c r="AC1133" s="6"/>
      <c r="AD1133" s="6"/>
      <c r="AE1133" s="6"/>
      <c r="AF1133" s="6"/>
      <c r="AG1133" s="6"/>
    </row>
    <row r="1134" ht="14.25" customHeight="1">
      <c r="A1134" s="6"/>
      <c r="B1134" s="6"/>
      <c r="C1134" s="6">
        <v>1127.0</v>
      </c>
      <c r="D1134" s="6"/>
      <c r="E1134" s="6">
        <v>9056718.187413095</v>
      </c>
      <c r="F1134" s="6">
        <v>474.19702368303734</v>
      </c>
      <c r="G1134" s="6">
        <v>4.199910729859385</v>
      </c>
      <c r="H1134" s="6">
        <v>8829779.785661045</v>
      </c>
      <c r="I1134" s="6">
        <v>464.79455323910423</v>
      </c>
      <c r="J1134" s="6">
        <v>2.6674082075733208</v>
      </c>
      <c r="K1134" s="6"/>
      <c r="L1134" s="6"/>
      <c r="M1134" s="6"/>
      <c r="N1134" s="6">
        <f t="shared" ref="N1134:P1134" si="1137">IF(LEN($C1134)&gt;0,H1134-E1134,"")</f>
        <v>-226938.4018</v>
      </c>
      <c r="O1134" s="6">
        <f t="shared" si="1137"/>
        <v>-9.402470444</v>
      </c>
      <c r="P1134" s="6">
        <f t="shared" si="1137"/>
        <v>-1.532502522</v>
      </c>
      <c r="Q1134" s="6"/>
      <c r="R1134" s="6"/>
      <c r="S1134" s="6"/>
      <c r="T1134" s="6"/>
      <c r="U1134" s="6"/>
      <c r="V1134" s="6"/>
      <c r="W1134" s="6"/>
      <c r="X1134" s="6"/>
      <c r="Y1134" s="6"/>
      <c r="Z1134" s="6"/>
      <c r="AA1134" s="6"/>
      <c r="AB1134" s="6"/>
      <c r="AC1134" s="6"/>
      <c r="AD1134" s="6"/>
      <c r="AE1134" s="6"/>
      <c r="AF1134" s="6"/>
      <c r="AG1134" s="6"/>
    </row>
    <row r="1135" ht="14.25" customHeight="1">
      <c r="A1135" s="6"/>
      <c r="B1135" s="6"/>
      <c r="C1135" s="6">
        <v>1128.0</v>
      </c>
      <c r="D1135" s="6"/>
      <c r="E1135" s="6">
        <v>7299169.606306953</v>
      </c>
      <c r="F1135" s="6">
        <v>436.0285051794553</v>
      </c>
      <c r="G1135" s="6">
        <v>4.0605835433995825</v>
      </c>
      <c r="H1135" s="6">
        <v>7195817.546232024</v>
      </c>
      <c r="I1135" s="6">
        <v>432.12146722561977</v>
      </c>
      <c r="J1135" s="6">
        <v>2.724113044945221</v>
      </c>
      <c r="K1135" s="6"/>
      <c r="L1135" s="6"/>
      <c r="M1135" s="6"/>
      <c r="N1135" s="6">
        <f t="shared" ref="N1135:P1135" si="1138">IF(LEN($C1135)&gt;0,H1135-E1135,"")</f>
        <v>-103352.0601</v>
      </c>
      <c r="O1135" s="6">
        <f t="shared" si="1138"/>
        <v>-3.907037954</v>
      </c>
      <c r="P1135" s="6">
        <f t="shared" si="1138"/>
        <v>-1.336470498</v>
      </c>
      <c r="Q1135" s="6"/>
      <c r="R1135" s="6"/>
      <c r="S1135" s="6"/>
      <c r="T1135" s="6"/>
      <c r="U1135" s="6"/>
      <c r="V1135" s="6"/>
      <c r="W1135" s="6"/>
      <c r="X1135" s="6"/>
      <c r="Y1135" s="6"/>
      <c r="Z1135" s="6"/>
      <c r="AA1135" s="6"/>
      <c r="AB1135" s="6"/>
      <c r="AC1135" s="6"/>
      <c r="AD1135" s="6"/>
      <c r="AE1135" s="6"/>
      <c r="AF1135" s="6"/>
      <c r="AG1135" s="6"/>
    </row>
    <row r="1136" ht="14.25" customHeight="1">
      <c r="A1136" s="6"/>
      <c r="B1136" s="6"/>
      <c r="C1136" s="6">
        <v>1129.0</v>
      </c>
      <c r="D1136" s="6"/>
      <c r="E1136" s="6">
        <v>7080431.707085432</v>
      </c>
      <c r="F1136" s="6">
        <v>439.73054488937606</v>
      </c>
      <c r="G1136" s="6">
        <v>4.993048198296621</v>
      </c>
      <c r="H1136" s="6">
        <v>6965219.952007788</v>
      </c>
      <c r="I1136" s="6">
        <v>433.50461537611255</v>
      </c>
      <c r="J1136" s="6">
        <v>3.5764653793817076</v>
      </c>
      <c r="K1136" s="6"/>
      <c r="L1136" s="6"/>
      <c r="M1136" s="6"/>
      <c r="N1136" s="6">
        <f t="shared" ref="N1136:P1136" si="1139">IF(LEN($C1136)&gt;0,H1136-E1136,"")</f>
        <v>-115211.7551</v>
      </c>
      <c r="O1136" s="6">
        <f t="shared" si="1139"/>
        <v>-6.225929513</v>
      </c>
      <c r="P1136" s="6">
        <f t="shared" si="1139"/>
        <v>-1.416582819</v>
      </c>
      <c r="Q1136" s="6"/>
      <c r="R1136" s="6"/>
      <c r="S1136" s="6"/>
      <c r="T1136" s="6"/>
      <c r="U1136" s="6"/>
      <c r="V1136" s="6"/>
      <c r="W1136" s="6"/>
      <c r="X1136" s="6"/>
      <c r="Y1136" s="6"/>
      <c r="Z1136" s="6"/>
      <c r="AA1136" s="6"/>
      <c r="AB1136" s="6"/>
      <c r="AC1136" s="6"/>
      <c r="AD1136" s="6"/>
      <c r="AE1136" s="6"/>
      <c r="AF1136" s="6"/>
      <c r="AG1136" s="6"/>
    </row>
    <row r="1137" ht="14.25" customHeight="1">
      <c r="A1137" s="6"/>
      <c r="B1137" s="6"/>
      <c r="C1137" s="6">
        <v>1130.0</v>
      </c>
      <c r="D1137" s="6"/>
      <c r="E1137" s="6">
        <v>6121000.906719186</v>
      </c>
      <c r="F1137" s="6">
        <v>471.40657839444555</v>
      </c>
      <c r="G1137" s="6">
        <v>6.421503787825065</v>
      </c>
      <c r="H1137" s="6">
        <v>6023554.651326061</v>
      </c>
      <c r="I1137" s="6">
        <v>466.6654069810178</v>
      </c>
      <c r="J1137" s="6">
        <v>4.516678296575028</v>
      </c>
      <c r="K1137" s="6"/>
      <c r="L1137" s="6"/>
      <c r="M1137" s="6"/>
      <c r="N1137" s="6">
        <f t="shared" ref="N1137:P1137" si="1140">IF(LEN($C1137)&gt;0,H1137-E1137,"")</f>
        <v>-97446.25539</v>
      </c>
      <c r="O1137" s="6">
        <f t="shared" si="1140"/>
        <v>-4.741171413</v>
      </c>
      <c r="P1137" s="6">
        <f t="shared" si="1140"/>
        <v>-1.904825491</v>
      </c>
      <c r="Q1137" s="6"/>
      <c r="R1137" s="6"/>
      <c r="S1137" s="6"/>
      <c r="T1137" s="6"/>
      <c r="U1137" s="6"/>
      <c r="V1137" s="6"/>
      <c r="W1137" s="6"/>
      <c r="X1137" s="6"/>
      <c r="Y1137" s="6"/>
      <c r="Z1137" s="6"/>
      <c r="AA1137" s="6"/>
      <c r="AB1137" s="6"/>
      <c r="AC1137" s="6"/>
      <c r="AD1137" s="6"/>
      <c r="AE1137" s="6"/>
      <c r="AF1137" s="6"/>
      <c r="AG1137" s="6"/>
    </row>
    <row r="1138" ht="14.25" customHeight="1">
      <c r="A1138" s="6"/>
      <c r="B1138" s="6"/>
      <c r="C1138" s="6">
        <v>1131.0</v>
      </c>
      <c r="D1138" s="6"/>
      <c r="E1138" s="6">
        <v>7607088.821201816</v>
      </c>
      <c r="F1138" s="6">
        <v>450.25933234416584</v>
      </c>
      <c r="G1138" s="6">
        <v>5.029446015806261</v>
      </c>
      <c r="H1138" s="6">
        <v>7436028.024772987</v>
      </c>
      <c r="I1138" s="6">
        <v>445.0541144055773</v>
      </c>
      <c r="J1138" s="6">
        <v>3.504280333010879</v>
      </c>
      <c r="K1138" s="6"/>
      <c r="L1138" s="6"/>
      <c r="M1138" s="6"/>
      <c r="N1138" s="6">
        <f t="shared" ref="N1138:P1138" si="1141">IF(LEN($C1138)&gt;0,H1138-E1138,"")</f>
        <v>-171060.7964</v>
      </c>
      <c r="O1138" s="6">
        <f t="shared" si="1141"/>
        <v>-5.205217939</v>
      </c>
      <c r="P1138" s="6">
        <f t="shared" si="1141"/>
        <v>-1.525165683</v>
      </c>
      <c r="Q1138" s="6"/>
      <c r="R1138" s="6"/>
      <c r="S1138" s="6"/>
      <c r="T1138" s="6"/>
      <c r="U1138" s="6"/>
      <c r="V1138" s="6"/>
      <c r="W1138" s="6"/>
      <c r="X1138" s="6"/>
      <c r="Y1138" s="6"/>
      <c r="Z1138" s="6"/>
      <c r="AA1138" s="6"/>
      <c r="AB1138" s="6"/>
      <c r="AC1138" s="6"/>
      <c r="AD1138" s="6"/>
      <c r="AE1138" s="6"/>
      <c r="AF1138" s="6"/>
      <c r="AG1138" s="6"/>
    </row>
    <row r="1139" ht="14.25" customHeight="1">
      <c r="A1139" s="6"/>
      <c r="B1139" s="6"/>
      <c r="C1139" s="6">
        <v>1132.0</v>
      </c>
      <c r="D1139" s="6"/>
      <c r="E1139" s="6">
        <v>7664796.543549545</v>
      </c>
      <c r="F1139" s="6">
        <v>502.1563881715186</v>
      </c>
      <c r="G1139" s="6">
        <v>4.556687913900051</v>
      </c>
      <c r="H1139" s="6">
        <v>7510383.246430098</v>
      </c>
      <c r="I1139" s="6">
        <v>496.2591893378573</v>
      </c>
      <c r="J1139" s="6">
        <v>3.601575424617355</v>
      </c>
      <c r="K1139" s="6"/>
      <c r="L1139" s="6"/>
      <c r="M1139" s="6"/>
      <c r="N1139" s="6">
        <f t="shared" ref="N1139:P1139" si="1142">IF(LEN($C1139)&gt;0,H1139-E1139,"")</f>
        <v>-154413.2971</v>
      </c>
      <c r="O1139" s="6">
        <f t="shared" si="1142"/>
        <v>-5.897198834</v>
      </c>
      <c r="P1139" s="6">
        <f t="shared" si="1142"/>
        <v>-0.9551124893</v>
      </c>
      <c r="Q1139" s="6"/>
      <c r="R1139" s="6"/>
      <c r="S1139" s="6"/>
      <c r="T1139" s="6"/>
      <c r="U1139" s="6"/>
      <c r="V1139" s="6"/>
      <c r="W1139" s="6"/>
      <c r="X1139" s="6"/>
      <c r="Y1139" s="6"/>
      <c r="Z1139" s="6"/>
      <c r="AA1139" s="6"/>
      <c r="AB1139" s="6"/>
      <c r="AC1139" s="6"/>
      <c r="AD1139" s="6"/>
      <c r="AE1139" s="6"/>
      <c r="AF1139" s="6"/>
      <c r="AG1139" s="6"/>
    </row>
    <row r="1140" ht="14.25" customHeight="1">
      <c r="A1140" s="6"/>
      <c r="B1140" s="6"/>
      <c r="C1140" s="6">
        <v>1133.0</v>
      </c>
      <c r="D1140" s="6"/>
      <c r="E1140" s="6">
        <v>6991635.190059394</v>
      </c>
      <c r="F1140" s="6">
        <v>461.7605616729864</v>
      </c>
      <c r="G1140" s="6">
        <v>6.060875013891144</v>
      </c>
      <c r="H1140" s="6">
        <v>6911462.626328213</v>
      </c>
      <c r="I1140" s="6">
        <v>458.36415522070683</v>
      </c>
      <c r="J1140" s="6">
        <v>4.3773334325436615</v>
      </c>
      <c r="K1140" s="6"/>
      <c r="L1140" s="6"/>
      <c r="M1140" s="6"/>
      <c r="N1140" s="6">
        <f t="shared" ref="N1140:P1140" si="1143">IF(LEN($C1140)&gt;0,H1140-E1140,"")</f>
        <v>-80172.56373</v>
      </c>
      <c r="O1140" s="6">
        <f t="shared" si="1143"/>
        <v>-3.396406452</v>
      </c>
      <c r="P1140" s="6">
        <f t="shared" si="1143"/>
        <v>-1.683541581</v>
      </c>
      <c r="Q1140" s="6"/>
      <c r="R1140" s="6"/>
      <c r="S1140" s="6"/>
      <c r="T1140" s="6"/>
      <c r="U1140" s="6"/>
      <c r="V1140" s="6"/>
      <c r="W1140" s="6"/>
      <c r="X1140" s="6"/>
      <c r="Y1140" s="6"/>
      <c r="Z1140" s="6"/>
      <c r="AA1140" s="6"/>
      <c r="AB1140" s="6"/>
      <c r="AC1140" s="6"/>
      <c r="AD1140" s="6"/>
      <c r="AE1140" s="6"/>
      <c r="AF1140" s="6"/>
      <c r="AG1140" s="6"/>
    </row>
    <row r="1141" ht="14.25" customHeight="1">
      <c r="A1141" s="6"/>
      <c r="B1141" s="6"/>
      <c r="C1141" s="6">
        <v>1134.0</v>
      </c>
      <c r="D1141" s="6"/>
      <c r="E1141" s="6">
        <v>6091991.595014032</v>
      </c>
      <c r="F1141" s="6">
        <v>424.80938707109044</v>
      </c>
      <c r="G1141" s="6">
        <v>5.283375951036967</v>
      </c>
      <c r="H1141" s="6">
        <v>6003960.811162655</v>
      </c>
      <c r="I1141" s="6">
        <v>422.19145494507046</v>
      </c>
      <c r="J1141" s="6">
        <v>3.91103115372566</v>
      </c>
      <c r="K1141" s="6"/>
      <c r="L1141" s="6"/>
      <c r="M1141" s="6"/>
      <c r="N1141" s="6">
        <f t="shared" ref="N1141:P1141" si="1144">IF(LEN($C1141)&gt;0,H1141-E1141,"")</f>
        <v>-88030.78385</v>
      </c>
      <c r="O1141" s="6">
        <f t="shared" si="1144"/>
        <v>-2.617932126</v>
      </c>
      <c r="P1141" s="6">
        <f t="shared" si="1144"/>
        <v>-1.372344797</v>
      </c>
      <c r="Q1141" s="6"/>
      <c r="R1141" s="6"/>
      <c r="S1141" s="6"/>
      <c r="T1141" s="6"/>
      <c r="U1141" s="6"/>
      <c r="V1141" s="6"/>
      <c r="W1141" s="6"/>
      <c r="X1141" s="6"/>
      <c r="Y1141" s="6"/>
      <c r="Z1141" s="6"/>
      <c r="AA1141" s="6"/>
      <c r="AB1141" s="6"/>
      <c r="AC1141" s="6"/>
      <c r="AD1141" s="6"/>
      <c r="AE1141" s="6"/>
      <c r="AF1141" s="6"/>
      <c r="AG1141" s="6"/>
    </row>
    <row r="1142" ht="14.25" customHeight="1">
      <c r="A1142" s="6"/>
      <c r="B1142" s="6"/>
      <c r="C1142" s="6">
        <v>1135.0</v>
      </c>
      <c r="D1142" s="6"/>
      <c r="E1142" s="6">
        <v>6131942.409970314</v>
      </c>
      <c r="F1142" s="6">
        <v>450.48123524996646</v>
      </c>
      <c r="G1142" s="6">
        <v>5.570273948539321</v>
      </c>
      <c r="H1142" s="6">
        <v>6060826.070822739</v>
      </c>
      <c r="I1142" s="6">
        <v>447.725173073075</v>
      </c>
      <c r="J1142" s="6">
        <v>4.336175924102917</v>
      </c>
      <c r="K1142" s="6"/>
      <c r="L1142" s="6"/>
      <c r="M1142" s="6"/>
      <c r="N1142" s="6">
        <f t="shared" ref="N1142:P1142" si="1145">IF(LEN($C1142)&gt;0,H1142-E1142,"")</f>
        <v>-71116.33915</v>
      </c>
      <c r="O1142" s="6">
        <f t="shared" si="1145"/>
        <v>-2.756062177</v>
      </c>
      <c r="P1142" s="6">
        <f t="shared" si="1145"/>
        <v>-1.234098024</v>
      </c>
      <c r="Q1142" s="6"/>
      <c r="R1142" s="6"/>
      <c r="S1142" s="6"/>
      <c r="T1142" s="6"/>
      <c r="U1142" s="6"/>
      <c r="V1142" s="6"/>
      <c r="W1142" s="6"/>
      <c r="X1142" s="6"/>
      <c r="Y1142" s="6"/>
      <c r="Z1142" s="6"/>
      <c r="AA1142" s="6"/>
      <c r="AB1142" s="6"/>
      <c r="AC1142" s="6"/>
      <c r="AD1142" s="6"/>
      <c r="AE1142" s="6"/>
      <c r="AF1142" s="6"/>
      <c r="AG1142" s="6"/>
    </row>
    <row r="1143" ht="14.25" customHeight="1">
      <c r="A1143" s="6"/>
      <c r="B1143" s="6"/>
      <c r="C1143" s="6">
        <v>1136.0</v>
      </c>
      <c r="D1143" s="6"/>
      <c r="E1143" s="6">
        <v>6432124.483320899</v>
      </c>
      <c r="F1143" s="6">
        <v>470.8330850843492</v>
      </c>
      <c r="G1143" s="6">
        <v>6.043699793317738</v>
      </c>
      <c r="H1143" s="6">
        <v>6314405.474963622</v>
      </c>
      <c r="I1143" s="6">
        <v>464.73800713478835</v>
      </c>
      <c r="J1143" s="6">
        <v>4.312944540274651</v>
      </c>
      <c r="K1143" s="6"/>
      <c r="L1143" s="6"/>
      <c r="M1143" s="6"/>
      <c r="N1143" s="6">
        <f t="shared" ref="N1143:P1143" si="1146">IF(LEN($C1143)&gt;0,H1143-E1143,"")</f>
        <v>-117719.0084</v>
      </c>
      <c r="O1143" s="6">
        <f t="shared" si="1146"/>
        <v>-6.09507795</v>
      </c>
      <c r="P1143" s="6">
        <f t="shared" si="1146"/>
        <v>-1.730755253</v>
      </c>
      <c r="Q1143" s="6"/>
      <c r="R1143" s="6"/>
      <c r="S1143" s="6"/>
      <c r="T1143" s="6"/>
      <c r="U1143" s="6"/>
      <c r="V1143" s="6"/>
      <c r="W1143" s="6"/>
      <c r="X1143" s="6"/>
      <c r="Y1143" s="6"/>
      <c r="Z1143" s="6"/>
      <c r="AA1143" s="6"/>
      <c r="AB1143" s="6"/>
      <c r="AC1143" s="6"/>
      <c r="AD1143" s="6"/>
      <c r="AE1143" s="6"/>
      <c r="AF1143" s="6"/>
      <c r="AG1143" s="6"/>
    </row>
    <row r="1144" ht="14.25" customHeight="1">
      <c r="A1144" s="6"/>
      <c r="B1144" s="6"/>
      <c r="C1144" s="6">
        <v>1137.0</v>
      </c>
      <c r="D1144" s="6"/>
      <c r="E1144" s="6">
        <v>7235754.239029086</v>
      </c>
      <c r="F1144" s="6">
        <v>455.48363070776975</v>
      </c>
      <c r="G1144" s="6">
        <v>5.0591904011776565</v>
      </c>
      <c r="H1144" s="6">
        <v>7188097.916954237</v>
      </c>
      <c r="I1144" s="6">
        <v>453.39857659970147</v>
      </c>
      <c r="J1144" s="6">
        <v>4.294769602950554</v>
      </c>
      <c r="K1144" s="6"/>
      <c r="L1144" s="6"/>
      <c r="M1144" s="6"/>
      <c r="N1144" s="6">
        <f t="shared" ref="N1144:P1144" si="1147">IF(LEN($C1144)&gt;0,H1144-E1144,"")</f>
        <v>-47656.32207</v>
      </c>
      <c r="O1144" s="6">
        <f t="shared" si="1147"/>
        <v>-2.085054108</v>
      </c>
      <c r="P1144" s="6">
        <f t="shared" si="1147"/>
        <v>-0.7644207982</v>
      </c>
      <c r="Q1144" s="6"/>
      <c r="R1144" s="6"/>
      <c r="S1144" s="6"/>
      <c r="T1144" s="6"/>
      <c r="U1144" s="6"/>
      <c r="V1144" s="6"/>
      <c r="W1144" s="6"/>
      <c r="X1144" s="6"/>
      <c r="Y1144" s="6"/>
      <c r="Z1144" s="6"/>
      <c r="AA1144" s="6"/>
      <c r="AB1144" s="6"/>
      <c r="AC1144" s="6"/>
      <c r="AD1144" s="6"/>
      <c r="AE1144" s="6"/>
      <c r="AF1144" s="6"/>
      <c r="AG1144" s="6"/>
    </row>
    <row r="1145" ht="14.25" customHeight="1">
      <c r="A1145" s="6"/>
      <c r="B1145" s="6"/>
      <c r="C1145" s="6">
        <v>1138.0</v>
      </c>
      <c r="D1145" s="6"/>
      <c r="E1145" s="6">
        <v>5982515.923326438</v>
      </c>
      <c r="F1145" s="6">
        <v>452.91375661292994</v>
      </c>
      <c r="G1145" s="6">
        <v>3.805331499617995</v>
      </c>
      <c r="H1145" s="6">
        <v>5920801.238041295</v>
      </c>
      <c r="I1145" s="6">
        <v>450.42055021732756</v>
      </c>
      <c r="J1145" s="6">
        <v>2.9085383348055975</v>
      </c>
      <c r="K1145" s="6"/>
      <c r="L1145" s="6"/>
      <c r="M1145" s="6"/>
      <c r="N1145" s="6">
        <f t="shared" ref="N1145:P1145" si="1148">IF(LEN($C1145)&gt;0,H1145-E1145,"")</f>
        <v>-61714.68529</v>
      </c>
      <c r="O1145" s="6">
        <f t="shared" si="1148"/>
        <v>-2.493206396</v>
      </c>
      <c r="P1145" s="6">
        <f t="shared" si="1148"/>
        <v>-0.8967931648</v>
      </c>
      <c r="Q1145" s="6"/>
      <c r="R1145" s="6"/>
      <c r="S1145" s="6"/>
      <c r="T1145" s="6"/>
      <c r="U1145" s="6"/>
      <c r="V1145" s="6"/>
      <c r="W1145" s="6"/>
      <c r="X1145" s="6"/>
      <c r="Y1145" s="6"/>
      <c r="Z1145" s="6"/>
      <c r="AA1145" s="6"/>
      <c r="AB1145" s="6"/>
      <c r="AC1145" s="6"/>
      <c r="AD1145" s="6"/>
      <c r="AE1145" s="6"/>
      <c r="AF1145" s="6"/>
      <c r="AG1145" s="6"/>
    </row>
    <row r="1146" ht="14.25" customHeight="1">
      <c r="A1146" s="6"/>
      <c r="B1146" s="6"/>
      <c r="C1146" s="6">
        <v>1139.0</v>
      </c>
      <c r="D1146" s="6"/>
      <c r="E1146" s="6">
        <v>5915259.417219473</v>
      </c>
      <c r="F1146" s="6">
        <v>468.49378392871193</v>
      </c>
      <c r="G1146" s="6">
        <v>4.897061833981471</v>
      </c>
      <c r="H1146" s="6">
        <v>5724154.772697728</v>
      </c>
      <c r="I1146" s="6">
        <v>462.7178790216692</v>
      </c>
      <c r="J1146" s="6">
        <v>3.1038486252175437</v>
      </c>
      <c r="K1146" s="6"/>
      <c r="L1146" s="6"/>
      <c r="M1146" s="6"/>
      <c r="N1146" s="6">
        <f t="shared" ref="N1146:P1146" si="1149">IF(LEN($C1146)&gt;0,H1146-E1146,"")</f>
        <v>-191104.6445</v>
      </c>
      <c r="O1146" s="6">
        <f t="shared" si="1149"/>
        <v>-5.775904907</v>
      </c>
      <c r="P1146" s="6">
        <f t="shared" si="1149"/>
        <v>-1.793213209</v>
      </c>
      <c r="Q1146" s="6"/>
      <c r="R1146" s="6"/>
      <c r="S1146" s="6"/>
      <c r="T1146" s="6"/>
      <c r="U1146" s="6"/>
      <c r="V1146" s="6"/>
      <c r="W1146" s="6"/>
      <c r="X1146" s="6"/>
      <c r="Y1146" s="6"/>
      <c r="Z1146" s="6"/>
      <c r="AA1146" s="6"/>
      <c r="AB1146" s="6"/>
      <c r="AC1146" s="6"/>
      <c r="AD1146" s="6"/>
      <c r="AE1146" s="6"/>
      <c r="AF1146" s="6"/>
      <c r="AG1146" s="6"/>
    </row>
    <row r="1147" ht="14.25" customHeight="1">
      <c r="A1147" s="6"/>
      <c r="B1147" s="6"/>
      <c r="C1147" s="6">
        <v>1140.0</v>
      </c>
      <c r="D1147" s="6"/>
      <c r="E1147" s="6">
        <v>6267787.586611529</v>
      </c>
      <c r="F1147" s="6">
        <v>439.1726533874095</v>
      </c>
      <c r="G1147" s="6">
        <v>4.323188628585648</v>
      </c>
      <c r="H1147" s="6">
        <v>6197748.1855903445</v>
      </c>
      <c r="I1147" s="6">
        <v>436.7299001575289</v>
      </c>
      <c r="J1147" s="6">
        <v>3.519044644913091</v>
      </c>
      <c r="K1147" s="6"/>
      <c r="L1147" s="6"/>
      <c r="M1147" s="6"/>
      <c r="N1147" s="6">
        <f t="shared" ref="N1147:P1147" si="1150">IF(LEN($C1147)&gt;0,H1147-E1147,"")</f>
        <v>-70039.40102</v>
      </c>
      <c r="O1147" s="6">
        <f t="shared" si="1150"/>
        <v>-2.44275323</v>
      </c>
      <c r="P1147" s="6">
        <f t="shared" si="1150"/>
        <v>-0.8041439837</v>
      </c>
      <c r="Q1147" s="6"/>
      <c r="R1147" s="6"/>
      <c r="S1147" s="6"/>
      <c r="T1147" s="6"/>
      <c r="U1147" s="6"/>
      <c r="V1147" s="6"/>
      <c r="W1147" s="6"/>
      <c r="X1147" s="6"/>
      <c r="Y1147" s="6"/>
      <c r="Z1147" s="6"/>
      <c r="AA1147" s="6"/>
      <c r="AB1147" s="6"/>
      <c r="AC1147" s="6"/>
      <c r="AD1147" s="6"/>
      <c r="AE1147" s="6"/>
      <c r="AF1147" s="6"/>
      <c r="AG1147" s="6"/>
    </row>
    <row r="1148" ht="14.25" customHeight="1">
      <c r="A1148" s="6"/>
      <c r="B1148" s="6"/>
      <c r="C1148" s="6">
        <v>1141.0</v>
      </c>
      <c r="D1148" s="6"/>
      <c r="E1148" s="6">
        <v>8492493.739759801</v>
      </c>
      <c r="F1148" s="6">
        <v>487.2586589890514</v>
      </c>
      <c r="G1148" s="6">
        <v>3.7734329894628518</v>
      </c>
      <c r="H1148" s="6">
        <v>8373127.525776575</v>
      </c>
      <c r="I1148" s="6">
        <v>481.93949726921846</v>
      </c>
      <c r="J1148" s="6">
        <v>2.931649766764561</v>
      </c>
      <c r="K1148" s="6"/>
      <c r="L1148" s="6"/>
      <c r="M1148" s="6"/>
      <c r="N1148" s="6">
        <f t="shared" ref="N1148:P1148" si="1151">IF(LEN($C1148)&gt;0,H1148-E1148,"")</f>
        <v>-119366.214</v>
      </c>
      <c r="O1148" s="6">
        <f t="shared" si="1151"/>
        <v>-5.31916172</v>
      </c>
      <c r="P1148" s="6">
        <f t="shared" si="1151"/>
        <v>-0.8417832227</v>
      </c>
      <c r="Q1148" s="6"/>
      <c r="R1148" s="6"/>
      <c r="S1148" s="6"/>
      <c r="T1148" s="6"/>
      <c r="U1148" s="6"/>
      <c r="V1148" s="6"/>
      <c r="W1148" s="6"/>
      <c r="X1148" s="6"/>
      <c r="Y1148" s="6"/>
      <c r="Z1148" s="6"/>
      <c r="AA1148" s="6"/>
      <c r="AB1148" s="6"/>
      <c r="AC1148" s="6"/>
      <c r="AD1148" s="6"/>
      <c r="AE1148" s="6"/>
      <c r="AF1148" s="6"/>
      <c r="AG1148" s="6"/>
    </row>
    <row r="1149" ht="14.25" customHeight="1">
      <c r="A1149" s="6"/>
      <c r="B1149" s="6"/>
      <c r="C1149" s="6">
        <v>1142.0</v>
      </c>
      <c r="D1149" s="6"/>
      <c r="E1149" s="6">
        <v>7713386.712412918</v>
      </c>
      <c r="F1149" s="6">
        <v>445.60552897220055</v>
      </c>
      <c r="G1149" s="6">
        <v>4.3548657862984825</v>
      </c>
      <c r="H1149" s="6">
        <v>7639673.069164893</v>
      </c>
      <c r="I1149" s="6">
        <v>441.26321530289687</v>
      </c>
      <c r="J1149" s="6">
        <v>3.6410640305729665</v>
      </c>
      <c r="K1149" s="6"/>
      <c r="L1149" s="6"/>
      <c r="M1149" s="6"/>
      <c r="N1149" s="6">
        <f t="shared" ref="N1149:P1149" si="1152">IF(LEN($C1149)&gt;0,H1149-E1149,"")</f>
        <v>-73713.64325</v>
      </c>
      <c r="O1149" s="6">
        <f t="shared" si="1152"/>
        <v>-4.342313669</v>
      </c>
      <c r="P1149" s="6">
        <f t="shared" si="1152"/>
        <v>-0.7138017557</v>
      </c>
      <c r="Q1149" s="6"/>
      <c r="R1149" s="6"/>
      <c r="S1149" s="6"/>
      <c r="T1149" s="6"/>
      <c r="U1149" s="6"/>
      <c r="V1149" s="6"/>
      <c r="W1149" s="6"/>
      <c r="X1149" s="6"/>
      <c r="Y1149" s="6"/>
      <c r="Z1149" s="6"/>
      <c r="AA1149" s="6"/>
      <c r="AB1149" s="6"/>
      <c r="AC1149" s="6"/>
      <c r="AD1149" s="6"/>
      <c r="AE1149" s="6"/>
      <c r="AF1149" s="6"/>
      <c r="AG1149" s="6"/>
    </row>
    <row r="1150" ht="14.25" customHeight="1">
      <c r="A1150" s="6"/>
      <c r="B1150" s="6"/>
      <c r="C1150" s="6">
        <v>1143.0</v>
      </c>
      <c r="D1150" s="6"/>
      <c r="E1150" s="6">
        <v>7232956.723150145</v>
      </c>
      <c r="F1150" s="6">
        <v>462.5170161102863</v>
      </c>
      <c r="G1150" s="6">
        <v>4.798596524683247</v>
      </c>
      <c r="H1150" s="6">
        <v>7181955.0117795095</v>
      </c>
      <c r="I1150" s="6">
        <v>461.33774595944806</v>
      </c>
      <c r="J1150" s="6">
        <v>4.089911374467692</v>
      </c>
      <c r="K1150" s="6"/>
      <c r="L1150" s="6"/>
      <c r="M1150" s="6"/>
      <c r="N1150" s="6">
        <f t="shared" ref="N1150:P1150" si="1153">IF(LEN($C1150)&gt;0,H1150-E1150,"")</f>
        <v>-51001.71137</v>
      </c>
      <c r="O1150" s="6">
        <f t="shared" si="1153"/>
        <v>-1.179270151</v>
      </c>
      <c r="P1150" s="6">
        <f t="shared" si="1153"/>
        <v>-0.7086851502</v>
      </c>
      <c r="Q1150" s="6"/>
      <c r="R1150" s="6"/>
      <c r="S1150" s="6"/>
      <c r="T1150" s="6"/>
      <c r="U1150" s="6"/>
      <c r="V1150" s="6"/>
      <c r="W1150" s="6"/>
      <c r="X1150" s="6"/>
      <c r="Y1150" s="6"/>
      <c r="Z1150" s="6"/>
      <c r="AA1150" s="6"/>
      <c r="AB1150" s="6"/>
      <c r="AC1150" s="6"/>
      <c r="AD1150" s="6"/>
      <c r="AE1150" s="6"/>
      <c r="AF1150" s="6"/>
      <c r="AG1150" s="6"/>
    </row>
    <row r="1151" ht="14.25" customHeight="1">
      <c r="A1151" s="6"/>
      <c r="B1151" s="6"/>
      <c r="C1151" s="6">
        <v>1144.0</v>
      </c>
      <c r="D1151" s="6"/>
      <c r="E1151" s="6">
        <v>7970548.108701134</v>
      </c>
      <c r="F1151" s="6">
        <v>478.4064564932262</v>
      </c>
      <c r="G1151" s="6">
        <v>4.405902139669667</v>
      </c>
      <c r="H1151" s="6">
        <v>7899246.021478951</v>
      </c>
      <c r="I1151" s="6">
        <v>475.2716740977423</v>
      </c>
      <c r="J1151" s="6">
        <v>3.4600552261026896</v>
      </c>
      <c r="K1151" s="6"/>
      <c r="L1151" s="6"/>
      <c r="M1151" s="6"/>
      <c r="N1151" s="6">
        <f t="shared" ref="N1151:P1151" si="1154">IF(LEN($C1151)&gt;0,H1151-E1151,"")</f>
        <v>-71302.08722</v>
      </c>
      <c r="O1151" s="6">
        <f t="shared" si="1154"/>
        <v>-3.134782395</v>
      </c>
      <c r="P1151" s="6">
        <f t="shared" si="1154"/>
        <v>-0.9458469136</v>
      </c>
      <c r="Q1151" s="6"/>
      <c r="R1151" s="6"/>
      <c r="S1151" s="6"/>
      <c r="T1151" s="6"/>
      <c r="U1151" s="6"/>
      <c r="V1151" s="6"/>
      <c r="W1151" s="6"/>
      <c r="X1151" s="6"/>
      <c r="Y1151" s="6"/>
      <c r="Z1151" s="6"/>
      <c r="AA1151" s="6"/>
      <c r="AB1151" s="6"/>
      <c r="AC1151" s="6"/>
      <c r="AD1151" s="6"/>
      <c r="AE1151" s="6"/>
      <c r="AF1151" s="6"/>
      <c r="AG1151" s="6"/>
    </row>
    <row r="1152" ht="14.25" customHeight="1">
      <c r="A1152" s="6"/>
      <c r="B1152" s="6"/>
      <c r="C1152" s="6">
        <v>1145.0</v>
      </c>
      <c r="D1152" s="6"/>
      <c r="E1152" s="6">
        <v>7576921.5772369</v>
      </c>
      <c r="F1152" s="6">
        <v>438.5880568380579</v>
      </c>
      <c r="G1152" s="6">
        <v>3.9452595338357788</v>
      </c>
      <c r="H1152" s="6">
        <v>7486904.300180833</v>
      </c>
      <c r="I1152" s="6">
        <v>434.54481723043585</v>
      </c>
      <c r="J1152" s="6">
        <v>2.9531267190294113</v>
      </c>
      <c r="K1152" s="6"/>
      <c r="L1152" s="6"/>
      <c r="M1152" s="6"/>
      <c r="N1152" s="6">
        <f t="shared" ref="N1152:P1152" si="1155">IF(LEN($C1152)&gt;0,H1152-E1152,"")</f>
        <v>-90017.27706</v>
      </c>
      <c r="O1152" s="6">
        <f t="shared" si="1155"/>
        <v>-4.043239608</v>
      </c>
      <c r="P1152" s="6">
        <f t="shared" si="1155"/>
        <v>-0.9921328148</v>
      </c>
      <c r="Q1152" s="6"/>
      <c r="R1152" s="6"/>
      <c r="S1152" s="6"/>
      <c r="T1152" s="6"/>
      <c r="U1152" s="6"/>
      <c r="V1152" s="6"/>
      <c r="W1152" s="6"/>
      <c r="X1152" s="6"/>
      <c r="Y1152" s="6"/>
      <c r="Z1152" s="6"/>
      <c r="AA1152" s="6"/>
      <c r="AB1152" s="6"/>
      <c r="AC1152" s="6"/>
      <c r="AD1152" s="6"/>
      <c r="AE1152" s="6"/>
      <c r="AF1152" s="6"/>
      <c r="AG1152" s="6"/>
    </row>
    <row r="1153" ht="14.25" customHeight="1">
      <c r="A1153" s="6"/>
      <c r="B1153" s="6"/>
      <c r="C1153" s="6">
        <v>1146.0</v>
      </c>
      <c r="D1153" s="6"/>
      <c r="E1153" s="6">
        <v>8121896.993253932</v>
      </c>
      <c r="F1153" s="6">
        <v>434.2924041213176</v>
      </c>
      <c r="G1153" s="6">
        <v>4.509162588979427</v>
      </c>
      <c r="H1153" s="6">
        <v>8054962.2369937515</v>
      </c>
      <c r="I1153" s="6">
        <v>431.8371045450106</v>
      </c>
      <c r="J1153" s="6">
        <v>3.5982227529026676</v>
      </c>
      <c r="K1153" s="6"/>
      <c r="L1153" s="6"/>
      <c r="M1153" s="6"/>
      <c r="N1153" s="6">
        <f t="shared" ref="N1153:P1153" si="1156">IF(LEN($C1153)&gt;0,H1153-E1153,"")</f>
        <v>-66934.75626</v>
      </c>
      <c r="O1153" s="6">
        <f t="shared" si="1156"/>
        <v>-2.455299576</v>
      </c>
      <c r="P1153" s="6">
        <f t="shared" si="1156"/>
        <v>-0.9109398361</v>
      </c>
      <c r="Q1153" s="6"/>
      <c r="R1153" s="6"/>
      <c r="S1153" s="6"/>
      <c r="T1153" s="6"/>
      <c r="U1153" s="6"/>
      <c r="V1153" s="6"/>
      <c r="W1153" s="6"/>
      <c r="X1153" s="6"/>
      <c r="Y1153" s="6"/>
      <c r="Z1153" s="6"/>
      <c r="AA1153" s="6"/>
      <c r="AB1153" s="6"/>
      <c r="AC1153" s="6"/>
      <c r="AD1153" s="6"/>
      <c r="AE1153" s="6"/>
      <c r="AF1153" s="6"/>
      <c r="AG1153" s="6"/>
    </row>
    <row r="1154" ht="14.25" customHeight="1">
      <c r="A1154" s="6"/>
      <c r="B1154" s="6"/>
      <c r="C1154" s="6">
        <v>1147.0</v>
      </c>
      <c r="D1154" s="6"/>
      <c r="E1154" s="6">
        <v>7517594.138428946</v>
      </c>
      <c r="F1154" s="6">
        <v>483.3517876285564</v>
      </c>
      <c r="G1154" s="6">
        <v>6.522798038645065</v>
      </c>
      <c r="H1154" s="6">
        <v>7412368.128322109</v>
      </c>
      <c r="I1154" s="6">
        <v>478.96046089919565</v>
      </c>
      <c r="J1154" s="6">
        <v>4.85063043019741</v>
      </c>
      <c r="K1154" s="6"/>
      <c r="L1154" s="6"/>
      <c r="M1154" s="6"/>
      <c r="N1154" s="6">
        <f t="shared" ref="N1154:P1154" si="1157">IF(LEN($C1154)&gt;0,H1154-E1154,"")</f>
        <v>-105226.0101</v>
      </c>
      <c r="O1154" s="6">
        <f t="shared" si="1157"/>
        <v>-4.391326729</v>
      </c>
      <c r="P1154" s="6">
        <f t="shared" si="1157"/>
        <v>-1.672167608</v>
      </c>
      <c r="Q1154" s="6"/>
      <c r="R1154" s="6"/>
      <c r="S1154" s="6"/>
      <c r="T1154" s="6"/>
      <c r="U1154" s="6"/>
      <c r="V1154" s="6"/>
      <c r="W1154" s="6"/>
      <c r="X1154" s="6"/>
      <c r="Y1154" s="6"/>
      <c r="Z1154" s="6"/>
      <c r="AA1154" s="6"/>
      <c r="AB1154" s="6"/>
      <c r="AC1154" s="6"/>
      <c r="AD1154" s="6"/>
      <c r="AE1154" s="6"/>
      <c r="AF1154" s="6"/>
      <c r="AG1154" s="6"/>
    </row>
    <row r="1155" ht="14.25" customHeight="1">
      <c r="A1155" s="6"/>
      <c r="B1155" s="6"/>
      <c r="C1155" s="6">
        <v>1148.0</v>
      </c>
      <c r="D1155" s="6"/>
      <c r="E1155" s="6">
        <v>6290946.9844756685</v>
      </c>
      <c r="F1155" s="6">
        <v>464.3246594688373</v>
      </c>
      <c r="G1155" s="6">
        <v>5.034134152299627</v>
      </c>
      <c r="H1155" s="6">
        <v>6168499.339973828</v>
      </c>
      <c r="I1155" s="6">
        <v>455.97732983957525</v>
      </c>
      <c r="J1155" s="6">
        <v>3.796024624424275</v>
      </c>
      <c r="K1155" s="6"/>
      <c r="L1155" s="6"/>
      <c r="M1155" s="6"/>
      <c r="N1155" s="6">
        <f t="shared" ref="N1155:P1155" si="1158">IF(LEN($C1155)&gt;0,H1155-E1155,"")</f>
        <v>-122447.6445</v>
      </c>
      <c r="O1155" s="6">
        <f t="shared" si="1158"/>
        <v>-8.347329629</v>
      </c>
      <c r="P1155" s="6">
        <f t="shared" si="1158"/>
        <v>-1.238109528</v>
      </c>
      <c r="Q1155" s="6"/>
      <c r="R1155" s="6"/>
      <c r="S1155" s="6"/>
      <c r="T1155" s="6"/>
      <c r="U1155" s="6"/>
      <c r="V1155" s="6"/>
      <c r="W1155" s="6"/>
      <c r="X1155" s="6"/>
      <c r="Y1155" s="6"/>
      <c r="Z1155" s="6"/>
      <c r="AA1155" s="6"/>
      <c r="AB1155" s="6"/>
      <c r="AC1155" s="6"/>
      <c r="AD1155" s="6"/>
      <c r="AE1155" s="6"/>
      <c r="AF1155" s="6"/>
      <c r="AG1155" s="6"/>
    </row>
    <row r="1156" ht="14.25" customHeight="1">
      <c r="A1156" s="6"/>
      <c r="B1156" s="6"/>
      <c r="C1156" s="6">
        <v>1149.0</v>
      </c>
      <c r="D1156" s="6"/>
      <c r="E1156" s="6">
        <v>7924971.915915775</v>
      </c>
      <c r="F1156" s="6">
        <v>488.6587935550975</v>
      </c>
      <c r="G1156" s="6">
        <v>4.903107072208777</v>
      </c>
      <c r="H1156" s="6">
        <v>7826702.1807545535</v>
      </c>
      <c r="I1156" s="6">
        <v>485.483408880752</v>
      </c>
      <c r="J1156" s="6">
        <v>3.7352665675953456</v>
      </c>
      <c r="K1156" s="6"/>
      <c r="L1156" s="6"/>
      <c r="M1156" s="6"/>
      <c r="N1156" s="6">
        <f t="shared" ref="N1156:P1156" si="1159">IF(LEN($C1156)&gt;0,H1156-E1156,"")</f>
        <v>-98269.73516</v>
      </c>
      <c r="O1156" s="6">
        <f t="shared" si="1159"/>
        <v>-3.175384674</v>
      </c>
      <c r="P1156" s="6">
        <f t="shared" si="1159"/>
        <v>-1.167840505</v>
      </c>
      <c r="Q1156" s="6"/>
      <c r="R1156" s="6"/>
      <c r="S1156" s="6"/>
      <c r="T1156" s="6"/>
      <c r="U1156" s="6"/>
      <c r="V1156" s="6"/>
      <c r="W1156" s="6"/>
      <c r="X1156" s="6"/>
      <c r="Y1156" s="6"/>
      <c r="Z1156" s="6"/>
      <c r="AA1156" s="6"/>
      <c r="AB1156" s="6"/>
      <c r="AC1156" s="6"/>
      <c r="AD1156" s="6"/>
      <c r="AE1156" s="6"/>
      <c r="AF1156" s="6"/>
      <c r="AG1156" s="6"/>
    </row>
    <row r="1157" ht="14.25" customHeight="1">
      <c r="A1157" s="6"/>
      <c r="B1157" s="6"/>
      <c r="C1157" s="6">
        <v>1150.0</v>
      </c>
      <c r="D1157" s="6"/>
      <c r="E1157" s="6">
        <v>7891344.946954144</v>
      </c>
      <c r="F1157" s="6">
        <v>453.70126287592944</v>
      </c>
      <c r="G1157" s="6">
        <v>5.355790386940679</v>
      </c>
      <c r="H1157" s="6">
        <v>7709370.598825158</v>
      </c>
      <c r="I1157" s="6">
        <v>444.83960063943107</v>
      </c>
      <c r="J1157" s="6">
        <v>3.1997005848379283</v>
      </c>
      <c r="K1157" s="6"/>
      <c r="L1157" s="6"/>
      <c r="M1157" s="6"/>
      <c r="N1157" s="6">
        <f t="shared" ref="N1157:P1157" si="1160">IF(LEN($C1157)&gt;0,H1157-E1157,"")</f>
        <v>-181974.3481</v>
      </c>
      <c r="O1157" s="6">
        <f t="shared" si="1160"/>
        <v>-8.861662236</v>
      </c>
      <c r="P1157" s="6">
        <f t="shared" si="1160"/>
        <v>-2.156089802</v>
      </c>
      <c r="Q1157" s="6"/>
      <c r="R1157" s="6"/>
      <c r="S1157" s="6"/>
      <c r="T1157" s="6"/>
      <c r="U1157" s="6"/>
      <c r="V1157" s="6"/>
      <c r="W1157" s="6"/>
      <c r="X1157" s="6"/>
      <c r="Y1157" s="6"/>
      <c r="Z1157" s="6"/>
      <c r="AA1157" s="6"/>
      <c r="AB1157" s="6"/>
      <c r="AC1157" s="6"/>
      <c r="AD1157" s="6"/>
      <c r="AE1157" s="6"/>
      <c r="AF1157" s="6"/>
      <c r="AG1157" s="6"/>
    </row>
    <row r="1158" ht="14.25" customHeight="1">
      <c r="A1158" s="6"/>
      <c r="B1158" s="6"/>
      <c r="C1158" s="6">
        <v>1151.0</v>
      </c>
      <c r="D1158" s="6"/>
      <c r="E1158" s="6">
        <v>7794688.207983942</v>
      </c>
      <c r="F1158" s="6">
        <v>462.36240439023817</v>
      </c>
      <c r="G1158" s="6">
        <v>5.493154047700666</v>
      </c>
      <c r="H1158" s="6">
        <v>7728817.230395007</v>
      </c>
      <c r="I1158" s="6">
        <v>460.241918209589</v>
      </c>
      <c r="J1158" s="6">
        <v>4.728991564022979</v>
      </c>
      <c r="K1158" s="6"/>
      <c r="L1158" s="6"/>
      <c r="M1158" s="6"/>
      <c r="N1158" s="6">
        <f t="shared" ref="N1158:P1158" si="1161">IF(LEN($C1158)&gt;0,H1158-E1158,"")</f>
        <v>-65870.97759</v>
      </c>
      <c r="O1158" s="6">
        <f t="shared" si="1161"/>
        <v>-2.120486181</v>
      </c>
      <c r="P1158" s="6">
        <f t="shared" si="1161"/>
        <v>-0.7641624837</v>
      </c>
      <c r="Q1158" s="6"/>
      <c r="R1158" s="6"/>
      <c r="S1158" s="6"/>
      <c r="T1158" s="6"/>
      <c r="U1158" s="6"/>
      <c r="V1158" s="6"/>
      <c r="W1158" s="6"/>
      <c r="X1158" s="6"/>
      <c r="Y1158" s="6"/>
      <c r="Z1158" s="6"/>
      <c r="AA1158" s="6"/>
      <c r="AB1158" s="6"/>
      <c r="AC1158" s="6"/>
      <c r="AD1158" s="6"/>
      <c r="AE1158" s="6"/>
      <c r="AF1158" s="6"/>
      <c r="AG1158" s="6"/>
    </row>
    <row r="1159" ht="14.25" customHeight="1">
      <c r="A1159" s="6"/>
      <c r="B1159" s="6"/>
      <c r="C1159" s="6">
        <v>1152.0</v>
      </c>
      <c r="D1159" s="6"/>
      <c r="E1159" s="6">
        <v>5851317.7359012095</v>
      </c>
      <c r="F1159" s="6">
        <v>427.76570779213773</v>
      </c>
      <c r="G1159" s="6">
        <v>4.461646653061595</v>
      </c>
      <c r="H1159" s="6">
        <v>5780305.188454523</v>
      </c>
      <c r="I1159" s="6">
        <v>425.1051314312499</v>
      </c>
      <c r="J1159" s="6">
        <v>3.0207685393226638</v>
      </c>
      <c r="K1159" s="6"/>
      <c r="L1159" s="6"/>
      <c r="M1159" s="6"/>
      <c r="N1159" s="6">
        <f t="shared" ref="N1159:P1159" si="1162">IF(LEN($C1159)&gt;0,H1159-E1159,"")</f>
        <v>-71012.54745</v>
      </c>
      <c r="O1159" s="6">
        <f t="shared" si="1162"/>
        <v>-2.660576361</v>
      </c>
      <c r="P1159" s="6">
        <f t="shared" si="1162"/>
        <v>-1.440878114</v>
      </c>
      <c r="Q1159" s="6"/>
      <c r="R1159" s="6"/>
      <c r="S1159" s="6"/>
      <c r="T1159" s="6"/>
      <c r="U1159" s="6"/>
      <c r="V1159" s="6"/>
      <c r="W1159" s="6"/>
      <c r="X1159" s="6"/>
      <c r="Y1159" s="6"/>
      <c r="Z1159" s="6"/>
      <c r="AA1159" s="6"/>
      <c r="AB1159" s="6"/>
      <c r="AC1159" s="6"/>
      <c r="AD1159" s="6"/>
      <c r="AE1159" s="6"/>
      <c r="AF1159" s="6"/>
      <c r="AG1159" s="6"/>
    </row>
    <row r="1160" ht="14.25" customHeight="1">
      <c r="A1160" s="6"/>
      <c r="B1160" s="6"/>
      <c r="C1160" s="6">
        <v>1153.0</v>
      </c>
      <c r="D1160" s="6"/>
      <c r="E1160" s="6">
        <v>7188927.728318936</v>
      </c>
      <c r="F1160" s="6">
        <v>463.94736878807913</v>
      </c>
      <c r="G1160" s="6">
        <v>5.638793837284847</v>
      </c>
      <c r="H1160" s="6">
        <v>7020752.246218597</v>
      </c>
      <c r="I1160" s="6">
        <v>459.49630829473335</v>
      </c>
      <c r="J1160" s="6">
        <v>4.049719061730181</v>
      </c>
      <c r="K1160" s="6"/>
      <c r="L1160" s="6"/>
      <c r="M1160" s="6"/>
      <c r="N1160" s="6">
        <f t="shared" ref="N1160:P1160" si="1163">IF(LEN($C1160)&gt;0,H1160-E1160,"")</f>
        <v>-168175.4821</v>
      </c>
      <c r="O1160" s="6">
        <f t="shared" si="1163"/>
        <v>-4.451060493</v>
      </c>
      <c r="P1160" s="6">
        <f t="shared" si="1163"/>
        <v>-1.589074776</v>
      </c>
      <c r="Q1160" s="6"/>
      <c r="R1160" s="6"/>
      <c r="S1160" s="6"/>
      <c r="T1160" s="6"/>
      <c r="U1160" s="6"/>
      <c r="V1160" s="6"/>
      <c r="W1160" s="6"/>
      <c r="X1160" s="6"/>
      <c r="Y1160" s="6"/>
      <c r="Z1160" s="6"/>
      <c r="AA1160" s="6"/>
      <c r="AB1160" s="6"/>
      <c r="AC1160" s="6"/>
      <c r="AD1160" s="6"/>
      <c r="AE1160" s="6"/>
      <c r="AF1160" s="6"/>
      <c r="AG1160" s="6"/>
    </row>
    <row r="1161" ht="14.25" customHeight="1">
      <c r="A1161" s="6"/>
      <c r="B1161" s="6"/>
      <c r="C1161" s="6">
        <v>1154.0</v>
      </c>
      <c r="D1161" s="6"/>
      <c r="E1161" s="6">
        <v>7191991.227783926</v>
      </c>
      <c r="F1161" s="6">
        <v>452.20588587433343</v>
      </c>
      <c r="G1161" s="6">
        <v>5.204255139309735</v>
      </c>
      <c r="H1161" s="6">
        <v>7045586.084796084</v>
      </c>
      <c r="I1161" s="6">
        <v>446.31290380603133</v>
      </c>
      <c r="J1161" s="6">
        <v>3.861017601981821</v>
      </c>
      <c r="K1161" s="6"/>
      <c r="L1161" s="6"/>
      <c r="M1161" s="6"/>
      <c r="N1161" s="6">
        <f t="shared" ref="N1161:P1161" si="1164">IF(LEN($C1161)&gt;0,H1161-E1161,"")</f>
        <v>-146405.143</v>
      </c>
      <c r="O1161" s="6">
        <f t="shared" si="1164"/>
        <v>-5.892982068</v>
      </c>
      <c r="P1161" s="6">
        <f t="shared" si="1164"/>
        <v>-1.343237537</v>
      </c>
      <c r="Q1161" s="6"/>
      <c r="R1161" s="6"/>
      <c r="S1161" s="6"/>
      <c r="T1161" s="6"/>
      <c r="U1161" s="6"/>
      <c r="V1161" s="6"/>
      <c r="W1161" s="6"/>
      <c r="X1161" s="6"/>
      <c r="Y1161" s="6"/>
      <c r="Z1161" s="6"/>
      <c r="AA1161" s="6"/>
      <c r="AB1161" s="6"/>
      <c r="AC1161" s="6"/>
      <c r="AD1161" s="6"/>
      <c r="AE1161" s="6"/>
      <c r="AF1161" s="6"/>
      <c r="AG1161" s="6"/>
    </row>
    <row r="1162" ht="14.25" customHeight="1">
      <c r="A1162" s="6"/>
      <c r="B1162" s="6"/>
      <c r="C1162" s="6">
        <v>1155.0</v>
      </c>
      <c r="D1162" s="6"/>
      <c r="E1162" s="6">
        <v>8745825.284987405</v>
      </c>
      <c r="F1162" s="6">
        <v>447.09683445923076</v>
      </c>
      <c r="G1162" s="6">
        <v>4.394751280098018</v>
      </c>
      <c r="H1162" s="6">
        <v>8613428.929070361</v>
      </c>
      <c r="I1162" s="6">
        <v>442.48955053469257</v>
      </c>
      <c r="J1162" s="6">
        <v>3.5711995796273306</v>
      </c>
      <c r="K1162" s="6"/>
      <c r="L1162" s="6"/>
      <c r="M1162" s="6"/>
      <c r="N1162" s="6">
        <f t="shared" ref="N1162:P1162" si="1165">IF(LEN($C1162)&gt;0,H1162-E1162,"")</f>
        <v>-132396.3559</v>
      </c>
      <c r="O1162" s="6">
        <f t="shared" si="1165"/>
        <v>-4.607283925</v>
      </c>
      <c r="P1162" s="6">
        <f t="shared" si="1165"/>
        <v>-0.8235517005</v>
      </c>
      <c r="Q1162" s="6"/>
      <c r="R1162" s="6"/>
      <c r="S1162" s="6"/>
      <c r="T1162" s="6"/>
      <c r="U1162" s="6"/>
      <c r="V1162" s="6"/>
      <c r="W1162" s="6"/>
      <c r="X1162" s="6"/>
      <c r="Y1162" s="6"/>
      <c r="Z1162" s="6"/>
      <c r="AA1162" s="6"/>
      <c r="AB1162" s="6"/>
      <c r="AC1162" s="6"/>
      <c r="AD1162" s="6"/>
      <c r="AE1162" s="6"/>
      <c r="AF1162" s="6"/>
      <c r="AG1162" s="6"/>
    </row>
    <row r="1163" ht="14.25" customHeight="1">
      <c r="A1163" s="6"/>
      <c r="B1163" s="6"/>
      <c r="C1163" s="6">
        <v>1156.0</v>
      </c>
      <c r="D1163" s="6"/>
      <c r="E1163" s="6">
        <v>6422511.285589843</v>
      </c>
      <c r="F1163" s="6">
        <v>457.6488570851775</v>
      </c>
      <c r="G1163" s="6">
        <v>5.733030244474026</v>
      </c>
      <c r="H1163" s="6">
        <v>6341034.695171204</v>
      </c>
      <c r="I1163" s="6">
        <v>454.68435934092844</v>
      </c>
      <c r="J1163" s="6">
        <v>4.322973798221127</v>
      </c>
      <c r="K1163" s="6"/>
      <c r="L1163" s="6"/>
      <c r="M1163" s="6"/>
      <c r="N1163" s="6">
        <f t="shared" ref="N1163:P1163" si="1166">IF(LEN($C1163)&gt;0,H1163-E1163,"")</f>
        <v>-81476.59042</v>
      </c>
      <c r="O1163" s="6">
        <f t="shared" si="1166"/>
        <v>-2.964497744</v>
      </c>
      <c r="P1163" s="6">
        <f t="shared" si="1166"/>
        <v>-1.410056446</v>
      </c>
      <c r="Q1163" s="6"/>
      <c r="R1163" s="6"/>
      <c r="S1163" s="6"/>
      <c r="T1163" s="6"/>
      <c r="U1163" s="6"/>
      <c r="V1163" s="6"/>
      <c r="W1163" s="6"/>
      <c r="X1163" s="6"/>
      <c r="Y1163" s="6"/>
      <c r="Z1163" s="6"/>
      <c r="AA1163" s="6"/>
      <c r="AB1163" s="6"/>
      <c r="AC1163" s="6"/>
      <c r="AD1163" s="6"/>
      <c r="AE1163" s="6"/>
      <c r="AF1163" s="6"/>
      <c r="AG1163" s="6"/>
    </row>
    <row r="1164" ht="14.25" customHeight="1">
      <c r="A1164" s="6"/>
      <c r="B1164" s="6"/>
      <c r="C1164" s="6">
        <v>1157.0</v>
      </c>
      <c r="D1164" s="6"/>
      <c r="E1164" s="6">
        <v>6977501.300253736</v>
      </c>
      <c r="F1164" s="6">
        <v>454.88055562003933</v>
      </c>
      <c r="G1164" s="6">
        <v>5.475895385974058</v>
      </c>
      <c r="H1164" s="6">
        <v>6804604.896926759</v>
      </c>
      <c r="I1164" s="6">
        <v>446.5899377214498</v>
      </c>
      <c r="J1164" s="6">
        <v>3.946898119326522</v>
      </c>
      <c r="K1164" s="6"/>
      <c r="L1164" s="6"/>
      <c r="M1164" s="6"/>
      <c r="N1164" s="6">
        <f t="shared" ref="N1164:P1164" si="1167">IF(LEN($C1164)&gt;0,H1164-E1164,"")</f>
        <v>-172896.4033</v>
      </c>
      <c r="O1164" s="6">
        <f t="shared" si="1167"/>
        <v>-8.290617899</v>
      </c>
      <c r="P1164" s="6">
        <f t="shared" si="1167"/>
        <v>-1.528997267</v>
      </c>
      <c r="Q1164" s="6"/>
      <c r="R1164" s="6"/>
      <c r="S1164" s="6"/>
      <c r="T1164" s="6"/>
      <c r="U1164" s="6"/>
      <c r="V1164" s="6"/>
      <c r="W1164" s="6"/>
      <c r="X1164" s="6"/>
      <c r="Y1164" s="6"/>
      <c r="Z1164" s="6"/>
      <c r="AA1164" s="6"/>
      <c r="AB1164" s="6"/>
      <c r="AC1164" s="6"/>
      <c r="AD1164" s="6"/>
      <c r="AE1164" s="6"/>
      <c r="AF1164" s="6"/>
      <c r="AG1164" s="6"/>
    </row>
    <row r="1165" ht="14.25" customHeight="1">
      <c r="A1165" s="6"/>
      <c r="B1165" s="6"/>
      <c r="C1165" s="6">
        <v>1158.0</v>
      </c>
      <c r="D1165" s="6"/>
      <c r="E1165" s="6">
        <v>5809754.634986633</v>
      </c>
      <c r="F1165" s="6">
        <v>445.6643065819773</v>
      </c>
      <c r="G1165" s="6">
        <v>4.648058729725366</v>
      </c>
      <c r="H1165" s="6">
        <v>5734250.165647855</v>
      </c>
      <c r="I1165" s="6">
        <v>442.243084911195</v>
      </c>
      <c r="J1165" s="6">
        <v>3.425783067679608</v>
      </c>
      <c r="K1165" s="6"/>
      <c r="L1165" s="6"/>
      <c r="M1165" s="6"/>
      <c r="N1165" s="6">
        <f t="shared" ref="N1165:P1165" si="1168">IF(LEN($C1165)&gt;0,H1165-E1165,"")</f>
        <v>-75504.46934</v>
      </c>
      <c r="O1165" s="6">
        <f t="shared" si="1168"/>
        <v>-3.421221671</v>
      </c>
      <c r="P1165" s="6">
        <f t="shared" si="1168"/>
        <v>-1.222275662</v>
      </c>
      <c r="Q1165" s="6"/>
      <c r="R1165" s="6"/>
      <c r="S1165" s="6"/>
      <c r="T1165" s="6"/>
      <c r="U1165" s="6"/>
      <c r="V1165" s="6"/>
      <c r="W1165" s="6"/>
      <c r="X1165" s="6"/>
      <c r="Y1165" s="6"/>
      <c r="Z1165" s="6"/>
      <c r="AA1165" s="6"/>
      <c r="AB1165" s="6"/>
      <c r="AC1165" s="6"/>
      <c r="AD1165" s="6"/>
      <c r="AE1165" s="6"/>
      <c r="AF1165" s="6"/>
      <c r="AG1165" s="6"/>
    </row>
    <row r="1166" ht="14.25" customHeight="1">
      <c r="A1166" s="6"/>
      <c r="B1166" s="6"/>
      <c r="C1166" s="6">
        <v>1159.0</v>
      </c>
      <c r="D1166" s="6"/>
      <c r="E1166" s="6">
        <v>8138725.277079412</v>
      </c>
      <c r="F1166" s="6">
        <v>443.45204407360745</v>
      </c>
      <c r="G1166" s="6">
        <v>5.757165404918064</v>
      </c>
      <c r="H1166" s="6">
        <v>8071183.139477135</v>
      </c>
      <c r="I1166" s="6">
        <v>441.48489408705814</v>
      </c>
      <c r="J1166" s="6">
        <v>4.968033892980579</v>
      </c>
      <c r="K1166" s="6"/>
      <c r="L1166" s="6"/>
      <c r="M1166" s="6"/>
      <c r="N1166" s="6">
        <f t="shared" ref="N1166:P1166" si="1169">IF(LEN($C1166)&gt;0,H1166-E1166,"")</f>
        <v>-67542.1376</v>
      </c>
      <c r="O1166" s="6">
        <f t="shared" si="1169"/>
        <v>-1.967149987</v>
      </c>
      <c r="P1166" s="6">
        <f t="shared" si="1169"/>
        <v>-0.7891315119</v>
      </c>
      <c r="Q1166" s="6"/>
      <c r="R1166" s="6"/>
      <c r="S1166" s="6"/>
      <c r="T1166" s="6"/>
      <c r="U1166" s="6"/>
      <c r="V1166" s="6"/>
      <c r="W1166" s="6"/>
      <c r="X1166" s="6"/>
      <c r="Y1166" s="6"/>
      <c r="Z1166" s="6"/>
      <c r="AA1166" s="6"/>
      <c r="AB1166" s="6"/>
      <c r="AC1166" s="6"/>
      <c r="AD1166" s="6"/>
      <c r="AE1166" s="6"/>
      <c r="AF1166" s="6"/>
      <c r="AG1166" s="6"/>
    </row>
    <row r="1167" ht="14.25" customHeight="1">
      <c r="A1167" s="6"/>
      <c r="B1167" s="6"/>
      <c r="C1167" s="6">
        <v>1160.0</v>
      </c>
      <c r="D1167" s="6"/>
      <c r="E1167" s="6">
        <v>6599127.185531111</v>
      </c>
      <c r="F1167" s="6">
        <v>446.1757372426515</v>
      </c>
      <c r="G1167" s="6">
        <v>6.0405180850995395</v>
      </c>
      <c r="H1167" s="6">
        <v>6462716.081355499</v>
      </c>
      <c r="I1167" s="6">
        <v>440.59050481014543</v>
      </c>
      <c r="J1167" s="6">
        <v>4.19243923303711</v>
      </c>
      <c r="K1167" s="6"/>
      <c r="L1167" s="6"/>
      <c r="M1167" s="6"/>
      <c r="N1167" s="6">
        <f t="shared" ref="N1167:P1167" si="1170">IF(LEN($C1167)&gt;0,H1167-E1167,"")</f>
        <v>-136411.1042</v>
      </c>
      <c r="O1167" s="6">
        <f t="shared" si="1170"/>
        <v>-5.585232433</v>
      </c>
      <c r="P1167" s="6">
        <f t="shared" si="1170"/>
        <v>-1.848078852</v>
      </c>
      <c r="Q1167" s="6"/>
      <c r="R1167" s="6"/>
      <c r="S1167" s="6"/>
      <c r="T1167" s="6"/>
      <c r="U1167" s="6"/>
      <c r="V1167" s="6"/>
      <c r="W1167" s="6"/>
      <c r="X1167" s="6"/>
      <c r="Y1167" s="6"/>
      <c r="Z1167" s="6"/>
      <c r="AA1167" s="6"/>
      <c r="AB1167" s="6"/>
      <c r="AC1167" s="6"/>
      <c r="AD1167" s="6"/>
      <c r="AE1167" s="6"/>
      <c r="AF1167" s="6"/>
      <c r="AG1167" s="6"/>
    </row>
    <row r="1168" ht="14.25" customHeight="1">
      <c r="A1168" s="6"/>
      <c r="B1168" s="6"/>
      <c r="C1168" s="6">
        <v>1161.0</v>
      </c>
      <c r="D1168" s="6"/>
      <c r="E1168" s="6">
        <v>8013322.6019000765</v>
      </c>
      <c r="F1168" s="6">
        <v>466.05908122884233</v>
      </c>
      <c r="G1168" s="6">
        <v>5.46003912978963</v>
      </c>
      <c r="H1168" s="6">
        <v>7868491.42391568</v>
      </c>
      <c r="I1168" s="6">
        <v>460.45777479295333</v>
      </c>
      <c r="J1168" s="6">
        <v>4.113522809608022</v>
      </c>
      <c r="K1168" s="6"/>
      <c r="L1168" s="6"/>
      <c r="M1168" s="6"/>
      <c r="N1168" s="6">
        <f t="shared" ref="N1168:P1168" si="1171">IF(LEN($C1168)&gt;0,H1168-E1168,"")</f>
        <v>-144831.178</v>
      </c>
      <c r="O1168" s="6">
        <f t="shared" si="1171"/>
        <v>-5.601306436</v>
      </c>
      <c r="P1168" s="6">
        <f t="shared" si="1171"/>
        <v>-1.34651632</v>
      </c>
      <c r="Q1168" s="6"/>
      <c r="R1168" s="6"/>
      <c r="S1168" s="6"/>
      <c r="T1168" s="6"/>
      <c r="U1168" s="6"/>
      <c r="V1168" s="6"/>
      <c r="W1168" s="6"/>
      <c r="X1168" s="6"/>
      <c r="Y1168" s="6"/>
      <c r="Z1168" s="6"/>
      <c r="AA1168" s="6"/>
      <c r="AB1168" s="6"/>
      <c r="AC1168" s="6"/>
      <c r="AD1168" s="6"/>
      <c r="AE1168" s="6"/>
      <c r="AF1168" s="6"/>
      <c r="AG1168" s="6"/>
    </row>
    <row r="1169" ht="14.25" customHeight="1">
      <c r="A1169" s="6"/>
      <c r="B1169" s="6"/>
      <c r="C1169" s="6">
        <v>1162.0</v>
      </c>
      <c r="D1169" s="6"/>
      <c r="E1169" s="6">
        <v>7283901.983548153</v>
      </c>
      <c r="F1169" s="6">
        <v>459.48955545269393</v>
      </c>
      <c r="G1169" s="6">
        <v>4.631204456740268</v>
      </c>
      <c r="H1169" s="6">
        <v>7198561.774013736</v>
      </c>
      <c r="I1169" s="6">
        <v>453.8516581953</v>
      </c>
      <c r="J1169" s="6">
        <v>3.364369123343982</v>
      </c>
      <c r="K1169" s="6"/>
      <c r="L1169" s="6"/>
      <c r="M1169" s="6"/>
      <c r="N1169" s="6">
        <f t="shared" ref="N1169:P1169" si="1172">IF(LEN($C1169)&gt;0,H1169-E1169,"")</f>
        <v>-85340.20953</v>
      </c>
      <c r="O1169" s="6">
        <f t="shared" si="1172"/>
        <v>-5.637897257</v>
      </c>
      <c r="P1169" s="6">
        <f t="shared" si="1172"/>
        <v>-1.266835333</v>
      </c>
      <c r="Q1169" s="6"/>
      <c r="R1169" s="6"/>
      <c r="S1169" s="6"/>
      <c r="T1169" s="6"/>
      <c r="U1169" s="6"/>
      <c r="V1169" s="6"/>
      <c r="W1169" s="6"/>
      <c r="X1169" s="6"/>
      <c r="Y1169" s="6"/>
      <c r="Z1169" s="6"/>
      <c r="AA1169" s="6"/>
      <c r="AB1169" s="6"/>
      <c r="AC1169" s="6"/>
      <c r="AD1169" s="6"/>
      <c r="AE1169" s="6"/>
      <c r="AF1169" s="6"/>
      <c r="AG1169" s="6"/>
    </row>
    <row r="1170" ht="14.25" customHeight="1">
      <c r="A1170" s="6"/>
      <c r="B1170" s="6"/>
      <c r="C1170" s="6">
        <v>1163.0</v>
      </c>
      <c r="D1170" s="6"/>
      <c r="E1170" s="6">
        <v>7581006.591937266</v>
      </c>
      <c r="F1170" s="6">
        <v>495.8435212352877</v>
      </c>
      <c r="G1170" s="6">
        <v>5.042348846354455</v>
      </c>
      <c r="H1170" s="6">
        <v>7417071.15436113</v>
      </c>
      <c r="I1170" s="6">
        <v>487.8100932311825</v>
      </c>
      <c r="J1170" s="6">
        <v>3.598338343802702</v>
      </c>
      <c r="K1170" s="6"/>
      <c r="L1170" s="6"/>
      <c r="M1170" s="6"/>
      <c r="N1170" s="6">
        <f t="shared" ref="N1170:P1170" si="1173">IF(LEN($C1170)&gt;0,H1170-E1170,"")</f>
        <v>-163935.4376</v>
      </c>
      <c r="O1170" s="6">
        <f t="shared" si="1173"/>
        <v>-8.033428004</v>
      </c>
      <c r="P1170" s="6">
        <f t="shared" si="1173"/>
        <v>-1.444010503</v>
      </c>
      <c r="Q1170" s="6"/>
      <c r="R1170" s="6"/>
      <c r="S1170" s="6"/>
      <c r="T1170" s="6"/>
      <c r="U1170" s="6"/>
      <c r="V1170" s="6"/>
      <c r="W1170" s="6"/>
      <c r="X1170" s="6"/>
      <c r="Y1170" s="6"/>
      <c r="Z1170" s="6"/>
      <c r="AA1170" s="6"/>
      <c r="AB1170" s="6"/>
      <c r="AC1170" s="6"/>
      <c r="AD1170" s="6"/>
      <c r="AE1170" s="6"/>
      <c r="AF1170" s="6"/>
      <c r="AG1170" s="6"/>
    </row>
    <row r="1171" ht="14.25" customHeight="1">
      <c r="A1171" s="6"/>
      <c r="B1171" s="6"/>
      <c r="C1171" s="6">
        <v>1164.0</v>
      </c>
      <c r="D1171" s="6"/>
      <c r="E1171" s="6">
        <v>5979008.299194685</v>
      </c>
      <c r="F1171" s="6">
        <v>459.2766217257902</v>
      </c>
      <c r="G1171" s="6">
        <v>4.330116519182463</v>
      </c>
      <c r="H1171" s="6">
        <v>5925032.06547251</v>
      </c>
      <c r="I1171" s="6">
        <v>457.69899920186964</v>
      </c>
      <c r="J1171" s="6">
        <v>3.3032156959400067</v>
      </c>
      <c r="K1171" s="6"/>
      <c r="L1171" s="6"/>
      <c r="M1171" s="6"/>
      <c r="N1171" s="6">
        <f t="shared" ref="N1171:P1171" si="1174">IF(LEN($C1171)&gt;0,H1171-E1171,"")</f>
        <v>-53976.23372</v>
      </c>
      <c r="O1171" s="6">
        <f t="shared" si="1174"/>
        <v>-1.577622524</v>
      </c>
      <c r="P1171" s="6">
        <f t="shared" si="1174"/>
        <v>-1.026900823</v>
      </c>
      <c r="Q1171" s="6"/>
      <c r="R1171" s="6"/>
      <c r="S1171" s="6"/>
      <c r="T1171" s="6"/>
      <c r="U1171" s="6"/>
      <c r="V1171" s="6"/>
      <c r="W1171" s="6"/>
      <c r="X1171" s="6"/>
      <c r="Y1171" s="6"/>
      <c r="Z1171" s="6"/>
      <c r="AA1171" s="6"/>
      <c r="AB1171" s="6"/>
      <c r="AC1171" s="6"/>
      <c r="AD1171" s="6"/>
      <c r="AE1171" s="6"/>
      <c r="AF1171" s="6"/>
      <c r="AG1171" s="6"/>
    </row>
    <row r="1172" ht="14.25" customHeight="1">
      <c r="A1172" s="6"/>
      <c r="B1172" s="6"/>
      <c r="C1172" s="6">
        <v>1165.0</v>
      </c>
      <c r="D1172" s="6"/>
      <c r="E1172" s="6">
        <v>6635874.731303757</v>
      </c>
      <c r="F1172" s="6">
        <v>475.4313501771152</v>
      </c>
      <c r="G1172" s="6">
        <v>4.681213846748005</v>
      </c>
      <c r="H1172" s="6">
        <v>6524769.769718165</v>
      </c>
      <c r="I1172" s="6">
        <v>471.64305246917417</v>
      </c>
      <c r="J1172" s="6">
        <v>3.1463546374304117</v>
      </c>
      <c r="K1172" s="6"/>
      <c r="L1172" s="6"/>
      <c r="M1172" s="6"/>
      <c r="N1172" s="6">
        <f t="shared" ref="N1172:P1172" si="1175">IF(LEN($C1172)&gt;0,H1172-E1172,"")</f>
        <v>-111104.9616</v>
      </c>
      <c r="O1172" s="6">
        <f t="shared" si="1175"/>
        <v>-3.788297708</v>
      </c>
      <c r="P1172" s="6">
        <f t="shared" si="1175"/>
        <v>-1.534859209</v>
      </c>
      <c r="Q1172" s="6"/>
      <c r="R1172" s="6"/>
      <c r="S1172" s="6"/>
      <c r="T1172" s="6"/>
      <c r="U1172" s="6"/>
      <c r="V1172" s="6"/>
      <c r="W1172" s="6"/>
      <c r="X1172" s="6"/>
      <c r="Y1172" s="6"/>
      <c r="Z1172" s="6"/>
      <c r="AA1172" s="6"/>
      <c r="AB1172" s="6"/>
      <c r="AC1172" s="6"/>
      <c r="AD1172" s="6"/>
      <c r="AE1172" s="6"/>
      <c r="AF1172" s="6"/>
      <c r="AG1172" s="6"/>
    </row>
    <row r="1173" ht="14.25" customHeight="1">
      <c r="A1173" s="6"/>
      <c r="B1173" s="6"/>
      <c r="C1173" s="6">
        <v>1166.0</v>
      </c>
      <c r="D1173" s="6"/>
      <c r="E1173" s="6">
        <v>6562188.962745143</v>
      </c>
      <c r="F1173" s="6">
        <v>454.4840546362055</v>
      </c>
      <c r="G1173" s="6">
        <v>5.315330702455716</v>
      </c>
      <c r="H1173" s="6">
        <v>6357361.614898335</v>
      </c>
      <c r="I1173" s="6">
        <v>447.38720141174764</v>
      </c>
      <c r="J1173" s="6">
        <v>3.2273030731362082</v>
      </c>
      <c r="K1173" s="6"/>
      <c r="L1173" s="6"/>
      <c r="M1173" s="6"/>
      <c r="N1173" s="6">
        <f t="shared" ref="N1173:P1173" si="1176">IF(LEN($C1173)&gt;0,H1173-E1173,"")</f>
        <v>-204827.3478</v>
      </c>
      <c r="O1173" s="6">
        <f t="shared" si="1176"/>
        <v>-7.096853224</v>
      </c>
      <c r="P1173" s="6">
        <f t="shared" si="1176"/>
        <v>-2.088027629</v>
      </c>
      <c r="Q1173" s="6"/>
      <c r="R1173" s="6"/>
      <c r="S1173" s="6"/>
      <c r="T1173" s="6"/>
      <c r="U1173" s="6"/>
      <c r="V1173" s="6"/>
      <c r="W1173" s="6"/>
      <c r="X1173" s="6"/>
      <c r="Y1173" s="6"/>
      <c r="Z1173" s="6"/>
      <c r="AA1173" s="6"/>
      <c r="AB1173" s="6"/>
      <c r="AC1173" s="6"/>
      <c r="AD1173" s="6"/>
      <c r="AE1173" s="6"/>
      <c r="AF1173" s="6"/>
      <c r="AG1173" s="6"/>
    </row>
    <row r="1174" ht="14.25" customHeight="1">
      <c r="A1174" s="6"/>
      <c r="B1174" s="6"/>
      <c r="C1174" s="6">
        <v>1167.0</v>
      </c>
      <c r="D1174" s="6"/>
      <c r="E1174" s="6">
        <v>8142087.0214226935</v>
      </c>
      <c r="F1174" s="6">
        <v>501.91453764413626</v>
      </c>
      <c r="G1174" s="6">
        <v>4.377309581800016</v>
      </c>
      <c r="H1174" s="6">
        <v>7979760.534143756</v>
      </c>
      <c r="I1174" s="6">
        <v>492.30660183476874</v>
      </c>
      <c r="J1174" s="6">
        <v>3.0120780506431064</v>
      </c>
      <c r="K1174" s="6"/>
      <c r="L1174" s="6"/>
      <c r="M1174" s="6"/>
      <c r="N1174" s="6">
        <f t="shared" ref="N1174:P1174" si="1177">IF(LEN($C1174)&gt;0,H1174-E1174,"")</f>
        <v>-162326.4873</v>
      </c>
      <c r="O1174" s="6">
        <f t="shared" si="1177"/>
        <v>-9.607935809</v>
      </c>
      <c r="P1174" s="6">
        <f t="shared" si="1177"/>
        <v>-1.365231531</v>
      </c>
      <c r="Q1174" s="6"/>
      <c r="R1174" s="6"/>
      <c r="S1174" s="6"/>
      <c r="T1174" s="6"/>
      <c r="U1174" s="6"/>
      <c r="V1174" s="6"/>
      <c r="W1174" s="6"/>
      <c r="X1174" s="6"/>
      <c r="Y1174" s="6"/>
      <c r="Z1174" s="6"/>
      <c r="AA1174" s="6"/>
      <c r="AB1174" s="6"/>
      <c r="AC1174" s="6"/>
      <c r="AD1174" s="6"/>
      <c r="AE1174" s="6"/>
      <c r="AF1174" s="6"/>
      <c r="AG1174" s="6"/>
    </row>
    <row r="1175" ht="14.25" customHeight="1">
      <c r="A1175" s="6"/>
      <c r="B1175" s="6"/>
      <c r="C1175" s="6">
        <v>1168.0</v>
      </c>
      <c r="D1175" s="6"/>
      <c r="E1175" s="6">
        <v>7583566.235850987</v>
      </c>
      <c r="F1175" s="6">
        <v>436.87882588538497</v>
      </c>
      <c r="G1175" s="6">
        <v>4.621532612073853</v>
      </c>
      <c r="H1175" s="6">
        <v>7529265.830591718</v>
      </c>
      <c r="I1175" s="6">
        <v>434.12672902409855</v>
      </c>
      <c r="J1175" s="6">
        <v>3.5590587095099036</v>
      </c>
      <c r="K1175" s="6"/>
      <c r="L1175" s="6"/>
      <c r="M1175" s="6"/>
      <c r="N1175" s="6">
        <f t="shared" ref="N1175:P1175" si="1178">IF(LEN($C1175)&gt;0,H1175-E1175,"")</f>
        <v>-54300.40526</v>
      </c>
      <c r="O1175" s="6">
        <f t="shared" si="1178"/>
        <v>-2.752096861</v>
      </c>
      <c r="P1175" s="6">
        <f t="shared" si="1178"/>
        <v>-1.062473903</v>
      </c>
      <c r="Q1175" s="6"/>
      <c r="R1175" s="6"/>
      <c r="S1175" s="6"/>
      <c r="T1175" s="6"/>
      <c r="U1175" s="6"/>
      <c r="V1175" s="6"/>
      <c r="W1175" s="6"/>
      <c r="X1175" s="6"/>
      <c r="Y1175" s="6"/>
      <c r="Z1175" s="6"/>
      <c r="AA1175" s="6"/>
      <c r="AB1175" s="6"/>
      <c r="AC1175" s="6"/>
      <c r="AD1175" s="6"/>
      <c r="AE1175" s="6"/>
      <c r="AF1175" s="6"/>
      <c r="AG1175" s="6"/>
    </row>
    <row r="1176" ht="14.25" customHeight="1">
      <c r="A1176" s="6"/>
      <c r="B1176" s="6"/>
      <c r="C1176" s="6">
        <v>1169.0</v>
      </c>
      <c r="D1176" s="6"/>
      <c r="E1176" s="6">
        <v>6105591.50782948</v>
      </c>
      <c r="F1176" s="6">
        <v>500.48363430734037</v>
      </c>
      <c r="G1176" s="6">
        <v>5.753138239282828</v>
      </c>
      <c r="H1176" s="6">
        <v>5980436.730510466</v>
      </c>
      <c r="I1176" s="6">
        <v>494.4756268335306</v>
      </c>
      <c r="J1176" s="6">
        <v>4.21436113287235</v>
      </c>
      <c r="K1176" s="6"/>
      <c r="L1176" s="6"/>
      <c r="M1176" s="6"/>
      <c r="N1176" s="6">
        <f t="shared" ref="N1176:P1176" si="1179">IF(LEN($C1176)&gt;0,H1176-E1176,"")</f>
        <v>-125154.7773</v>
      </c>
      <c r="O1176" s="6">
        <f t="shared" si="1179"/>
        <v>-6.008007474</v>
      </c>
      <c r="P1176" s="6">
        <f t="shared" si="1179"/>
        <v>-1.538777106</v>
      </c>
      <c r="Q1176" s="6"/>
      <c r="R1176" s="6"/>
      <c r="S1176" s="6"/>
      <c r="T1176" s="6"/>
      <c r="U1176" s="6"/>
      <c r="V1176" s="6"/>
      <c r="W1176" s="6"/>
      <c r="X1176" s="6"/>
      <c r="Y1176" s="6"/>
      <c r="Z1176" s="6"/>
      <c r="AA1176" s="6"/>
      <c r="AB1176" s="6"/>
      <c r="AC1176" s="6"/>
      <c r="AD1176" s="6"/>
      <c r="AE1176" s="6"/>
      <c r="AF1176" s="6"/>
      <c r="AG1176" s="6"/>
    </row>
    <row r="1177" ht="14.25" customHeight="1">
      <c r="A1177" s="6"/>
      <c r="B1177" s="6"/>
      <c r="C1177" s="6">
        <v>1170.0</v>
      </c>
      <c r="D1177" s="6"/>
      <c r="E1177" s="6">
        <v>6263004.81801059</v>
      </c>
      <c r="F1177" s="6">
        <v>434.2675481512218</v>
      </c>
      <c r="G1177" s="6">
        <v>4.596421101329522</v>
      </c>
      <c r="H1177" s="6">
        <v>6146589.406818076</v>
      </c>
      <c r="I1177" s="6">
        <v>430.9200411642691</v>
      </c>
      <c r="J1177" s="6">
        <v>3.2298058013568016</v>
      </c>
      <c r="K1177" s="6"/>
      <c r="L1177" s="6"/>
      <c r="M1177" s="6"/>
      <c r="N1177" s="6">
        <f t="shared" ref="N1177:P1177" si="1180">IF(LEN($C1177)&gt;0,H1177-E1177,"")</f>
        <v>-116415.4112</v>
      </c>
      <c r="O1177" s="6">
        <f t="shared" si="1180"/>
        <v>-3.347506987</v>
      </c>
      <c r="P1177" s="6">
        <f t="shared" si="1180"/>
        <v>-1.3666153</v>
      </c>
      <c r="Q1177" s="6"/>
      <c r="R1177" s="6"/>
      <c r="S1177" s="6"/>
      <c r="T1177" s="6"/>
      <c r="U1177" s="6"/>
      <c r="V1177" s="6"/>
      <c r="W1177" s="6"/>
      <c r="X1177" s="6"/>
      <c r="Y1177" s="6"/>
      <c r="Z1177" s="6"/>
      <c r="AA1177" s="6"/>
      <c r="AB1177" s="6"/>
      <c r="AC1177" s="6"/>
      <c r="AD1177" s="6"/>
      <c r="AE1177" s="6"/>
      <c r="AF1177" s="6"/>
      <c r="AG1177" s="6"/>
    </row>
    <row r="1178" ht="14.25" customHeight="1">
      <c r="A1178" s="6"/>
      <c r="B1178" s="6"/>
      <c r="C1178" s="6">
        <v>1171.0</v>
      </c>
      <c r="D1178" s="6"/>
      <c r="E1178" s="6">
        <v>8247209.122006983</v>
      </c>
      <c r="F1178" s="6">
        <v>456.30603088321857</v>
      </c>
      <c r="G1178" s="6">
        <v>4.34614167858194</v>
      </c>
      <c r="H1178" s="6">
        <v>8020590.236512094</v>
      </c>
      <c r="I1178" s="6">
        <v>445.96742548048957</v>
      </c>
      <c r="J1178" s="6">
        <v>2.8890758981471905</v>
      </c>
      <c r="K1178" s="6"/>
      <c r="L1178" s="6"/>
      <c r="M1178" s="6"/>
      <c r="N1178" s="6">
        <f t="shared" ref="N1178:P1178" si="1181">IF(LEN($C1178)&gt;0,H1178-E1178,"")</f>
        <v>-226618.8855</v>
      </c>
      <c r="O1178" s="6">
        <f t="shared" si="1181"/>
        <v>-10.3386054</v>
      </c>
      <c r="P1178" s="6">
        <f t="shared" si="1181"/>
        <v>-1.45706578</v>
      </c>
      <c r="Q1178" s="6"/>
      <c r="R1178" s="6"/>
      <c r="S1178" s="6"/>
      <c r="T1178" s="6"/>
      <c r="U1178" s="6"/>
      <c r="V1178" s="6"/>
      <c r="W1178" s="6"/>
      <c r="X1178" s="6"/>
      <c r="Y1178" s="6"/>
      <c r="Z1178" s="6"/>
      <c r="AA1178" s="6"/>
      <c r="AB1178" s="6"/>
      <c r="AC1178" s="6"/>
      <c r="AD1178" s="6"/>
      <c r="AE1178" s="6"/>
      <c r="AF1178" s="6"/>
      <c r="AG1178" s="6"/>
    </row>
    <row r="1179" ht="14.25" customHeight="1">
      <c r="A1179" s="6"/>
      <c r="B1179" s="6"/>
      <c r="C1179" s="6">
        <v>1172.0</v>
      </c>
      <c r="D1179" s="6"/>
      <c r="E1179" s="6">
        <v>7683975.612312647</v>
      </c>
      <c r="F1179" s="6">
        <v>511.79914923988497</v>
      </c>
      <c r="G1179" s="6">
        <v>5.256680178312752</v>
      </c>
      <c r="H1179" s="6">
        <v>7522226.295609653</v>
      </c>
      <c r="I1179" s="6">
        <v>504.1045038419737</v>
      </c>
      <c r="J1179" s="6">
        <v>3.8533487221922993</v>
      </c>
      <c r="K1179" s="6"/>
      <c r="L1179" s="6"/>
      <c r="M1179" s="6"/>
      <c r="N1179" s="6">
        <f t="shared" ref="N1179:P1179" si="1182">IF(LEN($C1179)&gt;0,H1179-E1179,"")</f>
        <v>-161749.3167</v>
      </c>
      <c r="O1179" s="6">
        <f t="shared" si="1182"/>
        <v>-7.694645398</v>
      </c>
      <c r="P1179" s="6">
        <f t="shared" si="1182"/>
        <v>-1.403331456</v>
      </c>
      <c r="Q1179" s="6"/>
      <c r="R1179" s="6"/>
      <c r="S1179" s="6"/>
      <c r="T1179" s="6"/>
      <c r="U1179" s="6"/>
      <c r="V1179" s="6"/>
      <c r="W1179" s="6"/>
      <c r="X1179" s="6"/>
      <c r="Y1179" s="6"/>
      <c r="Z1179" s="6"/>
      <c r="AA1179" s="6"/>
      <c r="AB1179" s="6"/>
      <c r="AC1179" s="6"/>
      <c r="AD1179" s="6"/>
      <c r="AE1179" s="6"/>
      <c r="AF1179" s="6"/>
      <c r="AG1179" s="6"/>
    </row>
    <row r="1180" ht="14.25" customHeight="1">
      <c r="A1180" s="6"/>
      <c r="B1180" s="6"/>
      <c r="C1180" s="6">
        <v>1173.0</v>
      </c>
      <c r="D1180" s="6"/>
      <c r="E1180" s="6">
        <v>6695739.432552306</v>
      </c>
      <c r="F1180" s="6">
        <v>474.257632545597</v>
      </c>
      <c r="G1180" s="6">
        <v>4.360645119023521</v>
      </c>
      <c r="H1180" s="6">
        <v>6585097.6044768</v>
      </c>
      <c r="I1180" s="6">
        <v>469.6668586227075</v>
      </c>
      <c r="J1180" s="6">
        <v>2.949099982830494</v>
      </c>
      <c r="K1180" s="6"/>
      <c r="L1180" s="6"/>
      <c r="M1180" s="6"/>
      <c r="N1180" s="6">
        <f t="shared" ref="N1180:P1180" si="1183">IF(LEN($C1180)&gt;0,H1180-E1180,"")</f>
        <v>-110641.8281</v>
      </c>
      <c r="O1180" s="6">
        <f t="shared" si="1183"/>
        <v>-4.590773923</v>
      </c>
      <c r="P1180" s="6">
        <f t="shared" si="1183"/>
        <v>-1.411545136</v>
      </c>
      <c r="Q1180" s="6"/>
      <c r="R1180" s="6"/>
      <c r="S1180" s="6"/>
      <c r="T1180" s="6"/>
      <c r="U1180" s="6"/>
      <c r="V1180" s="6"/>
      <c r="W1180" s="6"/>
      <c r="X1180" s="6"/>
      <c r="Y1180" s="6"/>
      <c r="Z1180" s="6"/>
      <c r="AA1180" s="6"/>
      <c r="AB1180" s="6"/>
      <c r="AC1180" s="6"/>
      <c r="AD1180" s="6"/>
      <c r="AE1180" s="6"/>
      <c r="AF1180" s="6"/>
      <c r="AG1180" s="6"/>
    </row>
    <row r="1181" ht="14.25" customHeight="1">
      <c r="A1181" s="6"/>
      <c r="B1181" s="6"/>
      <c r="C1181" s="6">
        <v>1174.0</v>
      </c>
      <c r="D1181" s="6"/>
      <c r="E1181" s="6">
        <v>7110453.990602506</v>
      </c>
      <c r="F1181" s="6">
        <v>473.6754802997669</v>
      </c>
      <c r="G1181" s="6">
        <v>3.6485001376586954</v>
      </c>
      <c r="H1181" s="6">
        <v>6956517.878992047</v>
      </c>
      <c r="I1181" s="6">
        <v>466.7431826620556</v>
      </c>
      <c r="J1181" s="6">
        <v>2.637822135458835</v>
      </c>
      <c r="K1181" s="6"/>
      <c r="L1181" s="6"/>
      <c r="M1181" s="6"/>
      <c r="N1181" s="6">
        <f t="shared" ref="N1181:P1181" si="1184">IF(LEN($C1181)&gt;0,H1181-E1181,"")</f>
        <v>-153936.1116</v>
      </c>
      <c r="O1181" s="6">
        <f t="shared" si="1184"/>
        <v>-6.932297638</v>
      </c>
      <c r="P1181" s="6">
        <f t="shared" si="1184"/>
        <v>-1.010678002</v>
      </c>
      <c r="Q1181" s="6"/>
      <c r="R1181" s="6"/>
      <c r="S1181" s="6"/>
      <c r="T1181" s="6"/>
      <c r="U1181" s="6"/>
      <c r="V1181" s="6"/>
      <c r="W1181" s="6"/>
      <c r="X1181" s="6"/>
      <c r="Y1181" s="6"/>
      <c r="Z1181" s="6"/>
      <c r="AA1181" s="6"/>
      <c r="AB1181" s="6"/>
      <c r="AC1181" s="6"/>
      <c r="AD1181" s="6"/>
      <c r="AE1181" s="6"/>
      <c r="AF1181" s="6"/>
      <c r="AG1181" s="6"/>
    </row>
    <row r="1182" ht="14.25" customHeight="1">
      <c r="A1182" s="6"/>
      <c r="B1182" s="6"/>
      <c r="C1182" s="6">
        <v>1175.0</v>
      </c>
      <c r="D1182" s="6"/>
      <c r="E1182" s="6">
        <v>7333416.086700391</v>
      </c>
      <c r="F1182" s="6">
        <v>447.7369319323363</v>
      </c>
      <c r="G1182" s="6">
        <v>6.018810974445012</v>
      </c>
      <c r="H1182" s="6">
        <v>7239087.291884016</v>
      </c>
      <c r="I1182" s="6">
        <v>443.0127860542516</v>
      </c>
      <c r="J1182" s="6">
        <v>4.834506113364398</v>
      </c>
      <c r="K1182" s="6"/>
      <c r="L1182" s="6"/>
      <c r="M1182" s="6"/>
      <c r="N1182" s="6">
        <f t="shared" ref="N1182:P1182" si="1185">IF(LEN($C1182)&gt;0,H1182-E1182,"")</f>
        <v>-94328.79482</v>
      </c>
      <c r="O1182" s="6">
        <f t="shared" si="1185"/>
        <v>-4.724145878</v>
      </c>
      <c r="P1182" s="6">
        <f t="shared" si="1185"/>
        <v>-1.184304861</v>
      </c>
      <c r="Q1182" s="6"/>
      <c r="R1182" s="6"/>
      <c r="S1182" s="6"/>
      <c r="T1182" s="6"/>
      <c r="U1182" s="6"/>
      <c r="V1182" s="6"/>
      <c r="W1182" s="6"/>
      <c r="X1182" s="6"/>
      <c r="Y1182" s="6"/>
      <c r="Z1182" s="6"/>
      <c r="AA1182" s="6"/>
      <c r="AB1182" s="6"/>
      <c r="AC1182" s="6"/>
      <c r="AD1182" s="6"/>
      <c r="AE1182" s="6"/>
      <c r="AF1182" s="6"/>
      <c r="AG1182" s="6"/>
    </row>
    <row r="1183" ht="14.25" customHeight="1">
      <c r="A1183" s="6"/>
      <c r="B1183" s="6"/>
      <c r="C1183" s="6">
        <v>1176.0</v>
      </c>
      <c r="D1183" s="6"/>
      <c r="E1183" s="6">
        <v>6554491.619424964</v>
      </c>
      <c r="F1183" s="6">
        <v>506.7950332793323</v>
      </c>
      <c r="G1183" s="6">
        <v>6.711859030751455</v>
      </c>
      <c r="H1183" s="6">
        <v>6384099.029703666</v>
      </c>
      <c r="I1183" s="6">
        <v>499.76732392841814</v>
      </c>
      <c r="J1183" s="6">
        <v>4.71357234802547</v>
      </c>
      <c r="K1183" s="6"/>
      <c r="L1183" s="6"/>
      <c r="M1183" s="6"/>
      <c r="N1183" s="6">
        <f t="shared" ref="N1183:P1183" si="1186">IF(LEN($C1183)&gt;0,H1183-E1183,"")</f>
        <v>-170392.5897</v>
      </c>
      <c r="O1183" s="6">
        <f t="shared" si="1186"/>
        <v>-7.027709351</v>
      </c>
      <c r="P1183" s="6">
        <f t="shared" si="1186"/>
        <v>-1.998286683</v>
      </c>
      <c r="Q1183" s="6"/>
      <c r="R1183" s="6"/>
      <c r="S1183" s="6"/>
      <c r="T1183" s="6"/>
      <c r="U1183" s="6"/>
      <c r="V1183" s="6"/>
      <c r="W1183" s="6"/>
      <c r="X1183" s="6"/>
      <c r="Y1183" s="6"/>
      <c r="Z1183" s="6"/>
      <c r="AA1183" s="6"/>
      <c r="AB1183" s="6"/>
      <c r="AC1183" s="6"/>
      <c r="AD1183" s="6"/>
      <c r="AE1183" s="6"/>
      <c r="AF1183" s="6"/>
      <c r="AG1183" s="6"/>
    </row>
    <row r="1184" ht="14.25" customHeight="1">
      <c r="A1184" s="6"/>
      <c r="B1184" s="6"/>
      <c r="C1184" s="6">
        <v>1177.0</v>
      </c>
      <c r="D1184" s="6"/>
      <c r="E1184" s="6">
        <v>8193538.002629742</v>
      </c>
      <c r="F1184" s="6">
        <v>460.1991559736627</v>
      </c>
      <c r="G1184" s="6">
        <v>6.227985265515319</v>
      </c>
      <c r="H1184" s="6">
        <v>8035385.994999843</v>
      </c>
      <c r="I1184" s="6">
        <v>455.41852730211343</v>
      </c>
      <c r="J1184" s="6">
        <v>4.237348486280016</v>
      </c>
      <c r="K1184" s="6"/>
      <c r="L1184" s="6"/>
      <c r="M1184" s="6"/>
      <c r="N1184" s="6">
        <f t="shared" ref="N1184:P1184" si="1187">IF(LEN($C1184)&gt;0,H1184-E1184,"")</f>
        <v>-158152.0076</v>
      </c>
      <c r="O1184" s="6">
        <f t="shared" si="1187"/>
        <v>-4.780628672</v>
      </c>
      <c r="P1184" s="6">
        <f t="shared" si="1187"/>
        <v>-1.990636779</v>
      </c>
      <c r="Q1184" s="6"/>
      <c r="R1184" s="6"/>
      <c r="S1184" s="6"/>
      <c r="T1184" s="6"/>
      <c r="U1184" s="6"/>
      <c r="V1184" s="6"/>
      <c r="W1184" s="6"/>
      <c r="X1184" s="6"/>
      <c r="Y1184" s="6"/>
      <c r="Z1184" s="6"/>
      <c r="AA1184" s="6"/>
      <c r="AB1184" s="6"/>
      <c r="AC1184" s="6"/>
      <c r="AD1184" s="6"/>
      <c r="AE1184" s="6"/>
      <c r="AF1184" s="6"/>
      <c r="AG1184" s="6"/>
    </row>
    <row r="1185" ht="14.25" customHeight="1">
      <c r="A1185" s="6"/>
      <c r="B1185" s="6"/>
      <c r="C1185" s="6">
        <v>1178.0</v>
      </c>
      <c r="D1185" s="6"/>
      <c r="E1185" s="6">
        <v>8958491.18420644</v>
      </c>
      <c r="F1185" s="6">
        <v>454.9018181370681</v>
      </c>
      <c r="G1185" s="6">
        <v>5.29137869061619</v>
      </c>
      <c r="H1185" s="6">
        <v>8806059.333033442</v>
      </c>
      <c r="I1185" s="6">
        <v>449.99970767260527</v>
      </c>
      <c r="J1185" s="6">
        <v>4.207978973247906</v>
      </c>
      <c r="K1185" s="6"/>
      <c r="L1185" s="6"/>
      <c r="M1185" s="6"/>
      <c r="N1185" s="6">
        <f t="shared" ref="N1185:P1185" si="1188">IF(LEN($C1185)&gt;0,H1185-E1185,"")</f>
        <v>-152431.8512</v>
      </c>
      <c r="O1185" s="6">
        <f t="shared" si="1188"/>
        <v>-4.902110464</v>
      </c>
      <c r="P1185" s="6">
        <f t="shared" si="1188"/>
        <v>-1.083399717</v>
      </c>
      <c r="Q1185" s="6"/>
      <c r="R1185" s="6"/>
      <c r="S1185" s="6"/>
      <c r="T1185" s="6"/>
      <c r="U1185" s="6"/>
      <c r="V1185" s="6"/>
      <c r="W1185" s="6"/>
      <c r="X1185" s="6"/>
      <c r="Y1185" s="6"/>
      <c r="Z1185" s="6"/>
      <c r="AA1185" s="6"/>
      <c r="AB1185" s="6"/>
      <c r="AC1185" s="6"/>
      <c r="AD1185" s="6"/>
      <c r="AE1185" s="6"/>
      <c r="AF1185" s="6"/>
      <c r="AG1185" s="6"/>
    </row>
    <row r="1186" ht="14.25" customHeight="1">
      <c r="A1186" s="6"/>
      <c r="B1186" s="6"/>
      <c r="C1186" s="6">
        <v>1179.0</v>
      </c>
      <c r="D1186" s="6"/>
      <c r="E1186" s="6">
        <v>7396435.846020592</v>
      </c>
      <c r="F1186" s="6">
        <v>457.88813205320497</v>
      </c>
      <c r="G1186" s="6">
        <v>4.436002108446844</v>
      </c>
      <c r="H1186" s="6">
        <v>7287448.701754287</v>
      </c>
      <c r="I1186" s="6">
        <v>453.5123894158306</v>
      </c>
      <c r="J1186" s="6">
        <v>3.225981434742291</v>
      </c>
      <c r="K1186" s="6"/>
      <c r="L1186" s="6"/>
      <c r="M1186" s="6"/>
      <c r="N1186" s="6">
        <f t="shared" ref="N1186:P1186" si="1189">IF(LEN($C1186)&gt;0,H1186-E1186,"")</f>
        <v>-108987.1443</v>
      </c>
      <c r="O1186" s="6">
        <f t="shared" si="1189"/>
        <v>-4.375742637</v>
      </c>
      <c r="P1186" s="6">
        <f t="shared" si="1189"/>
        <v>-1.210020674</v>
      </c>
      <c r="Q1186" s="6"/>
      <c r="R1186" s="6"/>
      <c r="S1186" s="6"/>
      <c r="T1186" s="6"/>
      <c r="U1186" s="6"/>
      <c r="V1186" s="6"/>
      <c r="W1186" s="6"/>
      <c r="X1186" s="6"/>
      <c r="Y1186" s="6"/>
      <c r="Z1186" s="6"/>
      <c r="AA1186" s="6"/>
      <c r="AB1186" s="6"/>
      <c r="AC1186" s="6"/>
      <c r="AD1186" s="6"/>
      <c r="AE1186" s="6"/>
      <c r="AF1186" s="6"/>
      <c r="AG1186" s="6"/>
    </row>
    <row r="1187" ht="14.25" customHeight="1">
      <c r="A1187" s="6"/>
      <c r="B1187" s="6"/>
      <c r="C1187" s="6">
        <v>1180.0</v>
      </c>
      <c r="D1187" s="6"/>
      <c r="E1187" s="6">
        <v>6254694.040280112</v>
      </c>
      <c r="F1187" s="6">
        <v>464.6091260569223</v>
      </c>
      <c r="G1187" s="6">
        <v>3.8588815844645854</v>
      </c>
      <c r="H1187" s="6">
        <v>6169704.102429342</v>
      </c>
      <c r="I1187" s="6">
        <v>461.56814166489124</v>
      </c>
      <c r="J1187" s="6">
        <v>2.999616644856068</v>
      </c>
      <c r="K1187" s="6"/>
      <c r="L1187" s="6"/>
      <c r="M1187" s="6"/>
      <c r="N1187" s="6">
        <f t="shared" ref="N1187:P1187" si="1190">IF(LEN($C1187)&gt;0,H1187-E1187,"")</f>
        <v>-84989.93785</v>
      </c>
      <c r="O1187" s="6">
        <f t="shared" si="1190"/>
        <v>-3.040984392</v>
      </c>
      <c r="P1187" s="6">
        <f t="shared" si="1190"/>
        <v>-0.8592649396</v>
      </c>
      <c r="Q1187" s="6"/>
      <c r="R1187" s="6"/>
      <c r="S1187" s="6"/>
      <c r="T1187" s="6"/>
      <c r="U1187" s="6"/>
      <c r="V1187" s="6"/>
      <c r="W1187" s="6"/>
      <c r="X1187" s="6"/>
      <c r="Y1187" s="6"/>
      <c r="Z1187" s="6"/>
      <c r="AA1187" s="6"/>
      <c r="AB1187" s="6"/>
      <c r="AC1187" s="6"/>
      <c r="AD1187" s="6"/>
      <c r="AE1187" s="6"/>
      <c r="AF1187" s="6"/>
      <c r="AG1187" s="6"/>
    </row>
    <row r="1188" ht="14.25" customHeight="1">
      <c r="A1188" s="6"/>
      <c r="B1188" s="6"/>
      <c r="C1188" s="6">
        <v>1181.0</v>
      </c>
      <c r="D1188" s="6"/>
      <c r="E1188" s="6">
        <v>6541741.619269752</v>
      </c>
      <c r="F1188" s="6">
        <v>478.5466348948481</v>
      </c>
      <c r="G1188" s="6">
        <v>5.460671053293504</v>
      </c>
      <c r="H1188" s="6">
        <v>6460401.623124641</v>
      </c>
      <c r="I1188" s="6">
        <v>475.62406361835025</v>
      </c>
      <c r="J1188" s="6">
        <v>4.161786699021424</v>
      </c>
      <c r="K1188" s="6"/>
      <c r="L1188" s="6"/>
      <c r="M1188" s="6"/>
      <c r="N1188" s="6">
        <f t="shared" ref="N1188:P1188" si="1191">IF(LEN($C1188)&gt;0,H1188-E1188,"")</f>
        <v>-81339.99615</v>
      </c>
      <c r="O1188" s="6">
        <f t="shared" si="1191"/>
        <v>-2.922571276</v>
      </c>
      <c r="P1188" s="6">
        <f t="shared" si="1191"/>
        <v>-1.298884354</v>
      </c>
      <c r="Q1188" s="6"/>
      <c r="R1188" s="6"/>
      <c r="S1188" s="6"/>
      <c r="T1188" s="6"/>
      <c r="U1188" s="6"/>
      <c r="V1188" s="6"/>
      <c r="W1188" s="6"/>
      <c r="X1188" s="6"/>
      <c r="Y1188" s="6"/>
      <c r="Z1188" s="6"/>
      <c r="AA1188" s="6"/>
      <c r="AB1188" s="6"/>
      <c r="AC1188" s="6"/>
      <c r="AD1188" s="6"/>
      <c r="AE1188" s="6"/>
      <c r="AF1188" s="6"/>
      <c r="AG1188" s="6"/>
    </row>
    <row r="1189" ht="14.25" customHeight="1">
      <c r="A1189" s="6"/>
      <c r="B1189" s="6"/>
      <c r="C1189" s="6">
        <v>1182.0</v>
      </c>
      <c r="D1189" s="6"/>
      <c r="E1189" s="6">
        <v>7759305.513797636</v>
      </c>
      <c r="F1189" s="6">
        <v>488.9296220096939</v>
      </c>
      <c r="G1189" s="6">
        <v>5.979090519711562</v>
      </c>
      <c r="H1189" s="6">
        <v>7573616.975620223</v>
      </c>
      <c r="I1189" s="6">
        <v>481.4430497220899</v>
      </c>
      <c r="J1189" s="6">
        <v>4.201620210267632</v>
      </c>
      <c r="K1189" s="6"/>
      <c r="L1189" s="6"/>
      <c r="M1189" s="6"/>
      <c r="N1189" s="6">
        <f t="shared" ref="N1189:P1189" si="1192">IF(LEN($C1189)&gt;0,H1189-E1189,"")</f>
        <v>-185688.5382</v>
      </c>
      <c r="O1189" s="6">
        <f t="shared" si="1192"/>
        <v>-7.486572288</v>
      </c>
      <c r="P1189" s="6">
        <f t="shared" si="1192"/>
        <v>-1.777470309</v>
      </c>
      <c r="Q1189" s="6"/>
      <c r="R1189" s="6"/>
      <c r="S1189" s="6"/>
      <c r="T1189" s="6"/>
      <c r="U1189" s="6"/>
      <c r="V1189" s="6"/>
      <c r="W1189" s="6"/>
      <c r="X1189" s="6"/>
      <c r="Y1189" s="6"/>
      <c r="Z1189" s="6"/>
      <c r="AA1189" s="6"/>
      <c r="AB1189" s="6"/>
      <c r="AC1189" s="6"/>
      <c r="AD1189" s="6"/>
      <c r="AE1189" s="6"/>
      <c r="AF1189" s="6"/>
      <c r="AG1189" s="6"/>
    </row>
    <row r="1190" ht="14.25" customHeight="1">
      <c r="A1190" s="6"/>
      <c r="B1190" s="6"/>
      <c r="C1190" s="6">
        <v>1183.0</v>
      </c>
      <c r="D1190" s="6"/>
      <c r="E1190" s="6">
        <v>6338727.968905817</v>
      </c>
      <c r="F1190" s="6">
        <v>470.37063066807656</v>
      </c>
      <c r="G1190" s="6">
        <v>4.380123102328173</v>
      </c>
      <c r="H1190" s="6">
        <v>6163197.48533788</v>
      </c>
      <c r="I1190" s="6">
        <v>464.8863309218329</v>
      </c>
      <c r="J1190" s="6">
        <v>2.940019646487609</v>
      </c>
      <c r="K1190" s="6"/>
      <c r="L1190" s="6"/>
      <c r="M1190" s="6"/>
      <c r="N1190" s="6">
        <f t="shared" ref="N1190:P1190" si="1193">IF(LEN($C1190)&gt;0,H1190-E1190,"")</f>
        <v>-175530.4836</v>
      </c>
      <c r="O1190" s="6">
        <f t="shared" si="1193"/>
        <v>-5.484299746</v>
      </c>
      <c r="P1190" s="6">
        <f t="shared" si="1193"/>
        <v>-1.440103456</v>
      </c>
      <c r="Q1190" s="6"/>
      <c r="R1190" s="6"/>
      <c r="S1190" s="6"/>
      <c r="T1190" s="6"/>
      <c r="U1190" s="6"/>
      <c r="V1190" s="6"/>
      <c r="W1190" s="6"/>
      <c r="X1190" s="6"/>
      <c r="Y1190" s="6"/>
      <c r="Z1190" s="6"/>
      <c r="AA1190" s="6"/>
      <c r="AB1190" s="6"/>
      <c r="AC1190" s="6"/>
      <c r="AD1190" s="6"/>
      <c r="AE1190" s="6"/>
      <c r="AF1190" s="6"/>
      <c r="AG1190" s="6"/>
    </row>
    <row r="1191" ht="14.25" customHeight="1">
      <c r="A1191" s="6"/>
      <c r="B1191" s="6"/>
      <c r="C1191" s="6">
        <v>1184.0</v>
      </c>
      <c r="D1191" s="6"/>
      <c r="E1191" s="6">
        <v>8269414.162544306</v>
      </c>
      <c r="F1191" s="6">
        <v>440.83359610967403</v>
      </c>
      <c r="G1191" s="6">
        <v>4.956428963396918</v>
      </c>
      <c r="H1191" s="6">
        <v>8167022.968029017</v>
      </c>
      <c r="I1191" s="6">
        <v>436.52731581018935</v>
      </c>
      <c r="J1191" s="6">
        <v>3.80750626225738</v>
      </c>
      <c r="K1191" s="6"/>
      <c r="L1191" s="6"/>
      <c r="M1191" s="6"/>
      <c r="N1191" s="6">
        <f t="shared" ref="N1191:P1191" si="1194">IF(LEN($C1191)&gt;0,H1191-E1191,"")</f>
        <v>-102391.1945</v>
      </c>
      <c r="O1191" s="6">
        <f t="shared" si="1194"/>
        <v>-4.306280299</v>
      </c>
      <c r="P1191" s="6">
        <f t="shared" si="1194"/>
        <v>-1.148922701</v>
      </c>
      <c r="Q1191" s="6"/>
      <c r="R1191" s="6"/>
      <c r="S1191" s="6"/>
      <c r="T1191" s="6"/>
      <c r="U1191" s="6"/>
      <c r="V1191" s="6"/>
      <c r="W1191" s="6"/>
      <c r="X1191" s="6"/>
      <c r="Y1191" s="6"/>
      <c r="Z1191" s="6"/>
      <c r="AA1191" s="6"/>
      <c r="AB1191" s="6"/>
      <c r="AC1191" s="6"/>
      <c r="AD1191" s="6"/>
      <c r="AE1191" s="6"/>
      <c r="AF1191" s="6"/>
      <c r="AG1191" s="6"/>
    </row>
    <row r="1192" ht="14.25" customHeight="1">
      <c r="A1192" s="6"/>
      <c r="B1192" s="6"/>
      <c r="C1192" s="6">
        <v>1185.0</v>
      </c>
      <c r="D1192" s="6"/>
      <c r="E1192" s="6">
        <v>7085786.412393403</v>
      </c>
      <c r="F1192" s="6">
        <v>503.8642231739001</v>
      </c>
      <c r="G1192" s="6">
        <v>5.058296156533909</v>
      </c>
      <c r="H1192" s="6">
        <v>6989111.753647181</v>
      </c>
      <c r="I1192" s="6">
        <v>499.427838669785</v>
      </c>
      <c r="J1192" s="6">
        <v>4.325788112501652</v>
      </c>
      <c r="K1192" s="6"/>
      <c r="L1192" s="6"/>
      <c r="M1192" s="6"/>
      <c r="N1192" s="6">
        <f t="shared" ref="N1192:P1192" si="1195">IF(LEN($C1192)&gt;0,H1192-E1192,"")</f>
        <v>-96674.65875</v>
      </c>
      <c r="O1192" s="6">
        <f t="shared" si="1195"/>
        <v>-4.436384504</v>
      </c>
      <c r="P1192" s="6">
        <f t="shared" si="1195"/>
        <v>-0.732508044</v>
      </c>
      <c r="Q1192" s="6"/>
      <c r="R1192" s="6"/>
      <c r="S1192" s="6"/>
      <c r="T1192" s="6"/>
      <c r="U1192" s="6"/>
      <c r="V1192" s="6"/>
      <c r="W1192" s="6"/>
      <c r="X1192" s="6"/>
      <c r="Y1192" s="6"/>
      <c r="Z1192" s="6"/>
      <c r="AA1192" s="6"/>
      <c r="AB1192" s="6"/>
      <c r="AC1192" s="6"/>
      <c r="AD1192" s="6"/>
      <c r="AE1192" s="6"/>
      <c r="AF1192" s="6"/>
      <c r="AG1192" s="6"/>
    </row>
    <row r="1193" ht="14.25" customHeight="1">
      <c r="A1193" s="6"/>
      <c r="B1193" s="6"/>
      <c r="C1193" s="6">
        <v>1186.0</v>
      </c>
      <c r="D1193" s="6"/>
      <c r="E1193" s="6">
        <v>5801048.172392809</v>
      </c>
      <c r="F1193" s="6">
        <v>435.93481339504</v>
      </c>
      <c r="G1193" s="6">
        <v>4.5196352192451155</v>
      </c>
      <c r="H1193" s="6">
        <v>5733206.862657812</v>
      </c>
      <c r="I1193" s="6">
        <v>433.63420340602363</v>
      </c>
      <c r="J1193" s="6">
        <v>3.5091734502351217</v>
      </c>
      <c r="K1193" s="6"/>
      <c r="L1193" s="6"/>
      <c r="M1193" s="6"/>
      <c r="N1193" s="6">
        <f t="shared" ref="N1193:P1193" si="1196">IF(LEN($C1193)&gt;0,H1193-E1193,"")</f>
        <v>-67841.30973</v>
      </c>
      <c r="O1193" s="6">
        <f t="shared" si="1196"/>
        <v>-2.300609989</v>
      </c>
      <c r="P1193" s="6">
        <f t="shared" si="1196"/>
        <v>-1.010461769</v>
      </c>
      <c r="Q1193" s="6"/>
      <c r="R1193" s="6"/>
      <c r="S1193" s="6"/>
      <c r="T1193" s="6"/>
      <c r="U1193" s="6"/>
      <c r="V1193" s="6"/>
      <c r="W1193" s="6"/>
      <c r="X1193" s="6"/>
      <c r="Y1193" s="6"/>
      <c r="Z1193" s="6"/>
      <c r="AA1193" s="6"/>
      <c r="AB1193" s="6"/>
      <c r="AC1193" s="6"/>
      <c r="AD1193" s="6"/>
      <c r="AE1193" s="6"/>
      <c r="AF1193" s="6"/>
      <c r="AG1193" s="6"/>
    </row>
    <row r="1194" ht="14.25" customHeight="1">
      <c r="A1194" s="6"/>
      <c r="B1194" s="6"/>
      <c r="C1194" s="6">
        <v>1187.0</v>
      </c>
      <c r="D1194" s="6"/>
      <c r="E1194" s="6">
        <v>5737264.409280944</v>
      </c>
      <c r="F1194" s="6">
        <v>484.4157397997067</v>
      </c>
      <c r="G1194" s="6">
        <v>4.706552024511174</v>
      </c>
      <c r="H1194" s="6">
        <v>5655936.976798412</v>
      </c>
      <c r="I1194" s="6">
        <v>480.3044005916954</v>
      </c>
      <c r="J1194" s="6">
        <v>3.476996330601569</v>
      </c>
      <c r="K1194" s="6"/>
      <c r="L1194" s="6"/>
      <c r="M1194" s="6"/>
      <c r="N1194" s="6">
        <f t="shared" ref="N1194:P1194" si="1197">IF(LEN($C1194)&gt;0,H1194-E1194,"")</f>
        <v>-81327.43248</v>
      </c>
      <c r="O1194" s="6">
        <f t="shared" si="1197"/>
        <v>-4.111339208</v>
      </c>
      <c r="P1194" s="6">
        <f t="shared" si="1197"/>
        <v>-1.229555694</v>
      </c>
      <c r="Q1194" s="6"/>
      <c r="R1194" s="6"/>
      <c r="S1194" s="6"/>
      <c r="T1194" s="6"/>
      <c r="U1194" s="6"/>
      <c r="V1194" s="6"/>
      <c r="W1194" s="6"/>
      <c r="X1194" s="6"/>
      <c r="Y1194" s="6"/>
      <c r="Z1194" s="6"/>
      <c r="AA1194" s="6"/>
      <c r="AB1194" s="6"/>
      <c r="AC1194" s="6"/>
      <c r="AD1194" s="6"/>
      <c r="AE1194" s="6"/>
      <c r="AF1194" s="6"/>
      <c r="AG1194" s="6"/>
    </row>
    <row r="1195" ht="14.25" customHeight="1">
      <c r="A1195" s="6"/>
      <c r="B1195" s="6"/>
      <c r="C1195" s="6">
        <v>1188.0</v>
      </c>
      <c r="D1195" s="6"/>
      <c r="E1195" s="6">
        <v>9268554.160141686</v>
      </c>
      <c r="F1195" s="6">
        <v>480.80664257836065</v>
      </c>
      <c r="G1195" s="6">
        <v>4.288258608393276</v>
      </c>
      <c r="H1195" s="6">
        <v>9135145.121439576</v>
      </c>
      <c r="I1195" s="6">
        <v>476.63526185617604</v>
      </c>
      <c r="J1195" s="6">
        <v>2.9429926659546797</v>
      </c>
      <c r="K1195" s="6"/>
      <c r="L1195" s="6"/>
      <c r="M1195" s="6"/>
      <c r="N1195" s="6">
        <f t="shared" ref="N1195:P1195" si="1198">IF(LEN($C1195)&gt;0,H1195-E1195,"")</f>
        <v>-133409.0387</v>
      </c>
      <c r="O1195" s="6">
        <f t="shared" si="1198"/>
        <v>-4.171380722</v>
      </c>
      <c r="P1195" s="6">
        <f t="shared" si="1198"/>
        <v>-1.345265942</v>
      </c>
      <c r="Q1195" s="6"/>
      <c r="R1195" s="6"/>
      <c r="S1195" s="6"/>
      <c r="T1195" s="6"/>
      <c r="U1195" s="6"/>
      <c r="V1195" s="6"/>
      <c r="W1195" s="6"/>
      <c r="X1195" s="6"/>
      <c r="Y1195" s="6"/>
      <c r="Z1195" s="6"/>
      <c r="AA1195" s="6"/>
      <c r="AB1195" s="6"/>
      <c r="AC1195" s="6"/>
      <c r="AD1195" s="6"/>
      <c r="AE1195" s="6"/>
      <c r="AF1195" s="6"/>
      <c r="AG1195" s="6"/>
    </row>
    <row r="1196" ht="14.25" customHeight="1">
      <c r="A1196" s="6"/>
      <c r="B1196" s="6"/>
      <c r="C1196" s="6">
        <v>1189.0</v>
      </c>
      <c r="D1196" s="6"/>
      <c r="E1196" s="6">
        <v>8897190.697675874</v>
      </c>
      <c r="F1196" s="6">
        <v>469.03315827883716</v>
      </c>
      <c r="G1196" s="6">
        <v>4.865389459051</v>
      </c>
      <c r="H1196" s="6">
        <v>8836054.580691027</v>
      </c>
      <c r="I1196" s="6">
        <v>466.62494589447687</v>
      </c>
      <c r="J1196" s="6">
        <v>3.8700050391627867</v>
      </c>
      <c r="K1196" s="6"/>
      <c r="L1196" s="6"/>
      <c r="M1196" s="6"/>
      <c r="N1196" s="6">
        <f t="shared" ref="N1196:P1196" si="1199">IF(LEN($C1196)&gt;0,H1196-E1196,"")</f>
        <v>-61136.11698</v>
      </c>
      <c r="O1196" s="6">
        <f t="shared" si="1199"/>
        <v>-2.408212384</v>
      </c>
      <c r="P1196" s="6">
        <f t="shared" si="1199"/>
        <v>-0.9953844199</v>
      </c>
      <c r="Q1196" s="6"/>
      <c r="R1196" s="6"/>
      <c r="S1196" s="6"/>
      <c r="T1196" s="6"/>
      <c r="U1196" s="6"/>
      <c r="V1196" s="6"/>
      <c r="W1196" s="6"/>
      <c r="X1196" s="6"/>
      <c r="Y1196" s="6"/>
      <c r="Z1196" s="6"/>
      <c r="AA1196" s="6"/>
      <c r="AB1196" s="6"/>
      <c r="AC1196" s="6"/>
      <c r="AD1196" s="6"/>
      <c r="AE1196" s="6"/>
      <c r="AF1196" s="6"/>
      <c r="AG1196" s="6"/>
    </row>
    <row r="1197" ht="14.25" customHeight="1">
      <c r="A1197" s="6"/>
      <c r="B1197" s="6"/>
      <c r="C1197" s="6">
        <v>1190.0</v>
      </c>
      <c r="D1197" s="6"/>
      <c r="E1197" s="6">
        <v>6576951.885105771</v>
      </c>
      <c r="F1197" s="6">
        <v>502.2025262331268</v>
      </c>
      <c r="G1197" s="6">
        <v>5.280847853931309</v>
      </c>
      <c r="H1197" s="6">
        <v>6454295.296939868</v>
      </c>
      <c r="I1197" s="6">
        <v>495.7495223730444</v>
      </c>
      <c r="J1197" s="6">
        <v>3.8229684806689592</v>
      </c>
      <c r="K1197" s="6"/>
      <c r="L1197" s="6"/>
      <c r="M1197" s="6"/>
      <c r="N1197" s="6">
        <f t="shared" ref="N1197:P1197" si="1200">IF(LEN($C1197)&gt;0,H1197-E1197,"")</f>
        <v>-122656.5882</v>
      </c>
      <c r="O1197" s="6">
        <f t="shared" si="1200"/>
        <v>-6.45300386</v>
      </c>
      <c r="P1197" s="6">
        <f t="shared" si="1200"/>
        <v>-1.457879373</v>
      </c>
      <c r="Q1197" s="6"/>
      <c r="R1197" s="6"/>
      <c r="S1197" s="6"/>
      <c r="T1197" s="6"/>
      <c r="U1197" s="6"/>
      <c r="V1197" s="6"/>
      <c r="W1197" s="6"/>
      <c r="X1197" s="6"/>
      <c r="Y1197" s="6"/>
      <c r="Z1197" s="6"/>
      <c r="AA1197" s="6"/>
      <c r="AB1197" s="6"/>
      <c r="AC1197" s="6"/>
      <c r="AD1197" s="6"/>
      <c r="AE1197" s="6"/>
      <c r="AF1197" s="6"/>
      <c r="AG1197" s="6"/>
    </row>
    <row r="1198" ht="14.25" customHeight="1">
      <c r="A1198" s="6"/>
      <c r="B1198" s="6"/>
      <c r="C1198" s="6">
        <v>1191.0</v>
      </c>
      <c r="D1198" s="6"/>
      <c r="E1198" s="6">
        <v>6989622.174673622</v>
      </c>
      <c r="F1198" s="6">
        <v>438.5868962885282</v>
      </c>
      <c r="G1198" s="6">
        <v>4.51510716277587</v>
      </c>
      <c r="H1198" s="6">
        <v>6895648.906354301</v>
      </c>
      <c r="I1198" s="6">
        <v>435.002879393541</v>
      </c>
      <c r="J1198" s="6">
        <v>3.18462100524436</v>
      </c>
      <c r="K1198" s="6"/>
      <c r="L1198" s="6"/>
      <c r="M1198" s="6"/>
      <c r="N1198" s="6">
        <f t="shared" ref="N1198:P1198" si="1201">IF(LEN($C1198)&gt;0,H1198-E1198,"")</f>
        <v>-93973.26832</v>
      </c>
      <c r="O1198" s="6">
        <f t="shared" si="1201"/>
        <v>-3.584016895</v>
      </c>
      <c r="P1198" s="6">
        <f t="shared" si="1201"/>
        <v>-1.330486158</v>
      </c>
      <c r="Q1198" s="6"/>
      <c r="R1198" s="6"/>
      <c r="S1198" s="6"/>
      <c r="T1198" s="6"/>
      <c r="U1198" s="6"/>
      <c r="V1198" s="6"/>
      <c r="W1198" s="6"/>
      <c r="X1198" s="6"/>
      <c r="Y1198" s="6"/>
      <c r="Z1198" s="6"/>
      <c r="AA1198" s="6"/>
      <c r="AB1198" s="6"/>
      <c r="AC1198" s="6"/>
      <c r="AD1198" s="6"/>
      <c r="AE1198" s="6"/>
      <c r="AF1198" s="6"/>
      <c r="AG1198" s="6"/>
    </row>
    <row r="1199" ht="14.25" customHeight="1">
      <c r="A1199" s="6"/>
      <c r="B1199" s="6"/>
      <c r="C1199" s="6">
        <v>1192.0</v>
      </c>
      <c r="D1199" s="6"/>
      <c r="E1199" s="6">
        <v>5615897.227518428</v>
      </c>
      <c r="F1199" s="6">
        <v>442.116509191929</v>
      </c>
      <c r="G1199" s="6">
        <v>4.491235008107829</v>
      </c>
      <c r="H1199" s="6">
        <v>5507239.418653269</v>
      </c>
      <c r="I1199" s="6">
        <v>437.41831530615644</v>
      </c>
      <c r="J1199" s="6">
        <v>3.419112882656218</v>
      </c>
      <c r="K1199" s="6"/>
      <c r="L1199" s="6"/>
      <c r="M1199" s="6"/>
      <c r="N1199" s="6">
        <f t="shared" ref="N1199:P1199" si="1202">IF(LEN($C1199)&gt;0,H1199-E1199,"")</f>
        <v>-108657.8089</v>
      </c>
      <c r="O1199" s="6">
        <f t="shared" si="1202"/>
        <v>-4.698193886</v>
      </c>
      <c r="P1199" s="6">
        <f t="shared" si="1202"/>
        <v>-1.072122125</v>
      </c>
      <c r="Q1199" s="6"/>
      <c r="R1199" s="6"/>
      <c r="S1199" s="6"/>
      <c r="T1199" s="6"/>
      <c r="U1199" s="6"/>
      <c r="V1199" s="6"/>
      <c r="W1199" s="6"/>
      <c r="X1199" s="6"/>
      <c r="Y1199" s="6"/>
      <c r="Z1199" s="6"/>
      <c r="AA1199" s="6"/>
      <c r="AB1199" s="6"/>
      <c r="AC1199" s="6"/>
      <c r="AD1199" s="6"/>
      <c r="AE1199" s="6"/>
      <c r="AF1199" s="6"/>
      <c r="AG1199" s="6"/>
    </row>
    <row r="1200" ht="14.25" customHeight="1">
      <c r="A1200" s="6"/>
      <c r="B1200" s="6"/>
      <c r="C1200" s="6">
        <v>1193.0</v>
      </c>
      <c r="D1200" s="6"/>
      <c r="E1200" s="6">
        <v>7404537.156991253</v>
      </c>
      <c r="F1200" s="6">
        <v>476.40499445084555</v>
      </c>
      <c r="G1200" s="6">
        <v>5.565643750805014</v>
      </c>
      <c r="H1200" s="6">
        <v>7227078.572772653</v>
      </c>
      <c r="I1200" s="6">
        <v>468.7098405130765</v>
      </c>
      <c r="J1200" s="6">
        <v>3.604737242385079</v>
      </c>
      <c r="K1200" s="6"/>
      <c r="L1200" s="6"/>
      <c r="M1200" s="6"/>
      <c r="N1200" s="6">
        <f t="shared" ref="N1200:P1200" si="1203">IF(LEN($C1200)&gt;0,H1200-E1200,"")</f>
        <v>-177458.5842</v>
      </c>
      <c r="O1200" s="6">
        <f t="shared" si="1203"/>
        <v>-7.695153938</v>
      </c>
      <c r="P1200" s="6">
        <f t="shared" si="1203"/>
        <v>-1.960906508</v>
      </c>
      <c r="Q1200" s="6"/>
      <c r="R1200" s="6"/>
      <c r="S1200" s="6"/>
      <c r="T1200" s="6"/>
      <c r="U1200" s="6"/>
      <c r="V1200" s="6"/>
      <c r="W1200" s="6"/>
      <c r="X1200" s="6"/>
      <c r="Y1200" s="6"/>
      <c r="Z1200" s="6"/>
      <c r="AA1200" s="6"/>
      <c r="AB1200" s="6"/>
      <c r="AC1200" s="6"/>
      <c r="AD1200" s="6"/>
      <c r="AE1200" s="6"/>
      <c r="AF1200" s="6"/>
      <c r="AG1200" s="6"/>
    </row>
    <row r="1201" ht="14.25" customHeight="1">
      <c r="A1201" s="6"/>
      <c r="B1201" s="6"/>
      <c r="C1201" s="6">
        <v>1194.0</v>
      </c>
      <c r="D1201" s="6"/>
      <c r="E1201" s="6">
        <v>8159830.191792694</v>
      </c>
      <c r="F1201" s="6">
        <v>472.8716926470683</v>
      </c>
      <c r="G1201" s="6">
        <v>4.170246358686469</v>
      </c>
      <c r="H1201" s="6">
        <v>8025574.217915965</v>
      </c>
      <c r="I1201" s="6">
        <v>466.97437474614054</v>
      </c>
      <c r="J1201" s="6">
        <v>3.265249368757364</v>
      </c>
      <c r="K1201" s="6"/>
      <c r="L1201" s="6"/>
      <c r="M1201" s="6"/>
      <c r="N1201" s="6">
        <f t="shared" ref="N1201:P1201" si="1204">IF(LEN($C1201)&gt;0,H1201-E1201,"")</f>
        <v>-134255.9739</v>
      </c>
      <c r="O1201" s="6">
        <f t="shared" si="1204"/>
        <v>-5.897317901</v>
      </c>
      <c r="P1201" s="6">
        <f t="shared" si="1204"/>
        <v>-0.9049969899</v>
      </c>
      <c r="Q1201" s="6"/>
      <c r="R1201" s="6"/>
      <c r="S1201" s="6"/>
      <c r="T1201" s="6"/>
      <c r="U1201" s="6"/>
      <c r="V1201" s="6"/>
      <c r="W1201" s="6"/>
      <c r="X1201" s="6"/>
      <c r="Y1201" s="6"/>
      <c r="Z1201" s="6"/>
      <c r="AA1201" s="6"/>
      <c r="AB1201" s="6"/>
      <c r="AC1201" s="6"/>
      <c r="AD1201" s="6"/>
      <c r="AE1201" s="6"/>
      <c r="AF1201" s="6"/>
      <c r="AG1201" s="6"/>
    </row>
    <row r="1202" ht="14.25" customHeight="1">
      <c r="A1202" s="6"/>
      <c r="B1202" s="6"/>
      <c r="C1202" s="6">
        <v>1195.0</v>
      </c>
      <c r="D1202" s="6"/>
      <c r="E1202" s="6">
        <v>8253825.732977759</v>
      </c>
      <c r="F1202" s="6">
        <v>473.13670355940945</v>
      </c>
      <c r="G1202" s="6">
        <v>5.2657824948842995</v>
      </c>
      <c r="H1202" s="6">
        <v>8147197.275483574</v>
      </c>
      <c r="I1202" s="6">
        <v>469.1860323561664</v>
      </c>
      <c r="J1202" s="6">
        <v>3.9410879135509136</v>
      </c>
      <c r="K1202" s="6"/>
      <c r="L1202" s="6"/>
      <c r="M1202" s="6"/>
      <c r="N1202" s="6">
        <f t="shared" ref="N1202:P1202" si="1205">IF(LEN($C1202)&gt;0,H1202-E1202,"")</f>
        <v>-106628.4575</v>
      </c>
      <c r="O1202" s="6">
        <f t="shared" si="1205"/>
        <v>-3.950671203</v>
      </c>
      <c r="P1202" s="6">
        <f t="shared" si="1205"/>
        <v>-1.324694581</v>
      </c>
      <c r="Q1202" s="6"/>
      <c r="R1202" s="6"/>
      <c r="S1202" s="6"/>
      <c r="T1202" s="6"/>
      <c r="U1202" s="6"/>
      <c r="V1202" s="6"/>
      <c r="W1202" s="6"/>
      <c r="X1202" s="6"/>
      <c r="Y1202" s="6"/>
      <c r="Z1202" s="6"/>
      <c r="AA1202" s="6"/>
      <c r="AB1202" s="6"/>
      <c r="AC1202" s="6"/>
      <c r="AD1202" s="6"/>
      <c r="AE1202" s="6"/>
      <c r="AF1202" s="6"/>
      <c r="AG1202" s="6"/>
    </row>
    <row r="1203" ht="14.25" customHeight="1">
      <c r="A1203" s="6"/>
      <c r="B1203" s="6"/>
      <c r="C1203" s="6">
        <v>1196.0</v>
      </c>
      <c r="D1203" s="6"/>
      <c r="E1203" s="6">
        <v>7348908.587048991</v>
      </c>
      <c r="F1203" s="6">
        <v>489.71855291724563</v>
      </c>
      <c r="G1203" s="6">
        <v>5.3802434919196624</v>
      </c>
      <c r="H1203" s="6">
        <v>7263399.447127191</v>
      </c>
      <c r="I1203" s="6">
        <v>487.37157441557775</v>
      </c>
      <c r="J1203" s="6">
        <v>4.041469376872075</v>
      </c>
      <c r="K1203" s="6"/>
      <c r="L1203" s="6"/>
      <c r="M1203" s="6"/>
      <c r="N1203" s="6">
        <f t="shared" ref="N1203:P1203" si="1206">IF(LEN($C1203)&gt;0,H1203-E1203,"")</f>
        <v>-85509.13992</v>
      </c>
      <c r="O1203" s="6">
        <f t="shared" si="1206"/>
        <v>-2.346978502</v>
      </c>
      <c r="P1203" s="6">
        <f t="shared" si="1206"/>
        <v>-1.338774115</v>
      </c>
      <c r="Q1203" s="6"/>
      <c r="R1203" s="6"/>
      <c r="S1203" s="6"/>
      <c r="T1203" s="6"/>
      <c r="U1203" s="6"/>
      <c r="V1203" s="6"/>
      <c r="W1203" s="6"/>
      <c r="X1203" s="6"/>
      <c r="Y1203" s="6"/>
      <c r="Z1203" s="6"/>
      <c r="AA1203" s="6"/>
      <c r="AB1203" s="6"/>
      <c r="AC1203" s="6"/>
      <c r="AD1203" s="6"/>
      <c r="AE1203" s="6"/>
      <c r="AF1203" s="6"/>
      <c r="AG1203" s="6"/>
    </row>
    <row r="1204" ht="14.25" customHeight="1">
      <c r="A1204" s="6"/>
      <c r="B1204" s="6"/>
      <c r="C1204" s="6">
        <v>1197.0</v>
      </c>
      <c r="D1204" s="6"/>
      <c r="E1204" s="6">
        <v>8725609.81559087</v>
      </c>
      <c r="F1204" s="6">
        <v>492.13683359469167</v>
      </c>
      <c r="G1204" s="6">
        <v>5.757244845663143</v>
      </c>
      <c r="H1204" s="6">
        <v>8604855.361680403</v>
      </c>
      <c r="I1204" s="6">
        <v>487.44700089490084</v>
      </c>
      <c r="J1204" s="6">
        <v>4.712379669170894</v>
      </c>
      <c r="K1204" s="6"/>
      <c r="L1204" s="6"/>
      <c r="M1204" s="6"/>
      <c r="N1204" s="6">
        <f t="shared" ref="N1204:P1204" si="1207">IF(LEN($C1204)&gt;0,H1204-E1204,"")</f>
        <v>-120754.4539</v>
      </c>
      <c r="O1204" s="6">
        <f t="shared" si="1207"/>
        <v>-4.6898327</v>
      </c>
      <c r="P1204" s="6">
        <f t="shared" si="1207"/>
        <v>-1.044865176</v>
      </c>
      <c r="Q1204" s="6"/>
      <c r="R1204" s="6"/>
      <c r="S1204" s="6"/>
      <c r="T1204" s="6"/>
      <c r="U1204" s="6"/>
      <c r="V1204" s="6"/>
      <c r="W1204" s="6"/>
      <c r="X1204" s="6"/>
      <c r="Y1204" s="6"/>
      <c r="Z1204" s="6"/>
      <c r="AA1204" s="6"/>
      <c r="AB1204" s="6"/>
      <c r="AC1204" s="6"/>
      <c r="AD1204" s="6"/>
      <c r="AE1204" s="6"/>
      <c r="AF1204" s="6"/>
      <c r="AG1204" s="6"/>
    </row>
    <row r="1205" ht="14.25" customHeight="1">
      <c r="A1205" s="6"/>
      <c r="B1205" s="6"/>
      <c r="C1205" s="6">
        <v>1198.0</v>
      </c>
      <c r="D1205" s="6"/>
      <c r="E1205" s="6">
        <v>7372419.251582361</v>
      </c>
      <c r="F1205" s="6">
        <v>442.1934495166676</v>
      </c>
      <c r="G1205" s="6">
        <v>5.652421940950219</v>
      </c>
      <c r="H1205" s="6">
        <v>7258984.423198488</v>
      </c>
      <c r="I1205" s="6">
        <v>438.0659971882914</v>
      </c>
      <c r="J1205" s="6">
        <v>4.171954319265855</v>
      </c>
      <c r="K1205" s="6"/>
      <c r="L1205" s="6"/>
      <c r="M1205" s="6"/>
      <c r="N1205" s="6">
        <f t="shared" ref="N1205:P1205" si="1208">IF(LEN($C1205)&gt;0,H1205-E1205,"")</f>
        <v>-113434.8284</v>
      </c>
      <c r="O1205" s="6">
        <f t="shared" si="1208"/>
        <v>-4.127452328</v>
      </c>
      <c r="P1205" s="6">
        <f t="shared" si="1208"/>
        <v>-1.480467622</v>
      </c>
      <c r="Q1205" s="6"/>
      <c r="R1205" s="6"/>
      <c r="S1205" s="6"/>
      <c r="T1205" s="6"/>
      <c r="U1205" s="6"/>
      <c r="V1205" s="6"/>
      <c r="W1205" s="6"/>
      <c r="X1205" s="6"/>
      <c r="Y1205" s="6"/>
      <c r="Z1205" s="6"/>
      <c r="AA1205" s="6"/>
      <c r="AB1205" s="6"/>
      <c r="AC1205" s="6"/>
      <c r="AD1205" s="6"/>
      <c r="AE1205" s="6"/>
      <c r="AF1205" s="6"/>
      <c r="AG1205" s="6"/>
    </row>
    <row r="1206" ht="14.25" customHeight="1">
      <c r="A1206" s="6"/>
      <c r="B1206" s="6"/>
      <c r="C1206" s="6">
        <v>1199.0</v>
      </c>
      <c r="D1206" s="6"/>
      <c r="E1206" s="6">
        <v>8619448.30396779</v>
      </c>
      <c r="F1206" s="6">
        <v>441.84921621468993</v>
      </c>
      <c r="G1206" s="6">
        <v>4.649803280932217</v>
      </c>
      <c r="H1206" s="6">
        <v>8510401.513056476</v>
      </c>
      <c r="I1206" s="6">
        <v>437.59832720613485</v>
      </c>
      <c r="J1206" s="6">
        <v>3.4645076019498875</v>
      </c>
      <c r="K1206" s="6"/>
      <c r="L1206" s="6"/>
      <c r="M1206" s="6"/>
      <c r="N1206" s="6">
        <f t="shared" ref="N1206:P1206" si="1209">IF(LEN($C1206)&gt;0,H1206-E1206,"")</f>
        <v>-109046.7909</v>
      </c>
      <c r="O1206" s="6">
        <f t="shared" si="1209"/>
        <v>-4.250889009</v>
      </c>
      <c r="P1206" s="6">
        <f t="shared" si="1209"/>
        <v>-1.185295679</v>
      </c>
      <c r="Q1206" s="6"/>
      <c r="R1206" s="6"/>
      <c r="S1206" s="6"/>
      <c r="T1206" s="6"/>
      <c r="U1206" s="6"/>
      <c r="V1206" s="6"/>
      <c r="W1206" s="6"/>
      <c r="X1206" s="6"/>
      <c r="Y1206" s="6"/>
      <c r="Z1206" s="6"/>
      <c r="AA1206" s="6"/>
      <c r="AB1206" s="6"/>
      <c r="AC1206" s="6"/>
      <c r="AD1206" s="6"/>
      <c r="AE1206" s="6"/>
      <c r="AF1206" s="6"/>
      <c r="AG1206" s="6"/>
    </row>
    <row r="1207" ht="14.25" customHeight="1">
      <c r="A1207" s="6"/>
      <c r="B1207" s="6"/>
      <c r="C1207" s="6">
        <v>1200.0</v>
      </c>
      <c r="D1207" s="6"/>
      <c r="E1207" s="6">
        <v>8125113.386826989</v>
      </c>
      <c r="F1207" s="6">
        <v>472.0740810925788</v>
      </c>
      <c r="G1207" s="6">
        <v>3.8798439701077143</v>
      </c>
      <c r="H1207" s="6">
        <v>8059326.396798763</v>
      </c>
      <c r="I1207" s="6">
        <v>470.40762643658525</v>
      </c>
      <c r="J1207" s="6">
        <v>3.135365366843761</v>
      </c>
      <c r="K1207" s="6"/>
      <c r="L1207" s="6"/>
      <c r="M1207" s="6"/>
      <c r="N1207" s="6">
        <f t="shared" ref="N1207:P1207" si="1210">IF(LEN($C1207)&gt;0,H1207-E1207,"")</f>
        <v>-65786.99003</v>
      </c>
      <c r="O1207" s="6">
        <f t="shared" si="1210"/>
        <v>-1.666454656</v>
      </c>
      <c r="P1207" s="6">
        <f t="shared" si="1210"/>
        <v>-0.7444786033</v>
      </c>
      <c r="Q1207" s="6"/>
      <c r="R1207" s="6"/>
      <c r="S1207" s="6"/>
      <c r="T1207" s="6"/>
      <c r="U1207" s="6"/>
      <c r="V1207" s="6"/>
      <c r="W1207" s="6"/>
      <c r="X1207" s="6"/>
      <c r="Y1207" s="6"/>
      <c r="Z1207" s="6"/>
      <c r="AA1207" s="6"/>
      <c r="AB1207" s="6"/>
      <c r="AC1207" s="6"/>
      <c r="AD1207" s="6"/>
      <c r="AE1207" s="6"/>
      <c r="AF1207" s="6"/>
      <c r="AG1207" s="6"/>
    </row>
    <row r="1208" ht="14.25" customHeight="1">
      <c r="A1208" s="6"/>
      <c r="B1208" s="6"/>
      <c r="C1208" s="6">
        <v>1201.0</v>
      </c>
      <c r="D1208" s="6"/>
      <c r="E1208" s="6">
        <v>5445788.19508699</v>
      </c>
      <c r="F1208" s="6">
        <v>492.0335923530795</v>
      </c>
      <c r="G1208" s="6">
        <v>6.045123240420178</v>
      </c>
      <c r="H1208" s="6">
        <v>5385609.765267052</v>
      </c>
      <c r="I1208" s="6">
        <v>490.29575007907465</v>
      </c>
      <c r="J1208" s="6">
        <v>4.649897353410395</v>
      </c>
      <c r="K1208" s="6"/>
      <c r="L1208" s="6"/>
      <c r="M1208" s="6"/>
      <c r="N1208" s="6">
        <f t="shared" ref="N1208:P1208" si="1211">IF(LEN($C1208)&gt;0,H1208-E1208,"")</f>
        <v>-60178.42982</v>
      </c>
      <c r="O1208" s="6">
        <f t="shared" si="1211"/>
        <v>-1.737842274</v>
      </c>
      <c r="P1208" s="6">
        <f t="shared" si="1211"/>
        <v>-1.395225887</v>
      </c>
      <c r="Q1208" s="6"/>
      <c r="R1208" s="6"/>
      <c r="S1208" s="6"/>
      <c r="T1208" s="6"/>
      <c r="U1208" s="6"/>
      <c r="V1208" s="6"/>
      <c r="W1208" s="6"/>
      <c r="X1208" s="6"/>
      <c r="Y1208" s="6"/>
      <c r="Z1208" s="6"/>
      <c r="AA1208" s="6"/>
      <c r="AB1208" s="6"/>
      <c r="AC1208" s="6"/>
      <c r="AD1208" s="6"/>
      <c r="AE1208" s="6"/>
      <c r="AF1208" s="6"/>
      <c r="AG1208" s="6"/>
    </row>
    <row r="1209" ht="14.25" customHeight="1">
      <c r="A1209" s="6"/>
      <c r="B1209" s="6"/>
      <c r="C1209" s="6">
        <v>1202.0</v>
      </c>
      <c r="D1209" s="6"/>
      <c r="E1209" s="6">
        <v>8478478.494599866</v>
      </c>
      <c r="F1209" s="6">
        <v>487.3379771465278</v>
      </c>
      <c r="G1209" s="6">
        <v>5.399068217352017</v>
      </c>
      <c r="H1209" s="6">
        <v>8386245.408631651</v>
      </c>
      <c r="I1209" s="6">
        <v>484.084457253408</v>
      </c>
      <c r="J1209" s="6">
        <v>4.071678237192588</v>
      </c>
      <c r="K1209" s="6"/>
      <c r="L1209" s="6"/>
      <c r="M1209" s="6"/>
      <c r="N1209" s="6">
        <f t="shared" ref="N1209:P1209" si="1212">IF(LEN($C1209)&gt;0,H1209-E1209,"")</f>
        <v>-92233.08597</v>
      </c>
      <c r="O1209" s="6">
        <f t="shared" si="1212"/>
        <v>-3.253519893</v>
      </c>
      <c r="P1209" s="6">
        <f t="shared" si="1212"/>
        <v>-1.32738998</v>
      </c>
      <c r="Q1209" s="6"/>
      <c r="R1209" s="6"/>
      <c r="S1209" s="6"/>
      <c r="T1209" s="6"/>
      <c r="U1209" s="6"/>
      <c r="V1209" s="6"/>
      <c r="W1209" s="6"/>
      <c r="X1209" s="6"/>
      <c r="Y1209" s="6"/>
      <c r="Z1209" s="6"/>
      <c r="AA1209" s="6"/>
      <c r="AB1209" s="6"/>
      <c r="AC1209" s="6"/>
      <c r="AD1209" s="6"/>
      <c r="AE1209" s="6"/>
      <c r="AF1209" s="6"/>
      <c r="AG1209" s="6"/>
    </row>
    <row r="1210" ht="14.25" customHeight="1">
      <c r="A1210" s="6"/>
      <c r="B1210" s="6"/>
      <c r="C1210" s="6">
        <v>1203.0</v>
      </c>
      <c r="D1210" s="6"/>
      <c r="E1210" s="6">
        <v>7418569.625969627</v>
      </c>
      <c r="F1210" s="6">
        <v>452.08104511232995</v>
      </c>
      <c r="G1210" s="6">
        <v>6.289482514632636</v>
      </c>
      <c r="H1210" s="6">
        <v>7335553.921563359</v>
      </c>
      <c r="I1210" s="6">
        <v>448.52868785481996</v>
      </c>
      <c r="J1210" s="6">
        <v>4.978604507144275</v>
      </c>
      <c r="K1210" s="6"/>
      <c r="L1210" s="6"/>
      <c r="M1210" s="6"/>
      <c r="N1210" s="6">
        <f t="shared" ref="N1210:P1210" si="1213">IF(LEN($C1210)&gt;0,H1210-E1210,"")</f>
        <v>-83015.70441</v>
      </c>
      <c r="O1210" s="6">
        <f t="shared" si="1213"/>
        <v>-3.552357258</v>
      </c>
      <c r="P1210" s="6">
        <f t="shared" si="1213"/>
        <v>-1.310878007</v>
      </c>
      <c r="Q1210" s="6"/>
      <c r="R1210" s="6"/>
      <c r="S1210" s="6"/>
      <c r="T1210" s="6"/>
      <c r="U1210" s="6"/>
      <c r="V1210" s="6"/>
      <c r="W1210" s="6"/>
      <c r="X1210" s="6"/>
      <c r="Y1210" s="6"/>
      <c r="Z1210" s="6"/>
      <c r="AA1210" s="6"/>
      <c r="AB1210" s="6"/>
      <c r="AC1210" s="6"/>
      <c r="AD1210" s="6"/>
      <c r="AE1210" s="6"/>
      <c r="AF1210" s="6"/>
      <c r="AG1210" s="6"/>
    </row>
    <row r="1211" ht="14.25" customHeight="1">
      <c r="A1211" s="6"/>
      <c r="B1211" s="6"/>
      <c r="C1211" s="6">
        <v>1204.0</v>
      </c>
      <c r="D1211" s="6"/>
      <c r="E1211" s="6">
        <v>8467018.681069504</v>
      </c>
      <c r="F1211" s="6">
        <v>438.8472918254161</v>
      </c>
      <c r="G1211" s="6">
        <v>5.311608940497151</v>
      </c>
      <c r="H1211" s="6">
        <v>8340321.403066529</v>
      </c>
      <c r="I1211" s="6">
        <v>434.4725339527464</v>
      </c>
      <c r="J1211" s="6">
        <v>4.001663315228068</v>
      </c>
      <c r="K1211" s="6"/>
      <c r="L1211" s="6"/>
      <c r="M1211" s="6"/>
      <c r="N1211" s="6">
        <f t="shared" ref="N1211:P1211" si="1214">IF(LEN($C1211)&gt;0,H1211-E1211,"")</f>
        <v>-126697.278</v>
      </c>
      <c r="O1211" s="6">
        <f t="shared" si="1214"/>
        <v>-4.374757873</v>
      </c>
      <c r="P1211" s="6">
        <f t="shared" si="1214"/>
        <v>-1.309945625</v>
      </c>
      <c r="Q1211" s="6"/>
      <c r="R1211" s="6"/>
      <c r="S1211" s="6"/>
      <c r="T1211" s="6"/>
      <c r="U1211" s="6"/>
      <c r="V1211" s="6"/>
      <c r="W1211" s="6"/>
      <c r="X1211" s="6"/>
      <c r="Y1211" s="6"/>
      <c r="Z1211" s="6"/>
      <c r="AA1211" s="6"/>
      <c r="AB1211" s="6"/>
      <c r="AC1211" s="6"/>
      <c r="AD1211" s="6"/>
      <c r="AE1211" s="6"/>
      <c r="AF1211" s="6"/>
      <c r="AG1211" s="6"/>
    </row>
    <row r="1212" ht="14.25" customHeight="1">
      <c r="A1212" s="6"/>
      <c r="B1212" s="6"/>
      <c r="C1212" s="6">
        <v>1205.0</v>
      </c>
      <c r="D1212" s="6"/>
      <c r="E1212" s="6">
        <v>8829995.187163064</v>
      </c>
      <c r="F1212" s="6">
        <v>489.8192743799509</v>
      </c>
      <c r="G1212" s="6">
        <v>4.055510976427366</v>
      </c>
      <c r="H1212" s="6">
        <v>8663422.899788897</v>
      </c>
      <c r="I1212" s="6">
        <v>482.4049279335242</v>
      </c>
      <c r="J1212" s="6">
        <v>2.674301015024842</v>
      </c>
      <c r="K1212" s="6"/>
      <c r="L1212" s="6"/>
      <c r="M1212" s="6"/>
      <c r="N1212" s="6">
        <f t="shared" ref="N1212:P1212" si="1215">IF(LEN($C1212)&gt;0,H1212-E1212,"")</f>
        <v>-166572.2874</v>
      </c>
      <c r="O1212" s="6">
        <f t="shared" si="1215"/>
        <v>-7.414346446</v>
      </c>
      <c r="P1212" s="6">
        <f t="shared" si="1215"/>
        <v>-1.381209961</v>
      </c>
      <c r="Q1212" s="6"/>
      <c r="R1212" s="6"/>
      <c r="S1212" s="6"/>
      <c r="T1212" s="6"/>
      <c r="U1212" s="6"/>
      <c r="V1212" s="6"/>
      <c r="W1212" s="6"/>
      <c r="X1212" s="6"/>
      <c r="Y1212" s="6"/>
      <c r="Z1212" s="6"/>
      <c r="AA1212" s="6"/>
      <c r="AB1212" s="6"/>
      <c r="AC1212" s="6"/>
      <c r="AD1212" s="6"/>
      <c r="AE1212" s="6"/>
      <c r="AF1212" s="6"/>
      <c r="AG1212" s="6"/>
    </row>
    <row r="1213" ht="14.25" customHeight="1">
      <c r="A1213" s="6"/>
      <c r="B1213" s="6"/>
      <c r="C1213" s="6">
        <v>1206.0</v>
      </c>
      <c r="D1213" s="6"/>
      <c r="E1213" s="6">
        <v>6712125.246586797</v>
      </c>
      <c r="F1213" s="6">
        <v>447.77726567953283</v>
      </c>
      <c r="G1213" s="6">
        <v>4.961524887389594</v>
      </c>
      <c r="H1213" s="6">
        <v>6603491.982816851</v>
      </c>
      <c r="I1213" s="6">
        <v>444.44275069506284</v>
      </c>
      <c r="J1213" s="6">
        <v>3.4824143193944836</v>
      </c>
      <c r="K1213" s="6"/>
      <c r="L1213" s="6"/>
      <c r="M1213" s="6"/>
      <c r="N1213" s="6">
        <f t="shared" ref="N1213:P1213" si="1216">IF(LEN($C1213)&gt;0,H1213-E1213,"")</f>
        <v>-108633.2638</v>
      </c>
      <c r="O1213" s="6">
        <f t="shared" si="1216"/>
        <v>-3.334514984</v>
      </c>
      <c r="P1213" s="6">
        <f t="shared" si="1216"/>
        <v>-1.479110568</v>
      </c>
      <c r="Q1213" s="6"/>
      <c r="R1213" s="6"/>
      <c r="S1213" s="6"/>
      <c r="T1213" s="6"/>
      <c r="U1213" s="6"/>
      <c r="V1213" s="6"/>
      <c r="W1213" s="6"/>
      <c r="X1213" s="6"/>
      <c r="Y1213" s="6"/>
      <c r="Z1213" s="6"/>
      <c r="AA1213" s="6"/>
      <c r="AB1213" s="6"/>
      <c r="AC1213" s="6"/>
      <c r="AD1213" s="6"/>
      <c r="AE1213" s="6"/>
      <c r="AF1213" s="6"/>
      <c r="AG1213" s="6"/>
    </row>
    <row r="1214" ht="14.25" customHeight="1">
      <c r="A1214" s="6"/>
      <c r="B1214" s="6"/>
      <c r="C1214" s="6">
        <v>1207.0</v>
      </c>
      <c r="D1214" s="6"/>
      <c r="E1214" s="6">
        <v>7261143.237787952</v>
      </c>
      <c r="F1214" s="6">
        <v>442.6712822259295</v>
      </c>
      <c r="G1214" s="6">
        <v>5.335675666486578</v>
      </c>
      <c r="H1214" s="6">
        <v>7122667.976746563</v>
      </c>
      <c r="I1214" s="6">
        <v>438.0476288054737</v>
      </c>
      <c r="J1214" s="6">
        <v>3.496005414358552</v>
      </c>
      <c r="K1214" s="6"/>
      <c r="L1214" s="6"/>
      <c r="M1214" s="6"/>
      <c r="N1214" s="6">
        <f t="shared" ref="N1214:P1214" si="1217">IF(LEN($C1214)&gt;0,H1214-E1214,"")</f>
        <v>-138475.261</v>
      </c>
      <c r="O1214" s="6">
        <f t="shared" si="1217"/>
        <v>-4.62365342</v>
      </c>
      <c r="P1214" s="6">
        <f t="shared" si="1217"/>
        <v>-1.839670252</v>
      </c>
      <c r="Q1214" s="6"/>
      <c r="R1214" s="6"/>
      <c r="S1214" s="6"/>
      <c r="T1214" s="6"/>
      <c r="U1214" s="6"/>
      <c r="V1214" s="6"/>
      <c r="W1214" s="6"/>
      <c r="X1214" s="6"/>
      <c r="Y1214" s="6"/>
      <c r="Z1214" s="6"/>
      <c r="AA1214" s="6"/>
      <c r="AB1214" s="6"/>
      <c r="AC1214" s="6"/>
      <c r="AD1214" s="6"/>
      <c r="AE1214" s="6"/>
      <c r="AF1214" s="6"/>
      <c r="AG1214" s="6"/>
    </row>
    <row r="1215" ht="14.25" customHeight="1">
      <c r="A1215" s="6"/>
      <c r="B1215" s="6"/>
      <c r="C1215" s="6">
        <v>1208.0</v>
      </c>
      <c r="D1215" s="6"/>
      <c r="E1215" s="6">
        <v>8479353.629592637</v>
      </c>
      <c r="F1215" s="6">
        <v>459.7819065629663</v>
      </c>
      <c r="G1215" s="6">
        <v>4.238742291167299</v>
      </c>
      <c r="H1215" s="6">
        <v>8358441.401845124</v>
      </c>
      <c r="I1215" s="6">
        <v>454.18661940000317</v>
      </c>
      <c r="J1215" s="6">
        <v>2.761952091016512</v>
      </c>
      <c r="K1215" s="6"/>
      <c r="L1215" s="6"/>
      <c r="M1215" s="6"/>
      <c r="N1215" s="6">
        <f t="shared" ref="N1215:P1215" si="1218">IF(LEN($C1215)&gt;0,H1215-E1215,"")</f>
        <v>-120912.2277</v>
      </c>
      <c r="O1215" s="6">
        <f t="shared" si="1218"/>
        <v>-5.595287163</v>
      </c>
      <c r="P1215" s="6">
        <f t="shared" si="1218"/>
        <v>-1.4767902</v>
      </c>
      <c r="Q1215" s="6"/>
      <c r="R1215" s="6"/>
      <c r="S1215" s="6"/>
      <c r="T1215" s="6"/>
      <c r="U1215" s="6"/>
      <c r="V1215" s="6"/>
      <c r="W1215" s="6"/>
      <c r="X1215" s="6"/>
      <c r="Y1215" s="6"/>
      <c r="Z1215" s="6"/>
      <c r="AA1215" s="6"/>
      <c r="AB1215" s="6"/>
      <c r="AC1215" s="6"/>
      <c r="AD1215" s="6"/>
      <c r="AE1215" s="6"/>
      <c r="AF1215" s="6"/>
      <c r="AG1215" s="6"/>
    </row>
    <row r="1216" ht="14.25" customHeight="1">
      <c r="A1216" s="6"/>
      <c r="B1216" s="6"/>
      <c r="C1216" s="6">
        <v>1209.0</v>
      </c>
      <c r="D1216" s="6"/>
      <c r="E1216" s="6">
        <v>1.0006046080579573E7</v>
      </c>
      <c r="F1216" s="6">
        <v>496.35773116972547</v>
      </c>
      <c r="G1216" s="6">
        <v>4.243712478342573</v>
      </c>
      <c r="H1216" s="6">
        <v>9848799.866838887</v>
      </c>
      <c r="I1216" s="6">
        <v>490.1212546867991</v>
      </c>
      <c r="J1216" s="6">
        <v>2.61320215895062</v>
      </c>
      <c r="K1216" s="6"/>
      <c r="L1216" s="6"/>
      <c r="M1216" s="6"/>
      <c r="N1216" s="6">
        <f t="shared" ref="N1216:P1216" si="1219">IF(LEN($C1216)&gt;0,H1216-E1216,"")</f>
        <v>-157246.2137</v>
      </c>
      <c r="O1216" s="6">
        <f t="shared" si="1219"/>
        <v>-6.236476483</v>
      </c>
      <c r="P1216" s="6">
        <f t="shared" si="1219"/>
        <v>-1.630510319</v>
      </c>
      <c r="Q1216" s="6"/>
      <c r="R1216" s="6"/>
      <c r="S1216" s="6"/>
      <c r="T1216" s="6"/>
      <c r="U1216" s="6"/>
      <c r="V1216" s="6"/>
      <c r="W1216" s="6"/>
      <c r="X1216" s="6"/>
      <c r="Y1216" s="6"/>
      <c r="Z1216" s="6"/>
      <c r="AA1216" s="6"/>
      <c r="AB1216" s="6"/>
      <c r="AC1216" s="6"/>
      <c r="AD1216" s="6"/>
      <c r="AE1216" s="6"/>
      <c r="AF1216" s="6"/>
      <c r="AG1216" s="6"/>
    </row>
    <row r="1217" ht="14.25" customHeight="1">
      <c r="A1217" s="6"/>
      <c r="B1217" s="6"/>
      <c r="C1217" s="6">
        <v>1210.0</v>
      </c>
      <c r="D1217" s="6"/>
      <c r="E1217" s="6">
        <v>7077005.810676302</v>
      </c>
      <c r="F1217" s="6">
        <v>500.09704877385195</v>
      </c>
      <c r="G1217" s="6">
        <v>4.945135674233848</v>
      </c>
      <c r="H1217" s="6">
        <v>7047633.708153231</v>
      </c>
      <c r="I1217" s="6">
        <v>499.01409709615507</v>
      </c>
      <c r="J1217" s="6">
        <v>4.2662193460432425</v>
      </c>
      <c r="K1217" s="6"/>
      <c r="L1217" s="6"/>
      <c r="M1217" s="6"/>
      <c r="N1217" s="6">
        <f t="shared" ref="N1217:P1217" si="1220">IF(LEN($C1217)&gt;0,H1217-E1217,"")</f>
        <v>-29372.10252</v>
      </c>
      <c r="O1217" s="6">
        <f t="shared" si="1220"/>
        <v>-1.082951678</v>
      </c>
      <c r="P1217" s="6">
        <f t="shared" si="1220"/>
        <v>-0.6789163282</v>
      </c>
      <c r="Q1217" s="6"/>
      <c r="R1217" s="6"/>
      <c r="S1217" s="6"/>
      <c r="T1217" s="6"/>
      <c r="U1217" s="6"/>
      <c r="V1217" s="6"/>
      <c r="W1217" s="6"/>
      <c r="X1217" s="6"/>
      <c r="Y1217" s="6"/>
      <c r="Z1217" s="6"/>
      <c r="AA1217" s="6"/>
      <c r="AB1217" s="6"/>
      <c r="AC1217" s="6"/>
      <c r="AD1217" s="6"/>
      <c r="AE1217" s="6"/>
      <c r="AF1217" s="6"/>
      <c r="AG1217" s="6"/>
    </row>
    <row r="1218" ht="14.25" customHeight="1">
      <c r="A1218" s="6"/>
      <c r="B1218" s="6"/>
      <c r="C1218" s="6">
        <v>1211.0</v>
      </c>
      <c r="D1218" s="6"/>
      <c r="E1218" s="6">
        <v>9525080.473654563</v>
      </c>
      <c r="F1218" s="6">
        <v>475.9680204413845</v>
      </c>
      <c r="G1218" s="6">
        <v>4.50562044326109</v>
      </c>
      <c r="H1218" s="6">
        <v>9396507.611635363</v>
      </c>
      <c r="I1218" s="6">
        <v>470.03231319684426</v>
      </c>
      <c r="J1218" s="6">
        <v>3.305242328106875</v>
      </c>
      <c r="K1218" s="6"/>
      <c r="L1218" s="6"/>
      <c r="M1218" s="6"/>
      <c r="N1218" s="6">
        <f t="shared" ref="N1218:P1218" si="1221">IF(LEN($C1218)&gt;0,H1218-E1218,"")</f>
        <v>-128572.862</v>
      </c>
      <c r="O1218" s="6">
        <f t="shared" si="1221"/>
        <v>-5.935707245</v>
      </c>
      <c r="P1218" s="6">
        <f t="shared" si="1221"/>
        <v>-1.200378115</v>
      </c>
      <c r="Q1218" s="6"/>
      <c r="R1218" s="6"/>
      <c r="S1218" s="6"/>
      <c r="T1218" s="6"/>
      <c r="U1218" s="6"/>
      <c r="V1218" s="6"/>
      <c r="W1218" s="6"/>
      <c r="X1218" s="6"/>
      <c r="Y1218" s="6"/>
      <c r="Z1218" s="6"/>
      <c r="AA1218" s="6"/>
      <c r="AB1218" s="6"/>
      <c r="AC1218" s="6"/>
      <c r="AD1218" s="6"/>
      <c r="AE1218" s="6"/>
      <c r="AF1218" s="6"/>
      <c r="AG1218" s="6"/>
    </row>
    <row r="1219" ht="14.25" customHeight="1">
      <c r="A1219" s="6"/>
      <c r="B1219" s="6"/>
      <c r="C1219" s="6">
        <v>1212.0</v>
      </c>
      <c r="D1219" s="6"/>
      <c r="E1219" s="6">
        <v>8833734.105525233</v>
      </c>
      <c r="F1219" s="6">
        <v>473.6562991458806</v>
      </c>
      <c r="G1219" s="6">
        <v>4.040113085432002</v>
      </c>
      <c r="H1219" s="6">
        <v>8779633.391665708</v>
      </c>
      <c r="I1219" s="6">
        <v>471.11541528923027</v>
      </c>
      <c r="J1219" s="6">
        <v>3.381440797982666</v>
      </c>
      <c r="K1219" s="6"/>
      <c r="L1219" s="6"/>
      <c r="M1219" s="6"/>
      <c r="N1219" s="6">
        <f t="shared" ref="N1219:P1219" si="1222">IF(LEN($C1219)&gt;0,H1219-E1219,"")</f>
        <v>-54100.71386</v>
      </c>
      <c r="O1219" s="6">
        <f t="shared" si="1222"/>
        <v>-2.540883857</v>
      </c>
      <c r="P1219" s="6">
        <f t="shared" si="1222"/>
        <v>-0.6586722874</v>
      </c>
      <c r="Q1219" s="6"/>
      <c r="R1219" s="6"/>
      <c r="S1219" s="6"/>
      <c r="T1219" s="6"/>
      <c r="U1219" s="6"/>
      <c r="V1219" s="6"/>
      <c r="W1219" s="6"/>
      <c r="X1219" s="6"/>
      <c r="Y1219" s="6"/>
      <c r="Z1219" s="6"/>
      <c r="AA1219" s="6"/>
      <c r="AB1219" s="6"/>
      <c r="AC1219" s="6"/>
      <c r="AD1219" s="6"/>
      <c r="AE1219" s="6"/>
      <c r="AF1219" s="6"/>
      <c r="AG1219" s="6"/>
    </row>
    <row r="1220" ht="14.25" customHeight="1">
      <c r="A1220" s="6"/>
      <c r="B1220" s="6"/>
      <c r="C1220" s="6">
        <v>1213.0</v>
      </c>
      <c r="D1220" s="6"/>
      <c r="E1220" s="6">
        <v>4775501.5131210545</v>
      </c>
      <c r="F1220" s="6">
        <v>456.96508956488185</v>
      </c>
      <c r="G1220" s="6">
        <v>5.300528321470241</v>
      </c>
      <c r="H1220" s="6">
        <v>4683778.42995475</v>
      </c>
      <c r="I1220" s="6">
        <v>453.4611976073416</v>
      </c>
      <c r="J1220" s="6">
        <v>4.046856428797676</v>
      </c>
      <c r="K1220" s="6"/>
      <c r="L1220" s="6"/>
      <c r="M1220" s="6"/>
      <c r="N1220" s="6">
        <f t="shared" ref="N1220:P1220" si="1223">IF(LEN($C1220)&gt;0,H1220-E1220,"")</f>
        <v>-91723.08317</v>
      </c>
      <c r="O1220" s="6">
        <f t="shared" si="1223"/>
        <v>-3.503891958</v>
      </c>
      <c r="P1220" s="6">
        <f t="shared" si="1223"/>
        <v>-1.253671893</v>
      </c>
      <c r="Q1220" s="6"/>
      <c r="R1220" s="6"/>
      <c r="S1220" s="6"/>
      <c r="T1220" s="6"/>
      <c r="U1220" s="6"/>
      <c r="V1220" s="6"/>
      <c r="W1220" s="6"/>
      <c r="X1220" s="6"/>
      <c r="Y1220" s="6"/>
      <c r="Z1220" s="6"/>
      <c r="AA1220" s="6"/>
      <c r="AB1220" s="6"/>
      <c r="AC1220" s="6"/>
      <c r="AD1220" s="6"/>
      <c r="AE1220" s="6"/>
      <c r="AF1220" s="6"/>
      <c r="AG1220" s="6"/>
    </row>
    <row r="1221" ht="14.25" customHeight="1">
      <c r="A1221" s="6"/>
      <c r="B1221" s="6"/>
      <c r="C1221" s="6">
        <v>1214.0</v>
      </c>
      <c r="D1221" s="6"/>
      <c r="E1221" s="6">
        <v>6086544.846638667</v>
      </c>
      <c r="F1221" s="6">
        <v>492.6345654675922</v>
      </c>
      <c r="G1221" s="6">
        <v>4.887612321518265</v>
      </c>
      <c r="H1221" s="6">
        <v>6010023.064879955</v>
      </c>
      <c r="I1221" s="6">
        <v>487.46225784909075</v>
      </c>
      <c r="J1221" s="6">
        <v>3.5762458958841155</v>
      </c>
      <c r="K1221" s="6"/>
      <c r="L1221" s="6"/>
      <c r="M1221" s="6"/>
      <c r="N1221" s="6">
        <f t="shared" ref="N1221:P1221" si="1224">IF(LEN($C1221)&gt;0,H1221-E1221,"")</f>
        <v>-76521.78176</v>
      </c>
      <c r="O1221" s="6">
        <f t="shared" si="1224"/>
        <v>-5.172307619</v>
      </c>
      <c r="P1221" s="6">
        <f t="shared" si="1224"/>
        <v>-1.311366426</v>
      </c>
      <c r="Q1221" s="6"/>
      <c r="R1221" s="6"/>
      <c r="S1221" s="6"/>
      <c r="T1221" s="6"/>
      <c r="U1221" s="6"/>
      <c r="V1221" s="6"/>
      <c r="W1221" s="6"/>
      <c r="X1221" s="6"/>
      <c r="Y1221" s="6"/>
      <c r="Z1221" s="6"/>
      <c r="AA1221" s="6"/>
      <c r="AB1221" s="6"/>
      <c r="AC1221" s="6"/>
      <c r="AD1221" s="6"/>
      <c r="AE1221" s="6"/>
      <c r="AF1221" s="6"/>
      <c r="AG1221" s="6"/>
    </row>
    <row r="1222" ht="14.25" customHeight="1">
      <c r="A1222" s="6"/>
      <c r="B1222" s="6"/>
      <c r="C1222" s="6">
        <v>1215.0</v>
      </c>
      <c r="D1222" s="6"/>
      <c r="E1222" s="6">
        <v>8450998.668933222</v>
      </c>
      <c r="F1222" s="6">
        <v>482.6074902549293</v>
      </c>
      <c r="G1222" s="6">
        <v>5.620722587770587</v>
      </c>
      <c r="H1222" s="6">
        <v>8299762.3504424</v>
      </c>
      <c r="I1222" s="6">
        <v>476.2057074658931</v>
      </c>
      <c r="J1222" s="6">
        <v>3.818970282171545</v>
      </c>
      <c r="K1222" s="6"/>
      <c r="L1222" s="6"/>
      <c r="M1222" s="6"/>
      <c r="N1222" s="6">
        <f t="shared" ref="N1222:P1222" si="1225">IF(LEN($C1222)&gt;0,H1222-E1222,"")</f>
        <v>-151236.3185</v>
      </c>
      <c r="O1222" s="6">
        <f t="shared" si="1225"/>
        <v>-6.401782789</v>
      </c>
      <c r="P1222" s="6">
        <f t="shared" si="1225"/>
        <v>-1.801752306</v>
      </c>
      <c r="Q1222" s="6"/>
      <c r="R1222" s="6"/>
      <c r="S1222" s="6"/>
      <c r="T1222" s="6"/>
      <c r="U1222" s="6"/>
      <c r="V1222" s="6"/>
      <c r="W1222" s="6"/>
      <c r="X1222" s="6"/>
      <c r="Y1222" s="6"/>
      <c r="Z1222" s="6"/>
      <c r="AA1222" s="6"/>
      <c r="AB1222" s="6"/>
      <c r="AC1222" s="6"/>
      <c r="AD1222" s="6"/>
      <c r="AE1222" s="6"/>
      <c r="AF1222" s="6"/>
      <c r="AG1222" s="6"/>
    </row>
    <row r="1223" ht="14.25" customHeight="1">
      <c r="A1223" s="6"/>
      <c r="B1223" s="6"/>
      <c r="C1223" s="6">
        <v>1216.0</v>
      </c>
      <c r="D1223" s="6"/>
      <c r="E1223" s="6">
        <v>6536097.153177014</v>
      </c>
      <c r="F1223" s="6">
        <v>488.69531468934974</v>
      </c>
      <c r="G1223" s="6">
        <v>5.011896229552485</v>
      </c>
      <c r="H1223" s="6">
        <v>6497812.341203575</v>
      </c>
      <c r="I1223" s="6">
        <v>487.0716363044284</v>
      </c>
      <c r="J1223" s="6">
        <v>4.497155078323928</v>
      </c>
      <c r="K1223" s="6"/>
      <c r="L1223" s="6"/>
      <c r="M1223" s="6"/>
      <c r="N1223" s="6">
        <f t="shared" ref="N1223:P1223" si="1226">IF(LEN($C1223)&gt;0,H1223-E1223,"")</f>
        <v>-38284.81197</v>
      </c>
      <c r="O1223" s="6">
        <f t="shared" si="1226"/>
        <v>-1.623678385</v>
      </c>
      <c r="P1223" s="6">
        <f t="shared" si="1226"/>
        <v>-0.5147411512</v>
      </c>
      <c r="Q1223" s="6"/>
      <c r="R1223" s="6"/>
      <c r="S1223" s="6"/>
      <c r="T1223" s="6"/>
      <c r="U1223" s="6"/>
      <c r="V1223" s="6"/>
      <c r="W1223" s="6"/>
      <c r="X1223" s="6"/>
      <c r="Y1223" s="6"/>
      <c r="Z1223" s="6"/>
      <c r="AA1223" s="6"/>
      <c r="AB1223" s="6"/>
      <c r="AC1223" s="6"/>
      <c r="AD1223" s="6"/>
      <c r="AE1223" s="6"/>
      <c r="AF1223" s="6"/>
      <c r="AG1223" s="6"/>
    </row>
    <row r="1224" ht="14.25" customHeight="1">
      <c r="A1224" s="6"/>
      <c r="B1224" s="6"/>
      <c r="C1224" s="6">
        <v>1217.0</v>
      </c>
      <c r="D1224" s="6"/>
      <c r="E1224" s="6">
        <v>6235519.511701743</v>
      </c>
      <c r="F1224" s="6">
        <v>490.232554585894</v>
      </c>
      <c r="G1224" s="6">
        <v>4.714766441212934</v>
      </c>
      <c r="H1224" s="6">
        <v>6140865.861745527</v>
      </c>
      <c r="I1224" s="6">
        <v>486.7350334744948</v>
      </c>
      <c r="J1224" s="6">
        <v>3.361813569070396</v>
      </c>
      <c r="K1224" s="6"/>
      <c r="L1224" s="6"/>
      <c r="M1224" s="6"/>
      <c r="N1224" s="6">
        <f t="shared" ref="N1224:P1224" si="1227">IF(LEN($C1224)&gt;0,H1224-E1224,"")</f>
        <v>-94653.64996</v>
      </c>
      <c r="O1224" s="6">
        <f t="shared" si="1227"/>
        <v>-3.497521111</v>
      </c>
      <c r="P1224" s="6">
        <f t="shared" si="1227"/>
        <v>-1.352952872</v>
      </c>
      <c r="Q1224" s="6"/>
      <c r="R1224" s="6"/>
      <c r="S1224" s="6"/>
      <c r="T1224" s="6"/>
      <c r="U1224" s="6"/>
      <c r="V1224" s="6"/>
      <c r="W1224" s="6"/>
      <c r="X1224" s="6"/>
      <c r="Y1224" s="6"/>
      <c r="Z1224" s="6"/>
      <c r="AA1224" s="6"/>
      <c r="AB1224" s="6"/>
      <c r="AC1224" s="6"/>
      <c r="AD1224" s="6"/>
      <c r="AE1224" s="6"/>
      <c r="AF1224" s="6"/>
      <c r="AG1224" s="6"/>
    </row>
    <row r="1225" ht="14.25" customHeight="1">
      <c r="A1225" s="6"/>
      <c r="B1225" s="6"/>
      <c r="C1225" s="6">
        <v>1218.0</v>
      </c>
      <c r="D1225" s="6"/>
      <c r="E1225" s="6">
        <v>7719103.449931296</v>
      </c>
      <c r="F1225" s="6">
        <v>450.71228765897075</v>
      </c>
      <c r="G1225" s="6">
        <v>6.222287032252549</v>
      </c>
      <c r="H1225" s="6">
        <v>7580888.562801884</v>
      </c>
      <c r="I1225" s="6">
        <v>444.94273141437634</v>
      </c>
      <c r="J1225" s="6">
        <v>4.742438860460934</v>
      </c>
      <c r="K1225" s="6"/>
      <c r="L1225" s="6"/>
      <c r="M1225" s="6"/>
      <c r="N1225" s="6">
        <f t="shared" ref="N1225:P1225" si="1228">IF(LEN($C1225)&gt;0,H1225-E1225,"")</f>
        <v>-138214.8871</v>
      </c>
      <c r="O1225" s="6">
        <f t="shared" si="1228"/>
        <v>-5.769556245</v>
      </c>
      <c r="P1225" s="6">
        <f t="shared" si="1228"/>
        <v>-1.479848172</v>
      </c>
      <c r="Q1225" s="6"/>
      <c r="R1225" s="6"/>
      <c r="S1225" s="6"/>
      <c r="T1225" s="6"/>
      <c r="U1225" s="6"/>
      <c r="V1225" s="6"/>
      <c r="W1225" s="6"/>
      <c r="X1225" s="6"/>
      <c r="Y1225" s="6"/>
      <c r="Z1225" s="6"/>
      <c r="AA1225" s="6"/>
      <c r="AB1225" s="6"/>
      <c r="AC1225" s="6"/>
      <c r="AD1225" s="6"/>
      <c r="AE1225" s="6"/>
      <c r="AF1225" s="6"/>
      <c r="AG1225" s="6"/>
    </row>
    <row r="1226" ht="14.25" customHeight="1">
      <c r="A1226" s="6"/>
      <c r="B1226" s="6"/>
      <c r="C1226" s="6">
        <v>1219.0</v>
      </c>
      <c r="D1226" s="6"/>
      <c r="E1226" s="6">
        <v>8783581.290405078</v>
      </c>
      <c r="F1226" s="6">
        <v>445.6268647907008</v>
      </c>
      <c r="G1226" s="6">
        <v>4.641996343443902</v>
      </c>
      <c r="H1226" s="6">
        <v>8701143.33300819</v>
      </c>
      <c r="I1226" s="6">
        <v>442.4350749429673</v>
      </c>
      <c r="J1226" s="6">
        <v>3.6299638082226333</v>
      </c>
      <c r="K1226" s="6"/>
      <c r="L1226" s="6"/>
      <c r="M1226" s="6"/>
      <c r="N1226" s="6">
        <f t="shared" ref="N1226:P1226" si="1229">IF(LEN($C1226)&gt;0,H1226-E1226,"")</f>
        <v>-82437.9574</v>
      </c>
      <c r="O1226" s="6">
        <f t="shared" si="1229"/>
        <v>-3.191789848</v>
      </c>
      <c r="P1226" s="6">
        <f t="shared" si="1229"/>
        <v>-1.012032535</v>
      </c>
      <c r="Q1226" s="6"/>
      <c r="R1226" s="6"/>
      <c r="S1226" s="6"/>
      <c r="T1226" s="6"/>
      <c r="U1226" s="6"/>
      <c r="V1226" s="6"/>
      <c r="W1226" s="6"/>
      <c r="X1226" s="6"/>
      <c r="Y1226" s="6"/>
      <c r="Z1226" s="6"/>
      <c r="AA1226" s="6"/>
      <c r="AB1226" s="6"/>
      <c r="AC1226" s="6"/>
      <c r="AD1226" s="6"/>
      <c r="AE1226" s="6"/>
      <c r="AF1226" s="6"/>
      <c r="AG1226" s="6"/>
    </row>
    <row r="1227" ht="14.25" customHeight="1">
      <c r="A1227" s="6"/>
      <c r="B1227" s="6"/>
      <c r="C1227" s="6">
        <v>1220.0</v>
      </c>
      <c r="D1227" s="6"/>
      <c r="E1227" s="6">
        <v>7377339.412624207</v>
      </c>
      <c r="F1227" s="6">
        <v>445.9368334233334</v>
      </c>
      <c r="G1227" s="6">
        <v>5.441330850216388</v>
      </c>
      <c r="H1227" s="6">
        <v>7214659.3332478115</v>
      </c>
      <c r="I1227" s="6">
        <v>441.37206231234177</v>
      </c>
      <c r="J1227" s="6">
        <v>3.9114656745562137</v>
      </c>
      <c r="K1227" s="6"/>
      <c r="L1227" s="6"/>
      <c r="M1227" s="6"/>
      <c r="N1227" s="6">
        <f t="shared" ref="N1227:P1227" si="1230">IF(LEN($C1227)&gt;0,H1227-E1227,"")</f>
        <v>-162680.0794</v>
      </c>
      <c r="O1227" s="6">
        <f t="shared" si="1230"/>
        <v>-4.564771111</v>
      </c>
      <c r="P1227" s="6">
        <f t="shared" si="1230"/>
        <v>-1.529865176</v>
      </c>
      <c r="Q1227" s="6"/>
      <c r="R1227" s="6"/>
      <c r="S1227" s="6"/>
      <c r="T1227" s="6"/>
      <c r="U1227" s="6"/>
      <c r="V1227" s="6"/>
      <c r="W1227" s="6"/>
      <c r="X1227" s="6"/>
      <c r="Y1227" s="6"/>
      <c r="Z1227" s="6"/>
      <c r="AA1227" s="6"/>
      <c r="AB1227" s="6"/>
      <c r="AC1227" s="6"/>
      <c r="AD1227" s="6"/>
      <c r="AE1227" s="6"/>
      <c r="AF1227" s="6"/>
      <c r="AG1227" s="6"/>
    </row>
    <row r="1228" ht="14.25" customHeight="1">
      <c r="A1228" s="6"/>
      <c r="B1228" s="6"/>
      <c r="C1228" s="6">
        <v>1221.0</v>
      </c>
      <c r="D1228" s="6"/>
      <c r="E1228" s="6">
        <v>7799589.863588643</v>
      </c>
      <c r="F1228" s="6">
        <v>501.2389816075923</v>
      </c>
      <c r="G1228" s="6">
        <v>4.2811769845195915</v>
      </c>
      <c r="H1228" s="6">
        <v>7657078.476045299</v>
      </c>
      <c r="I1228" s="6">
        <v>496.04171809565264</v>
      </c>
      <c r="J1228" s="6">
        <v>3.3572861427061103</v>
      </c>
      <c r="K1228" s="6"/>
      <c r="L1228" s="6"/>
      <c r="M1228" s="6"/>
      <c r="N1228" s="6">
        <f t="shared" ref="N1228:P1228" si="1231">IF(LEN($C1228)&gt;0,H1228-E1228,"")</f>
        <v>-142511.3875</v>
      </c>
      <c r="O1228" s="6">
        <f t="shared" si="1231"/>
        <v>-5.197263512</v>
      </c>
      <c r="P1228" s="6">
        <f t="shared" si="1231"/>
        <v>-0.9238908418</v>
      </c>
      <c r="Q1228" s="6"/>
      <c r="R1228" s="6"/>
      <c r="S1228" s="6"/>
      <c r="T1228" s="6"/>
      <c r="U1228" s="6"/>
      <c r="V1228" s="6"/>
      <c r="W1228" s="6"/>
      <c r="X1228" s="6"/>
      <c r="Y1228" s="6"/>
      <c r="Z1228" s="6"/>
      <c r="AA1228" s="6"/>
      <c r="AB1228" s="6"/>
      <c r="AC1228" s="6"/>
      <c r="AD1228" s="6"/>
      <c r="AE1228" s="6"/>
      <c r="AF1228" s="6"/>
      <c r="AG1228" s="6"/>
    </row>
    <row r="1229" ht="14.25" customHeight="1">
      <c r="A1229" s="6"/>
      <c r="B1229" s="6"/>
      <c r="C1229" s="6">
        <v>1222.0</v>
      </c>
      <c r="D1229" s="6"/>
      <c r="E1229" s="6">
        <v>7098127.769265288</v>
      </c>
      <c r="F1229" s="6">
        <v>487.50937968423943</v>
      </c>
      <c r="G1229" s="6">
        <v>3.7643310563924093</v>
      </c>
      <c r="H1229" s="6">
        <v>6997691.803791967</v>
      </c>
      <c r="I1229" s="6">
        <v>482.3906766473188</v>
      </c>
      <c r="J1229" s="6">
        <v>2.9457339482710254</v>
      </c>
      <c r="K1229" s="6"/>
      <c r="L1229" s="6"/>
      <c r="M1229" s="6"/>
      <c r="N1229" s="6">
        <f t="shared" ref="N1229:P1229" si="1232">IF(LEN($C1229)&gt;0,H1229-E1229,"")</f>
        <v>-100435.9655</v>
      </c>
      <c r="O1229" s="6">
        <f t="shared" si="1232"/>
        <v>-5.118703037</v>
      </c>
      <c r="P1229" s="6">
        <f t="shared" si="1232"/>
        <v>-0.8185971081</v>
      </c>
      <c r="Q1229" s="6"/>
      <c r="R1229" s="6"/>
      <c r="S1229" s="6"/>
      <c r="T1229" s="6"/>
      <c r="U1229" s="6"/>
      <c r="V1229" s="6"/>
      <c r="W1229" s="6"/>
      <c r="X1229" s="6"/>
      <c r="Y1229" s="6"/>
      <c r="Z1229" s="6"/>
      <c r="AA1229" s="6"/>
      <c r="AB1229" s="6"/>
      <c r="AC1229" s="6"/>
      <c r="AD1229" s="6"/>
      <c r="AE1229" s="6"/>
      <c r="AF1229" s="6"/>
      <c r="AG1229" s="6"/>
    </row>
    <row r="1230" ht="14.25" customHeight="1">
      <c r="A1230" s="6"/>
      <c r="B1230" s="6"/>
      <c r="C1230" s="6">
        <v>1223.0</v>
      </c>
      <c r="D1230" s="6"/>
      <c r="E1230" s="6">
        <v>6337624.841666167</v>
      </c>
      <c r="F1230" s="6">
        <v>507.21115472454363</v>
      </c>
      <c r="G1230" s="6">
        <v>4.870160397007095</v>
      </c>
      <c r="H1230" s="6">
        <v>6256540.218368312</v>
      </c>
      <c r="I1230" s="6">
        <v>503.3474733500681</v>
      </c>
      <c r="J1230" s="6">
        <v>4.204074504162763</v>
      </c>
      <c r="K1230" s="6"/>
      <c r="L1230" s="6"/>
      <c r="M1230" s="6"/>
      <c r="N1230" s="6">
        <f t="shared" ref="N1230:P1230" si="1233">IF(LEN($C1230)&gt;0,H1230-E1230,"")</f>
        <v>-81084.6233</v>
      </c>
      <c r="O1230" s="6">
        <f t="shared" si="1233"/>
        <v>-3.863681374</v>
      </c>
      <c r="P1230" s="6">
        <f t="shared" si="1233"/>
        <v>-0.6660858928</v>
      </c>
      <c r="Q1230" s="6"/>
      <c r="R1230" s="6"/>
      <c r="S1230" s="6"/>
      <c r="T1230" s="6"/>
      <c r="U1230" s="6"/>
      <c r="V1230" s="6"/>
      <c r="W1230" s="6"/>
      <c r="X1230" s="6"/>
      <c r="Y1230" s="6"/>
      <c r="Z1230" s="6"/>
      <c r="AA1230" s="6"/>
      <c r="AB1230" s="6"/>
      <c r="AC1230" s="6"/>
      <c r="AD1230" s="6"/>
      <c r="AE1230" s="6"/>
      <c r="AF1230" s="6"/>
      <c r="AG1230" s="6"/>
    </row>
    <row r="1231" ht="14.25" customHeight="1">
      <c r="A1231" s="6"/>
      <c r="B1231" s="6"/>
      <c r="C1231" s="6">
        <v>1224.0</v>
      </c>
      <c r="D1231" s="6"/>
      <c r="E1231" s="6">
        <v>7817192.282551354</v>
      </c>
      <c r="F1231" s="6">
        <v>460.1512737831345</v>
      </c>
      <c r="G1231" s="6">
        <v>4.907146256827748</v>
      </c>
      <c r="H1231" s="6">
        <v>7727041.1476356555</v>
      </c>
      <c r="I1231" s="6">
        <v>457.49852002815163</v>
      </c>
      <c r="J1231" s="6">
        <v>3.515658305429375</v>
      </c>
      <c r="K1231" s="6"/>
      <c r="L1231" s="6"/>
      <c r="M1231" s="6"/>
      <c r="N1231" s="6">
        <f t="shared" ref="N1231:P1231" si="1234">IF(LEN($C1231)&gt;0,H1231-E1231,"")</f>
        <v>-90151.13492</v>
      </c>
      <c r="O1231" s="6">
        <f t="shared" si="1234"/>
        <v>-2.652753755</v>
      </c>
      <c r="P1231" s="6">
        <f t="shared" si="1234"/>
        <v>-1.391487951</v>
      </c>
      <c r="Q1231" s="6"/>
      <c r="R1231" s="6"/>
      <c r="S1231" s="6"/>
      <c r="T1231" s="6"/>
      <c r="U1231" s="6"/>
      <c r="V1231" s="6"/>
      <c r="W1231" s="6"/>
      <c r="X1231" s="6"/>
      <c r="Y1231" s="6"/>
      <c r="Z1231" s="6"/>
      <c r="AA1231" s="6"/>
      <c r="AB1231" s="6"/>
      <c r="AC1231" s="6"/>
      <c r="AD1231" s="6"/>
      <c r="AE1231" s="6"/>
      <c r="AF1231" s="6"/>
      <c r="AG1231" s="6"/>
    </row>
    <row r="1232" ht="14.25" customHeight="1">
      <c r="A1232" s="6"/>
      <c r="B1232" s="6"/>
      <c r="C1232" s="6">
        <v>1225.0</v>
      </c>
      <c r="D1232" s="6"/>
      <c r="E1232" s="6">
        <v>7177910.436382432</v>
      </c>
      <c r="F1232" s="6">
        <v>462.0416722402608</v>
      </c>
      <c r="G1232" s="6">
        <v>5.4333884672248836</v>
      </c>
      <c r="H1232" s="6">
        <v>7094458.368337828</v>
      </c>
      <c r="I1232" s="6">
        <v>458.61133245993045</v>
      </c>
      <c r="J1232" s="6">
        <v>4.322131420197823</v>
      </c>
      <c r="K1232" s="6"/>
      <c r="L1232" s="6"/>
      <c r="M1232" s="6"/>
      <c r="N1232" s="6">
        <f t="shared" ref="N1232:P1232" si="1235">IF(LEN($C1232)&gt;0,H1232-E1232,"")</f>
        <v>-83452.06804</v>
      </c>
      <c r="O1232" s="6">
        <f t="shared" si="1235"/>
        <v>-3.43033978</v>
      </c>
      <c r="P1232" s="6">
        <f t="shared" si="1235"/>
        <v>-1.111257047</v>
      </c>
      <c r="Q1232" s="6"/>
      <c r="R1232" s="6"/>
      <c r="S1232" s="6"/>
      <c r="T1232" s="6"/>
      <c r="U1232" s="6"/>
      <c r="V1232" s="6"/>
      <c r="W1232" s="6"/>
      <c r="X1232" s="6"/>
      <c r="Y1232" s="6"/>
      <c r="Z1232" s="6"/>
      <c r="AA1232" s="6"/>
      <c r="AB1232" s="6"/>
      <c r="AC1232" s="6"/>
      <c r="AD1232" s="6"/>
      <c r="AE1232" s="6"/>
      <c r="AF1232" s="6"/>
      <c r="AG1232" s="6"/>
    </row>
    <row r="1233" ht="14.25" customHeight="1">
      <c r="A1233" s="6"/>
      <c r="B1233" s="6"/>
      <c r="C1233" s="6">
        <v>1226.0</v>
      </c>
      <c r="D1233" s="6"/>
      <c r="E1233" s="6">
        <v>7438289.246377201</v>
      </c>
      <c r="F1233" s="6">
        <v>462.36433015851173</v>
      </c>
      <c r="G1233" s="6">
        <v>3.6154516468421325</v>
      </c>
      <c r="H1233" s="6">
        <v>7335614.425899738</v>
      </c>
      <c r="I1233" s="6">
        <v>458.939395093605</v>
      </c>
      <c r="J1233" s="6">
        <v>2.5302504170899063</v>
      </c>
      <c r="K1233" s="6"/>
      <c r="L1233" s="6"/>
      <c r="M1233" s="6"/>
      <c r="N1233" s="6">
        <f t="shared" ref="N1233:P1233" si="1236">IF(LEN($C1233)&gt;0,H1233-E1233,"")</f>
        <v>-102674.8205</v>
      </c>
      <c r="O1233" s="6">
        <f t="shared" si="1236"/>
        <v>-3.424935065</v>
      </c>
      <c r="P1233" s="6">
        <f t="shared" si="1236"/>
        <v>-1.08520123</v>
      </c>
      <c r="Q1233" s="6"/>
      <c r="R1233" s="6"/>
      <c r="S1233" s="6"/>
      <c r="T1233" s="6"/>
      <c r="U1233" s="6"/>
      <c r="V1233" s="6"/>
      <c r="W1233" s="6"/>
      <c r="X1233" s="6"/>
      <c r="Y1233" s="6"/>
      <c r="Z1233" s="6"/>
      <c r="AA1233" s="6"/>
      <c r="AB1233" s="6"/>
      <c r="AC1233" s="6"/>
      <c r="AD1233" s="6"/>
      <c r="AE1233" s="6"/>
      <c r="AF1233" s="6"/>
      <c r="AG1233" s="6"/>
    </row>
    <row r="1234" ht="14.25" customHeight="1">
      <c r="A1234" s="6"/>
      <c r="B1234" s="6"/>
      <c r="C1234" s="6">
        <v>1227.0</v>
      </c>
      <c r="D1234" s="6"/>
      <c r="E1234" s="6">
        <v>7150599.101601299</v>
      </c>
      <c r="F1234" s="6">
        <v>473.87218069929224</v>
      </c>
      <c r="G1234" s="6">
        <v>5.872051449288525</v>
      </c>
      <c r="H1234" s="6">
        <v>7030385.067257632</v>
      </c>
      <c r="I1234" s="6">
        <v>469.01391898400135</v>
      </c>
      <c r="J1234" s="6">
        <v>4.807480080061449</v>
      </c>
      <c r="K1234" s="6"/>
      <c r="L1234" s="6"/>
      <c r="M1234" s="6"/>
      <c r="N1234" s="6">
        <f t="shared" ref="N1234:P1234" si="1237">IF(LEN($C1234)&gt;0,H1234-E1234,"")</f>
        <v>-120214.0343</v>
      </c>
      <c r="O1234" s="6">
        <f t="shared" si="1237"/>
        <v>-4.858261715</v>
      </c>
      <c r="P1234" s="6">
        <f t="shared" si="1237"/>
        <v>-1.064571369</v>
      </c>
      <c r="Q1234" s="6"/>
      <c r="R1234" s="6"/>
      <c r="S1234" s="6"/>
      <c r="T1234" s="6"/>
      <c r="U1234" s="6"/>
      <c r="V1234" s="6"/>
      <c r="W1234" s="6"/>
      <c r="X1234" s="6"/>
      <c r="Y1234" s="6"/>
      <c r="Z1234" s="6"/>
      <c r="AA1234" s="6"/>
      <c r="AB1234" s="6"/>
      <c r="AC1234" s="6"/>
      <c r="AD1234" s="6"/>
      <c r="AE1234" s="6"/>
      <c r="AF1234" s="6"/>
      <c r="AG1234" s="6"/>
    </row>
    <row r="1235" ht="14.25" customHeight="1">
      <c r="A1235" s="6"/>
      <c r="B1235" s="6"/>
      <c r="C1235" s="6">
        <v>1228.0</v>
      </c>
      <c r="D1235" s="6"/>
      <c r="E1235" s="6">
        <v>6793108.60467384</v>
      </c>
      <c r="F1235" s="6">
        <v>464.562236185491</v>
      </c>
      <c r="G1235" s="6">
        <v>6.114345917953568</v>
      </c>
      <c r="H1235" s="6">
        <v>6661015.446677444</v>
      </c>
      <c r="I1235" s="6">
        <v>461.07085497262216</v>
      </c>
      <c r="J1235" s="6">
        <v>4.59506566535487</v>
      </c>
      <c r="K1235" s="6"/>
      <c r="L1235" s="6"/>
      <c r="M1235" s="6"/>
      <c r="N1235" s="6">
        <f t="shared" ref="N1235:P1235" si="1238">IF(LEN($C1235)&gt;0,H1235-E1235,"")</f>
        <v>-132093.158</v>
      </c>
      <c r="O1235" s="6">
        <f t="shared" si="1238"/>
        <v>-3.491381213</v>
      </c>
      <c r="P1235" s="6">
        <f t="shared" si="1238"/>
        <v>-1.519280253</v>
      </c>
      <c r="Q1235" s="6"/>
      <c r="R1235" s="6"/>
      <c r="S1235" s="6"/>
      <c r="T1235" s="6"/>
      <c r="U1235" s="6"/>
      <c r="V1235" s="6"/>
      <c r="W1235" s="6"/>
      <c r="X1235" s="6"/>
      <c r="Y1235" s="6"/>
      <c r="Z1235" s="6"/>
      <c r="AA1235" s="6"/>
      <c r="AB1235" s="6"/>
      <c r="AC1235" s="6"/>
      <c r="AD1235" s="6"/>
      <c r="AE1235" s="6"/>
      <c r="AF1235" s="6"/>
      <c r="AG1235" s="6"/>
    </row>
    <row r="1236" ht="14.25" customHeight="1">
      <c r="A1236" s="6"/>
      <c r="B1236" s="6"/>
      <c r="C1236" s="6">
        <v>1229.0</v>
      </c>
      <c r="D1236" s="6"/>
      <c r="E1236" s="6">
        <v>7266026.949334022</v>
      </c>
      <c r="F1236" s="6">
        <v>471.23875584034687</v>
      </c>
      <c r="G1236" s="6">
        <v>4.479407058212478</v>
      </c>
      <c r="H1236" s="6">
        <v>7184346.819721635</v>
      </c>
      <c r="I1236" s="6">
        <v>468.0869964584863</v>
      </c>
      <c r="J1236" s="6">
        <v>3.419326057410031</v>
      </c>
      <c r="K1236" s="6"/>
      <c r="L1236" s="6"/>
      <c r="M1236" s="6"/>
      <c r="N1236" s="6">
        <f t="shared" ref="N1236:P1236" si="1239">IF(LEN($C1236)&gt;0,H1236-E1236,"")</f>
        <v>-81680.12961</v>
      </c>
      <c r="O1236" s="6">
        <f t="shared" si="1239"/>
        <v>-3.151759382</v>
      </c>
      <c r="P1236" s="6">
        <f t="shared" si="1239"/>
        <v>-1.060081001</v>
      </c>
      <c r="Q1236" s="6"/>
      <c r="R1236" s="6"/>
      <c r="S1236" s="6"/>
      <c r="T1236" s="6"/>
      <c r="U1236" s="6"/>
      <c r="V1236" s="6"/>
      <c r="W1236" s="6"/>
      <c r="X1236" s="6"/>
      <c r="Y1236" s="6"/>
      <c r="Z1236" s="6"/>
      <c r="AA1236" s="6"/>
      <c r="AB1236" s="6"/>
      <c r="AC1236" s="6"/>
      <c r="AD1236" s="6"/>
      <c r="AE1236" s="6"/>
      <c r="AF1236" s="6"/>
      <c r="AG1236" s="6"/>
    </row>
    <row r="1237" ht="14.25" customHeight="1">
      <c r="A1237" s="6"/>
      <c r="B1237" s="6"/>
      <c r="C1237" s="6">
        <v>1230.0</v>
      </c>
      <c r="D1237" s="6"/>
      <c r="E1237" s="6">
        <v>8911270.488642456</v>
      </c>
      <c r="F1237" s="6">
        <v>501.929552814473</v>
      </c>
      <c r="G1237" s="6">
        <v>4.305653838360296</v>
      </c>
      <c r="H1237" s="6">
        <v>8803112.862023303</v>
      </c>
      <c r="I1237" s="6">
        <v>497.0557722006082</v>
      </c>
      <c r="J1237" s="6">
        <v>3.524078133686498</v>
      </c>
      <c r="K1237" s="6"/>
      <c r="L1237" s="6"/>
      <c r="M1237" s="6"/>
      <c r="N1237" s="6">
        <f t="shared" ref="N1237:P1237" si="1240">IF(LEN($C1237)&gt;0,H1237-E1237,"")</f>
        <v>-108157.6266</v>
      </c>
      <c r="O1237" s="6">
        <f t="shared" si="1240"/>
        <v>-4.873780614</v>
      </c>
      <c r="P1237" s="6">
        <f t="shared" si="1240"/>
        <v>-0.7815757047</v>
      </c>
      <c r="Q1237" s="6"/>
      <c r="R1237" s="6"/>
      <c r="S1237" s="6"/>
      <c r="T1237" s="6"/>
      <c r="U1237" s="6"/>
      <c r="V1237" s="6"/>
      <c r="W1237" s="6"/>
      <c r="X1237" s="6"/>
      <c r="Y1237" s="6"/>
      <c r="Z1237" s="6"/>
      <c r="AA1237" s="6"/>
      <c r="AB1237" s="6"/>
      <c r="AC1237" s="6"/>
      <c r="AD1237" s="6"/>
      <c r="AE1237" s="6"/>
      <c r="AF1237" s="6"/>
      <c r="AG1237" s="6"/>
    </row>
    <row r="1238" ht="14.25" customHeight="1">
      <c r="A1238" s="6"/>
      <c r="B1238" s="6"/>
      <c r="C1238" s="6">
        <v>1231.0</v>
      </c>
      <c r="D1238" s="6"/>
      <c r="E1238" s="6">
        <v>7414375.3860788215</v>
      </c>
      <c r="F1238" s="6">
        <v>469.56465689394474</v>
      </c>
      <c r="G1238" s="6">
        <v>6.1561717545462145</v>
      </c>
      <c r="H1238" s="6">
        <v>7335671.079295542</v>
      </c>
      <c r="I1238" s="6">
        <v>466.92709293253023</v>
      </c>
      <c r="J1238" s="6">
        <v>4.826475700589154</v>
      </c>
      <c r="K1238" s="6"/>
      <c r="L1238" s="6"/>
      <c r="M1238" s="6"/>
      <c r="N1238" s="6">
        <f t="shared" ref="N1238:P1238" si="1241">IF(LEN($C1238)&gt;0,H1238-E1238,"")</f>
        <v>-78704.30678</v>
      </c>
      <c r="O1238" s="6">
        <f t="shared" si="1241"/>
        <v>-2.637563961</v>
      </c>
      <c r="P1238" s="6">
        <f t="shared" si="1241"/>
        <v>-1.329696054</v>
      </c>
      <c r="Q1238" s="6"/>
      <c r="R1238" s="6"/>
      <c r="S1238" s="6"/>
      <c r="T1238" s="6"/>
      <c r="U1238" s="6"/>
      <c r="V1238" s="6"/>
      <c r="W1238" s="6"/>
      <c r="X1238" s="6"/>
      <c r="Y1238" s="6"/>
      <c r="Z1238" s="6"/>
      <c r="AA1238" s="6"/>
      <c r="AB1238" s="6"/>
      <c r="AC1238" s="6"/>
      <c r="AD1238" s="6"/>
      <c r="AE1238" s="6"/>
      <c r="AF1238" s="6"/>
      <c r="AG1238" s="6"/>
    </row>
    <row r="1239" ht="14.25" customHeight="1">
      <c r="A1239" s="6"/>
      <c r="B1239" s="6"/>
      <c r="C1239" s="6">
        <v>1232.0</v>
      </c>
      <c r="D1239" s="6"/>
      <c r="E1239" s="6">
        <v>8299051.333612775</v>
      </c>
      <c r="F1239" s="6">
        <v>493.5013967428472</v>
      </c>
      <c r="G1239" s="6">
        <v>4.596937768460519</v>
      </c>
      <c r="H1239" s="6">
        <v>8190883.415270641</v>
      </c>
      <c r="I1239" s="6">
        <v>488.98657995638143</v>
      </c>
      <c r="J1239" s="6">
        <v>3.707632614617098</v>
      </c>
      <c r="K1239" s="6"/>
      <c r="L1239" s="6"/>
      <c r="M1239" s="6"/>
      <c r="N1239" s="6">
        <f t="shared" ref="N1239:P1239" si="1242">IF(LEN($C1239)&gt;0,H1239-E1239,"")</f>
        <v>-108167.9183</v>
      </c>
      <c r="O1239" s="6">
        <f t="shared" si="1242"/>
        <v>-4.514816786</v>
      </c>
      <c r="P1239" s="6">
        <f t="shared" si="1242"/>
        <v>-0.8893051538</v>
      </c>
      <c r="Q1239" s="6"/>
      <c r="R1239" s="6"/>
      <c r="S1239" s="6"/>
      <c r="T1239" s="6"/>
      <c r="U1239" s="6"/>
      <c r="V1239" s="6"/>
      <c r="W1239" s="6"/>
      <c r="X1239" s="6"/>
      <c r="Y1239" s="6"/>
      <c r="Z1239" s="6"/>
      <c r="AA1239" s="6"/>
      <c r="AB1239" s="6"/>
      <c r="AC1239" s="6"/>
      <c r="AD1239" s="6"/>
      <c r="AE1239" s="6"/>
      <c r="AF1239" s="6"/>
      <c r="AG1239" s="6"/>
    </row>
    <row r="1240" ht="14.25" customHeight="1">
      <c r="A1240" s="6"/>
      <c r="B1240" s="6"/>
      <c r="C1240" s="6">
        <v>1233.0</v>
      </c>
      <c r="D1240" s="6"/>
      <c r="E1240" s="6">
        <v>7668424.393979308</v>
      </c>
      <c r="F1240" s="6">
        <v>465.77887804525903</v>
      </c>
      <c r="G1240" s="6">
        <v>3.9642469601798602</v>
      </c>
      <c r="H1240" s="6">
        <v>7587482.636793673</v>
      </c>
      <c r="I1240" s="6">
        <v>462.99479997367825</v>
      </c>
      <c r="J1240" s="6">
        <v>3.04306204450221</v>
      </c>
      <c r="K1240" s="6"/>
      <c r="L1240" s="6"/>
      <c r="M1240" s="6"/>
      <c r="N1240" s="6">
        <f t="shared" ref="N1240:P1240" si="1243">IF(LEN($C1240)&gt;0,H1240-E1240,"")</f>
        <v>-80941.75719</v>
      </c>
      <c r="O1240" s="6">
        <f t="shared" si="1243"/>
        <v>-2.784078072</v>
      </c>
      <c r="P1240" s="6">
        <f t="shared" si="1243"/>
        <v>-0.9211849157</v>
      </c>
      <c r="Q1240" s="6"/>
      <c r="R1240" s="6"/>
      <c r="S1240" s="6"/>
      <c r="T1240" s="6"/>
      <c r="U1240" s="6"/>
      <c r="V1240" s="6"/>
      <c r="W1240" s="6"/>
      <c r="X1240" s="6"/>
      <c r="Y1240" s="6"/>
      <c r="Z1240" s="6"/>
      <c r="AA1240" s="6"/>
      <c r="AB1240" s="6"/>
      <c r="AC1240" s="6"/>
      <c r="AD1240" s="6"/>
      <c r="AE1240" s="6"/>
      <c r="AF1240" s="6"/>
      <c r="AG1240" s="6"/>
    </row>
    <row r="1241" ht="14.25" customHeight="1">
      <c r="A1241" s="6"/>
      <c r="B1241" s="6"/>
      <c r="C1241" s="6">
        <v>1234.0</v>
      </c>
      <c r="D1241" s="6"/>
      <c r="E1241" s="6">
        <v>6300948.547459396</v>
      </c>
      <c r="F1241" s="6">
        <v>483.13200973359807</v>
      </c>
      <c r="G1241" s="6">
        <v>4.7709443262099995</v>
      </c>
      <c r="H1241" s="6">
        <v>6224314.136910543</v>
      </c>
      <c r="I1241" s="6">
        <v>480.9448326105856</v>
      </c>
      <c r="J1241" s="6">
        <v>3.6004795728747383</v>
      </c>
      <c r="K1241" s="6"/>
      <c r="L1241" s="6"/>
      <c r="M1241" s="6"/>
      <c r="N1241" s="6">
        <f t="shared" ref="N1241:P1241" si="1244">IF(LEN($C1241)&gt;0,H1241-E1241,"")</f>
        <v>-76634.41055</v>
      </c>
      <c r="O1241" s="6">
        <f t="shared" si="1244"/>
        <v>-2.187177123</v>
      </c>
      <c r="P1241" s="6">
        <f t="shared" si="1244"/>
        <v>-1.170464753</v>
      </c>
      <c r="Q1241" s="6"/>
      <c r="R1241" s="6"/>
      <c r="S1241" s="6"/>
      <c r="T1241" s="6"/>
      <c r="U1241" s="6"/>
      <c r="V1241" s="6"/>
      <c r="W1241" s="6"/>
      <c r="X1241" s="6"/>
      <c r="Y1241" s="6"/>
      <c r="Z1241" s="6"/>
      <c r="AA1241" s="6"/>
      <c r="AB1241" s="6"/>
      <c r="AC1241" s="6"/>
      <c r="AD1241" s="6"/>
      <c r="AE1241" s="6"/>
      <c r="AF1241" s="6"/>
      <c r="AG1241" s="6"/>
    </row>
    <row r="1242" ht="14.25" customHeight="1">
      <c r="A1242" s="6"/>
      <c r="B1242" s="6"/>
      <c r="C1242" s="6">
        <v>1235.0</v>
      </c>
      <c r="D1242" s="6"/>
      <c r="E1242" s="6">
        <v>7779579.924831608</v>
      </c>
      <c r="F1242" s="6">
        <v>441.23990463601234</v>
      </c>
      <c r="G1242" s="6">
        <v>5.763468823594205</v>
      </c>
      <c r="H1242" s="6">
        <v>7648075.376378404</v>
      </c>
      <c r="I1242" s="6">
        <v>435.5254734421805</v>
      </c>
      <c r="J1242" s="6">
        <v>3.8264660428647375</v>
      </c>
      <c r="K1242" s="6"/>
      <c r="L1242" s="6"/>
      <c r="M1242" s="6"/>
      <c r="N1242" s="6">
        <f t="shared" ref="N1242:P1242" si="1245">IF(LEN($C1242)&gt;0,H1242-E1242,"")</f>
        <v>-131504.5485</v>
      </c>
      <c r="O1242" s="6">
        <f t="shared" si="1245"/>
        <v>-5.714431194</v>
      </c>
      <c r="P1242" s="6">
        <f t="shared" si="1245"/>
        <v>-1.937002781</v>
      </c>
      <c r="Q1242" s="6"/>
      <c r="R1242" s="6"/>
      <c r="S1242" s="6"/>
      <c r="T1242" s="6"/>
      <c r="U1242" s="6"/>
      <c r="V1242" s="6"/>
      <c r="W1242" s="6"/>
      <c r="X1242" s="6"/>
      <c r="Y1242" s="6"/>
      <c r="Z1242" s="6"/>
      <c r="AA1242" s="6"/>
      <c r="AB1242" s="6"/>
      <c r="AC1242" s="6"/>
      <c r="AD1242" s="6"/>
      <c r="AE1242" s="6"/>
      <c r="AF1242" s="6"/>
      <c r="AG1242" s="6"/>
    </row>
    <row r="1243" ht="14.25" customHeight="1">
      <c r="A1243" s="6"/>
      <c r="B1243" s="6"/>
      <c r="C1243" s="6">
        <v>1236.0</v>
      </c>
      <c r="D1243" s="6"/>
      <c r="E1243" s="6">
        <v>6124961.751905565</v>
      </c>
      <c r="F1243" s="6">
        <v>487.61523564076595</v>
      </c>
      <c r="G1243" s="6">
        <v>5.6223044657133165</v>
      </c>
      <c r="H1243" s="6">
        <v>6020073.900641223</v>
      </c>
      <c r="I1243" s="6">
        <v>482.68832413622334</v>
      </c>
      <c r="J1243" s="6">
        <v>3.961951716888812</v>
      </c>
      <c r="K1243" s="6"/>
      <c r="L1243" s="6"/>
      <c r="M1243" s="6"/>
      <c r="N1243" s="6">
        <f t="shared" ref="N1243:P1243" si="1246">IF(LEN($C1243)&gt;0,H1243-E1243,"")</f>
        <v>-104887.8513</v>
      </c>
      <c r="O1243" s="6">
        <f t="shared" si="1246"/>
        <v>-4.926911505</v>
      </c>
      <c r="P1243" s="6">
        <f t="shared" si="1246"/>
        <v>-1.660352749</v>
      </c>
      <c r="Q1243" s="6"/>
      <c r="R1243" s="6"/>
      <c r="S1243" s="6"/>
      <c r="T1243" s="6"/>
      <c r="U1243" s="6"/>
      <c r="V1243" s="6"/>
      <c r="W1243" s="6"/>
      <c r="X1243" s="6"/>
      <c r="Y1243" s="6"/>
      <c r="Z1243" s="6"/>
      <c r="AA1243" s="6"/>
      <c r="AB1243" s="6"/>
      <c r="AC1243" s="6"/>
      <c r="AD1243" s="6"/>
      <c r="AE1243" s="6"/>
      <c r="AF1243" s="6"/>
      <c r="AG1243" s="6"/>
    </row>
    <row r="1244" ht="14.25" customHeight="1">
      <c r="A1244" s="6"/>
      <c r="B1244" s="6"/>
      <c r="C1244" s="6">
        <v>1237.0</v>
      </c>
      <c r="D1244" s="6"/>
      <c r="E1244" s="6">
        <v>6444034.419265169</v>
      </c>
      <c r="F1244" s="6">
        <v>507.8421242666149</v>
      </c>
      <c r="G1244" s="6">
        <v>5.548012584361294</v>
      </c>
      <c r="H1244" s="6">
        <v>6316139.211815901</v>
      </c>
      <c r="I1244" s="6">
        <v>500.7456245385639</v>
      </c>
      <c r="J1244" s="6">
        <v>4.143243085044261</v>
      </c>
      <c r="K1244" s="6"/>
      <c r="L1244" s="6"/>
      <c r="M1244" s="6"/>
      <c r="N1244" s="6">
        <f t="shared" ref="N1244:P1244" si="1247">IF(LEN($C1244)&gt;0,H1244-E1244,"")</f>
        <v>-127895.2074</v>
      </c>
      <c r="O1244" s="6">
        <f t="shared" si="1247"/>
        <v>-7.096499728</v>
      </c>
      <c r="P1244" s="6">
        <f t="shared" si="1247"/>
        <v>-1.404769499</v>
      </c>
      <c r="Q1244" s="6"/>
      <c r="R1244" s="6"/>
      <c r="S1244" s="6"/>
      <c r="T1244" s="6"/>
      <c r="U1244" s="6"/>
      <c r="V1244" s="6"/>
      <c r="W1244" s="6"/>
      <c r="X1244" s="6"/>
      <c r="Y1244" s="6"/>
      <c r="Z1244" s="6"/>
      <c r="AA1244" s="6"/>
      <c r="AB1244" s="6"/>
      <c r="AC1244" s="6"/>
      <c r="AD1244" s="6"/>
      <c r="AE1244" s="6"/>
      <c r="AF1244" s="6"/>
      <c r="AG1244" s="6"/>
    </row>
    <row r="1245" ht="14.25" customHeight="1">
      <c r="A1245" s="6"/>
      <c r="B1245" s="6"/>
      <c r="C1245" s="6">
        <v>1238.0</v>
      </c>
      <c r="D1245" s="6"/>
      <c r="E1245" s="6">
        <v>5634980.244265049</v>
      </c>
      <c r="F1245" s="6">
        <v>443.18854196646316</v>
      </c>
      <c r="G1245" s="6">
        <v>5.51539371110364</v>
      </c>
      <c r="H1245" s="6">
        <v>5524228.627246261</v>
      </c>
      <c r="I1245" s="6">
        <v>438.6392081018638</v>
      </c>
      <c r="J1245" s="6">
        <v>4.165755071847916</v>
      </c>
      <c r="K1245" s="6"/>
      <c r="L1245" s="6"/>
      <c r="M1245" s="6"/>
      <c r="N1245" s="6">
        <f t="shared" ref="N1245:P1245" si="1248">IF(LEN($C1245)&gt;0,H1245-E1245,"")</f>
        <v>-110751.617</v>
      </c>
      <c r="O1245" s="6">
        <f t="shared" si="1248"/>
        <v>-4.549333865</v>
      </c>
      <c r="P1245" s="6">
        <f t="shared" si="1248"/>
        <v>-1.349638639</v>
      </c>
      <c r="Q1245" s="6"/>
      <c r="R1245" s="6"/>
      <c r="S1245" s="6"/>
      <c r="T1245" s="6"/>
      <c r="U1245" s="6"/>
      <c r="V1245" s="6"/>
      <c r="W1245" s="6"/>
      <c r="X1245" s="6"/>
      <c r="Y1245" s="6"/>
      <c r="Z1245" s="6"/>
      <c r="AA1245" s="6"/>
      <c r="AB1245" s="6"/>
      <c r="AC1245" s="6"/>
      <c r="AD1245" s="6"/>
      <c r="AE1245" s="6"/>
      <c r="AF1245" s="6"/>
      <c r="AG1245" s="6"/>
    </row>
    <row r="1246" ht="14.25" customHeight="1">
      <c r="A1246" s="6"/>
      <c r="B1246" s="6"/>
      <c r="C1246" s="6">
        <v>1239.0</v>
      </c>
      <c r="D1246" s="6"/>
      <c r="E1246" s="6">
        <v>6582325.258231696</v>
      </c>
      <c r="F1246" s="6">
        <v>486.98004880384343</v>
      </c>
      <c r="G1246" s="6">
        <v>5.678674694238841</v>
      </c>
      <c r="H1246" s="6">
        <v>6484670.21253355</v>
      </c>
      <c r="I1246" s="6">
        <v>481.90229678910595</v>
      </c>
      <c r="J1246" s="6">
        <v>4.408378117493091</v>
      </c>
      <c r="K1246" s="6"/>
      <c r="L1246" s="6"/>
      <c r="M1246" s="6"/>
      <c r="N1246" s="6">
        <f t="shared" ref="N1246:P1246" si="1249">IF(LEN($C1246)&gt;0,H1246-E1246,"")</f>
        <v>-97655.0457</v>
      </c>
      <c r="O1246" s="6">
        <f t="shared" si="1249"/>
        <v>-5.077752015</v>
      </c>
      <c r="P1246" s="6">
        <f t="shared" si="1249"/>
        <v>-1.270296577</v>
      </c>
      <c r="Q1246" s="6"/>
      <c r="R1246" s="6"/>
      <c r="S1246" s="6"/>
      <c r="T1246" s="6"/>
      <c r="U1246" s="6"/>
      <c r="V1246" s="6"/>
      <c r="W1246" s="6"/>
      <c r="X1246" s="6"/>
      <c r="Y1246" s="6"/>
      <c r="Z1246" s="6"/>
      <c r="AA1246" s="6"/>
      <c r="AB1246" s="6"/>
      <c r="AC1246" s="6"/>
      <c r="AD1246" s="6"/>
      <c r="AE1246" s="6"/>
      <c r="AF1246" s="6"/>
      <c r="AG1246" s="6"/>
    </row>
    <row r="1247" ht="14.25" customHeight="1">
      <c r="A1247" s="6"/>
      <c r="B1247" s="6"/>
      <c r="C1247" s="6">
        <v>1240.0</v>
      </c>
      <c r="D1247" s="6"/>
      <c r="E1247" s="6">
        <v>7304549.392895347</v>
      </c>
      <c r="F1247" s="6">
        <v>497.30161334571517</v>
      </c>
      <c r="G1247" s="6">
        <v>4.722167510856746</v>
      </c>
      <c r="H1247" s="6">
        <v>7143522.046425496</v>
      </c>
      <c r="I1247" s="6">
        <v>489.55072144825175</v>
      </c>
      <c r="J1247" s="6">
        <v>3.263000399629301</v>
      </c>
      <c r="K1247" s="6"/>
      <c r="L1247" s="6"/>
      <c r="M1247" s="6"/>
      <c r="N1247" s="6">
        <f t="shared" ref="N1247:P1247" si="1250">IF(LEN($C1247)&gt;0,H1247-E1247,"")</f>
        <v>-161027.3465</v>
      </c>
      <c r="O1247" s="6">
        <f t="shared" si="1250"/>
        <v>-7.750891897</v>
      </c>
      <c r="P1247" s="6">
        <f t="shared" si="1250"/>
        <v>-1.459167111</v>
      </c>
      <c r="Q1247" s="6"/>
      <c r="R1247" s="6"/>
      <c r="S1247" s="6"/>
      <c r="T1247" s="6"/>
      <c r="U1247" s="6"/>
      <c r="V1247" s="6"/>
      <c r="W1247" s="6"/>
      <c r="X1247" s="6"/>
      <c r="Y1247" s="6"/>
      <c r="Z1247" s="6"/>
      <c r="AA1247" s="6"/>
      <c r="AB1247" s="6"/>
      <c r="AC1247" s="6"/>
      <c r="AD1247" s="6"/>
      <c r="AE1247" s="6"/>
      <c r="AF1247" s="6"/>
      <c r="AG1247" s="6"/>
    </row>
    <row r="1248" ht="14.25" customHeight="1">
      <c r="A1248" s="6"/>
      <c r="B1248" s="6"/>
      <c r="C1248" s="6">
        <v>1241.0</v>
      </c>
      <c r="D1248" s="6"/>
      <c r="E1248" s="6">
        <v>9937824.877377992</v>
      </c>
      <c r="F1248" s="6">
        <v>494.75425876948833</v>
      </c>
      <c r="G1248" s="6">
        <v>4.755665938919981</v>
      </c>
      <c r="H1248" s="6">
        <v>9800333.427880254</v>
      </c>
      <c r="I1248" s="6">
        <v>488.88070638618944</v>
      </c>
      <c r="J1248" s="6">
        <v>3.210270332032332</v>
      </c>
      <c r="K1248" s="6"/>
      <c r="L1248" s="6"/>
      <c r="M1248" s="6"/>
      <c r="N1248" s="6">
        <f t="shared" ref="N1248:P1248" si="1251">IF(LEN($C1248)&gt;0,H1248-E1248,"")</f>
        <v>-137491.4495</v>
      </c>
      <c r="O1248" s="6">
        <f t="shared" si="1251"/>
        <v>-5.873552383</v>
      </c>
      <c r="P1248" s="6">
        <f t="shared" si="1251"/>
        <v>-1.545395607</v>
      </c>
      <c r="Q1248" s="6"/>
      <c r="R1248" s="6"/>
      <c r="S1248" s="6"/>
      <c r="T1248" s="6"/>
      <c r="U1248" s="6"/>
      <c r="V1248" s="6"/>
      <c r="W1248" s="6"/>
      <c r="X1248" s="6"/>
      <c r="Y1248" s="6"/>
      <c r="Z1248" s="6"/>
      <c r="AA1248" s="6"/>
      <c r="AB1248" s="6"/>
      <c r="AC1248" s="6"/>
      <c r="AD1248" s="6"/>
      <c r="AE1248" s="6"/>
      <c r="AF1248" s="6"/>
      <c r="AG1248" s="6"/>
    </row>
    <row r="1249" ht="14.25" customHeight="1">
      <c r="A1249" s="6"/>
      <c r="B1249" s="6"/>
      <c r="C1249" s="6">
        <v>1242.0</v>
      </c>
      <c r="D1249" s="6"/>
      <c r="E1249" s="6">
        <v>7980979.556828961</v>
      </c>
      <c r="F1249" s="6">
        <v>439.50950592112434</v>
      </c>
      <c r="G1249" s="6">
        <v>6.341310224676676</v>
      </c>
      <c r="H1249" s="6">
        <v>7867411.045004837</v>
      </c>
      <c r="I1249" s="6">
        <v>435.5708458119103</v>
      </c>
      <c r="J1249" s="6">
        <v>4.534974519065917</v>
      </c>
      <c r="K1249" s="6"/>
      <c r="L1249" s="6"/>
      <c r="M1249" s="6"/>
      <c r="N1249" s="6">
        <f t="shared" ref="N1249:P1249" si="1252">IF(LEN($C1249)&gt;0,H1249-E1249,"")</f>
        <v>-113568.5118</v>
      </c>
      <c r="O1249" s="6">
        <f t="shared" si="1252"/>
        <v>-3.938660109</v>
      </c>
      <c r="P1249" s="6">
        <f t="shared" si="1252"/>
        <v>-1.806335706</v>
      </c>
      <c r="Q1249" s="6"/>
      <c r="R1249" s="6"/>
      <c r="S1249" s="6"/>
      <c r="T1249" s="6"/>
      <c r="U1249" s="6"/>
      <c r="V1249" s="6"/>
      <c r="W1249" s="6"/>
      <c r="X1249" s="6"/>
      <c r="Y1249" s="6"/>
      <c r="Z1249" s="6"/>
      <c r="AA1249" s="6"/>
      <c r="AB1249" s="6"/>
      <c r="AC1249" s="6"/>
      <c r="AD1249" s="6"/>
      <c r="AE1249" s="6"/>
      <c r="AF1249" s="6"/>
      <c r="AG1249" s="6"/>
    </row>
    <row r="1250" ht="14.25" customHeight="1">
      <c r="A1250" s="6"/>
      <c r="B1250" s="6"/>
      <c r="C1250" s="6">
        <v>1243.0</v>
      </c>
      <c r="D1250" s="6"/>
      <c r="E1250" s="6">
        <v>8717399.0008537</v>
      </c>
      <c r="F1250" s="6">
        <v>495.5365036851397</v>
      </c>
      <c r="G1250" s="6">
        <v>4.676488808053677</v>
      </c>
      <c r="H1250" s="6">
        <v>8536965.162097238</v>
      </c>
      <c r="I1250" s="6">
        <v>488.29708616120297</v>
      </c>
      <c r="J1250" s="6">
        <v>3.550009811947896</v>
      </c>
      <c r="K1250" s="6"/>
      <c r="L1250" s="6"/>
      <c r="M1250" s="6"/>
      <c r="N1250" s="6">
        <f t="shared" ref="N1250:P1250" si="1253">IF(LEN($C1250)&gt;0,H1250-E1250,"")</f>
        <v>-180433.8388</v>
      </c>
      <c r="O1250" s="6">
        <f t="shared" si="1253"/>
        <v>-7.239417524</v>
      </c>
      <c r="P1250" s="6">
        <f t="shared" si="1253"/>
        <v>-1.126478996</v>
      </c>
      <c r="Q1250" s="6"/>
      <c r="R1250" s="6"/>
      <c r="S1250" s="6"/>
      <c r="T1250" s="6"/>
      <c r="U1250" s="6"/>
      <c r="V1250" s="6"/>
      <c r="W1250" s="6"/>
      <c r="X1250" s="6"/>
      <c r="Y1250" s="6"/>
      <c r="Z1250" s="6"/>
      <c r="AA1250" s="6"/>
      <c r="AB1250" s="6"/>
      <c r="AC1250" s="6"/>
      <c r="AD1250" s="6"/>
      <c r="AE1250" s="6"/>
      <c r="AF1250" s="6"/>
      <c r="AG1250" s="6"/>
    </row>
    <row r="1251" ht="14.25" customHeight="1">
      <c r="A1251" s="6"/>
      <c r="B1251" s="6"/>
      <c r="C1251" s="6">
        <v>1244.0</v>
      </c>
      <c r="D1251" s="6"/>
      <c r="E1251" s="6">
        <v>6125424.203582415</v>
      </c>
      <c r="F1251" s="6">
        <v>489.01111619718023</v>
      </c>
      <c r="G1251" s="6">
        <v>5.021768984892323</v>
      </c>
      <c r="H1251" s="6">
        <v>5940646.387253952</v>
      </c>
      <c r="I1251" s="6">
        <v>483.18721783588165</v>
      </c>
      <c r="J1251" s="6">
        <v>3.48126956990794</v>
      </c>
      <c r="K1251" s="6"/>
      <c r="L1251" s="6"/>
      <c r="M1251" s="6"/>
      <c r="N1251" s="6">
        <f t="shared" ref="N1251:P1251" si="1254">IF(LEN($C1251)&gt;0,H1251-E1251,"")</f>
        <v>-184777.8163</v>
      </c>
      <c r="O1251" s="6">
        <f t="shared" si="1254"/>
        <v>-5.823898361</v>
      </c>
      <c r="P1251" s="6">
        <f t="shared" si="1254"/>
        <v>-1.540499415</v>
      </c>
      <c r="Q1251" s="6"/>
      <c r="R1251" s="6"/>
      <c r="S1251" s="6"/>
      <c r="T1251" s="6"/>
      <c r="U1251" s="6"/>
      <c r="V1251" s="6"/>
      <c r="W1251" s="6"/>
      <c r="X1251" s="6"/>
      <c r="Y1251" s="6"/>
      <c r="Z1251" s="6"/>
      <c r="AA1251" s="6"/>
      <c r="AB1251" s="6"/>
      <c r="AC1251" s="6"/>
      <c r="AD1251" s="6"/>
      <c r="AE1251" s="6"/>
      <c r="AF1251" s="6"/>
      <c r="AG1251" s="6"/>
    </row>
    <row r="1252" ht="14.25" customHeight="1">
      <c r="A1252" s="6"/>
      <c r="B1252" s="6"/>
      <c r="C1252" s="6">
        <v>1245.0</v>
      </c>
      <c r="D1252" s="6"/>
      <c r="E1252" s="6">
        <v>8714425.602818755</v>
      </c>
      <c r="F1252" s="6">
        <v>480.95884791687604</v>
      </c>
      <c r="G1252" s="6">
        <v>4.3475021911957885</v>
      </c>
      <c r="H1252" s="6">
        <v>8632778.829125471</v>
      </c>
      <c r="I1252" s="6">
        <v>477.3689240386791</v>
      </c>
      <c r="J1252" s="6">
        <v>3.3219765067308162</v>
      </c>
      <c r="K1252" s="6"/>
      <c r="L1252" s="6"/>
      <c r="M1252" s="6"/>
      <c r="N1252" s="6">
        <f t="shared" ref="N1252:P1252" si="1255">IF(LEN($C1252)&gt;0,H1252-E1252,"")</f>
        <v>-81646.77369</v>
      </c>
      <c r="O1252" s="6">
        <f t="shared" si="1255"/>
        <v>-3.589923878</v>
      </c>
      <c r="P1252" s="6">
        <f t="shared" si="1255"/>
        <v>-1.025525684</v>
      </c>
      <c r="Q1252" s="6"/>
      <c r="R1252" s="6"/>
      <c r="S1252" s="6"/>
      <c r="T1252" s="6"/>
      <c r="U1252" s="6"/>
      <c r="V1252" s="6"/>
      <c r="W1252" s="6"/>
      <c r="X1252" s="6"/>
      <c r="Y1252" s="6"/>
      <c r="Z1252" s="6"/>
      <c r="AA1252" s="6"/>
      <c r="AB1252" s="6"/>
      <c r="AC1252" s="6"/>
      <c r="AD1252" s="6"/>
      <c r="AE1252" s="6"/>
      <c r="AF1252" s="6"/>
      <c r="AG1252" s="6"/>
    </row>
    <row r="1253" ht="14.25" customHeight="1">
      <c r="A1253" s="6"/>
      <c r="B1253" s="6"/>
      <c r="C1253" s="6">
        <v>1246.0</v>
      </c>
      <c r="D1253" s="6"/>
      <c r="E1253" s="6">
        <v>8198779.193459467</v>
      </c>
      <c r="F1253" s="6">
        <v>469.78674772662083</v>
      </c>
      <c r="G1253" s="6">
        <v>5.193889782015148</v>
      </c>
      <c r="H1253" s="6">
        <v>8018719.582243913</v>
      </c>
      <c r="I1253" s="6">
        <v>462.51311971587705</v>
      </c>
      <c r="J1253" s="6">
        <v>3.9075222438283626</v>
      </c>
      <c r="K1253" s="6"/>
      <c r="L1253" s="6"/>
      <c r="M1253" s="6"/>
      <c r="N1253" s="6">
        <f t="shared" ref="N1253:P1253" si="1256">IF(LEN($C1253)&gt;0,H1253-E1253,"")</f>
        <v>-180059.6112</v>
      </c>
      <c r="O1253" s="6">
        <f t="shared" si="1256"/>
        <v>-7.273628011</v>
      </c>
      <c r="P1253" s="6">
        <f t="shared" si="1256"/>
        <v>-1.286367538</v>
      </c>
      <c r="Q1253" s="6"/>
      <c r="R1253" s="6"/>
      <c r="S1253" s="6"/>
      <c r="T1253" s="6"/>
      <c r="U1253" s="6"/>
      <c r="V1253" s="6"/>
      <c r="W1253" s="6"/>
      <c r="X1253" s="6"/>
      <c r="Y1253" s="6"/>
      <c r="Z1253" s="6"/>
      <c r="AA1253" s="6"/>
      <c r="AB1253" s="6"/>
      <c r="AC1253" s="6"/>
      <c r="AD1253" s="6"/>
      <c r="AE1253" s="6"/>
      <c r="AF1253" s="6"/>
      <c r="AG1253" s="6"/>
    </row>
    <row r="1254" ht="14.25" customHeight="1">
      <c r="A1254" s="6"/>
      <c r="B1254" s="6"/>
      <c r="C1254" s="6">
        <v>1247.0</v>
      </c>
      <c r="D1254" s="6"/>
      <c r="E1254" s="6">
        <v>7324431.304977585</v>
      </c>
      <c r="F1254" s="6">
        <v>506.0353556353613</v>
      </c>
      <c r="G1254" s="6">
        <v>5.070224753383959</v>
      </c>
      <c r="H1254" s="6">
        <v>7157935.222180641</v>
      </c>
      <c r="I1254" s="6">
        <v>498.4772543659868</v>
      </c>
      <c r="J1254" s="6">
        <v>3.3008891438735017</v>
      </c>
      <c r="K1254" s="6"/>
      <c r="L1254" s="6"/>
      <c r="M1254" s="6"/>
      <c r="N1254" s="6">
        <f t="shared" ref="N1254:P1254" si="1257">IF(LEN($C1254)&gt;0,H1254-E1254,"")</f>
        <v>-166496.0828</v>
      </c>
      <c r="O1254" s="6">
        <f t="shared" si="1257"/>
        <v>-7.558101269</v>
      </c>
      <c r="P1254" s="6">
        <f t="shared" si="1257"/>
        <v>-1.76933561</v>
      </c>
      <c r="Q1254" s="6"/>
      <c r="R1254" s="6"/>
      <c r="S1254" s="6"/>
      <c r="T1254" s="6"/>
      <c r="U1254" s="6"/>
      <c r="V1254" s="6"/>
      <c r="W1254" s="6"/>
      <c r="X1254" s="6"/>
      <c r="Y1254" s="6"/>
      <c r="Z1254" s="6"/>
      <c r="AA1254" s="6"/>
      <c r="AB1254" s="6"/>
      <c r="AC1254" s="6"/>
      <c r="AD1254" s="6"/>
      <c r="AE1254" s="6"/>
      <c r="AF1254" s="6"/>
      <c r="AG1254" s="6"/>
    </row>
    <row r="1255" ht="14.25" customHeight="1">
      <c r="A1255" s="6"/>
      <c r="B1255" s="6"/>
      <c r="C1255" s="6">
        <v>1248.0</v>
      </c>
      <c r="D1255" s="6"/>
      <c r="E1255" s="6">
        <v>6093055.51327308</v>
      </c>
      <c r="F1255" s="6">
        <v>451.50321972305153</v>
      </c>
      <c r="G1255" s="6">
        <v>5.047688004058064</v>
      </c>
      <c r="H1255" s="6">
        <v>5940174.399608868</v>
      </c>
      <c r="I1255" s="6">
        <v>443.57197398875667</v>
      </c>
      <c r="J1255" s="6">
        <v>3.4198758844422077</v>
      </c>
      <c r="K1255" s="6"/>
      <c r="L1255" s="6"/>
      <c r="M1255" s="6"/>
      <c r="N1255" s="6">
        <f t="shared" ref="N1255:P1255" si="1258">IF(LEN($C1255)&gt;0,H1255-E1255,"")</f>
        <v>-152881.1137</v>
      </c>
      <c r="O1255" s="6">
        <f t="shared" si="1258"/>
        <v>-7.931245734</v>
      </c>
      <c r="P1255" s="6">
        <f t="shared" si="1258"/>
        <v>-1.62781212</v>
      </c>
      <c r="Q1255" s="6"/>
      <c r="R1255" s="6"/>
      <c r="S1255" s="6"/>
      <c r="T1255" s="6"/>
      <c r="U1255" s="6"/>
      <c r="V1255" s="6"/>
      <c r="W1255" s="6"/>
      <c r="X1255" s="6"/>
      <c r="Y1255" s="6"/>
      <c r="Z1255" s="6"/>
      <c r="AA1255" s="6"/>
      <c r="AB1255" s="6"/>
      <c r="AC1255" s="6"/>
      <c r="AD1255" s="6"/>
      <c r="AE1255" s="6"/>
      <c r="AF1255" s="6"/>
      <c r="AG1255" s="6"/>
    </row>
    <row r="1256" ht="14.25" customHeight="1">
      <c r="A1256" s="6"/>
      <c r="B1256" s="6"/>
      <c r="C1256" s="6">
        <v>1249.0</v>
      </c>
      <c r="D1256" s="6"/>
      <c r="E1256" s="6">
        <v>5899013.627652106</v>
      </c>
      <c r="F1256" s="6">
        <v>449.1296018895401</v>
      </c>
      <c r="G1256" s="6">
        <v>5.869425881909727</v>
      </c>
      <c r="H1256" s="6">
        <v>5731287.179668958</v>
      </c>
      <c r="I1256" s="6">
        <v>442.7199755291767</v>
      </c>
      <c r="J1256" s="6">
        <v>4.30825981974527</v>
      </c>
      <c r="K1256" s="6"/>
      <c r="L1256" s="6"/>
      <c r="M1256" s="6"/>
      <c r="N1256" s="6">
        <f t="shared" ref="N1256:P1256" si="1259">IF(LEN($C1256)&gt;0,H1256-E1256,"")</f>
        <v>-167726.448</v>
      </c>
      <c r="O1256" s="6">
        <f t="shared" si="1259"/>
        <v>-6.40962636</v>
      </c>
      <c r="P1256" s="6">
        <f t="shared" si="1259"/>
        <v>-1.561166062</v>
      </c>
      <c r="Q1256" s="6"/>
      <c r="R1256" s="6"/>
      <c r="S1256" s="6"/>
      <c r="T1256" s="6"/>
      <c r="U1256" s="6"/>
      <c r="V1256" s="6"/>
      <c r="W1256" s="6"/>
      <c r="X1256" s="6"/>
      <c r="Y1256" s="6"/>
      <c r="Z1256" s="6"/>
      <c r="AA1256" s="6"/>
      <c r="AB1256" s="6"/>
      <c r="AC1256" s="6"/>
      <c r="AD1256" s="6"/>
      <c r="AE1256" s="6"/>
      <c r="AF1256" s="6"/>
      <c r="AG1256" s="6"/>
    </row>
    <row r="1257" ht="14.25" customHeight="1">
      <c r="A1257" s="6"/>
      <c r="B1257" s="6"/>
      <c r="C1257" s="6">
        <v>1250.0</v>
      </c>
      <c r="D1257" s="6"/>
      <c r="E1257" s="6">
        <v>7612927.0852375245</v>
      </c>
      <c r="F1257" s="6">
        <v>475.40302054418044</v>
      </c>
      <c r="G1257" s="6">
        <v>5.060141734075008</v>
      </c>
      <c r="H1257" s="6">
        <v>7414531.751518781</v>
      </c>
      <c r="I1257" s="6">
        <v>466.1621317699103</v>
      </c>
      <c r="J1257" s="6">
        <v>3.5205968686919658</v>
      </c>
      <c r="K1257" s="6"/>
      <c r="L1257" s="6"/>
      <c r="M1257" s="6"/>
      <c r="N1257" s="6">
        <f t="shared" ref="N1257:P1257" si="1260">IF(LEN($C1257)&gt;0,H1257-E1257,"")</f>
        <v>-198395.3337</v>
      </c>
      <c r="O1257" s="6">
        <f t="shared" si="1260"/>
        <v>-9.240888774</v>
      </c>
      <c r="P1257" s="6">
        <f t="shared" si="1260"/>
        <v>-1.539544865</v>
      </c>
      <c r="Q1257" s="6"/>
      <c r="R1257" s="6"/>
      <c r="S1257" s="6"/>
      <c r="T1257" s="6"/>
      <c r="U1257" s="6"/>
      <c r="V1257" s="6"/>
      <c r="W1257" s="6"/>
      <c r="X1257" s="6"/>
      <c r="Y1257" s="6"/>
      <c r="Z1257" s="6"/>
      <c r="AA1257" s="6"/>
      <c r="AB1257" s="6"/>
      <c r="AC1257" s="6"/>
      <c r="AD1257" s="6"/>
      <c r="AE1257" s="6"/>
      <c r="AF1257" s="6"/>
      <c r="AG1257" s="6"/>
    </row>
    <row r="1258" ht="14.25" customHeight="1">
      <c r="A1258" s="6"/>
      <c r="B1258" s="6"/>
      <c r="C1258" s="6">
        <v>1251.0</v>
      </c>
      <c r="D1258" s="6"/>
      <c r="E1258" s="6">
        <v>7311976.617311155</v>
      </c>
      <c r="F1258" s="6">
        <v>433.4361596899738</v>
      </c>
      <c r="G1258" s="6">
        <v>4.026322422065827</v>
      </c>
      <c r="H1258" s="6">
        <v>7252227.826754235</v>
      </c>
      <c r="I1258" s="6">
        <v>430.99678178217084</v>
      </c>
      <c r="J1258" s="6">
        <v>3.0567892271516794</v>
      </c>
      <c r="K1258" s="6"/>
      <c r="L1258" s="6"/>
      <c r="M1258" s="6"/>
      <c r="N1258" s="6">
        <f t="shared" ref="N1258:P1258" si="1261">IF(LEN($C1258)&gt;0,H1258-E1258,"")</f>
        <v>-59748.79056</v>
      </c>
      <c r="O1258" s="6">
        <f t="shared" si="1261"/>
        <v>-2.439377908</v>
      </c>
      <c r="P1258" s="6">
        <f t="shared" si="1261"/>
        <v>-0.9695331949</v>
      </c>
      <c r="Q1258" s="6"/>
      <c r="R1258" s="6"/>
      <c r="S1258" s="6"/>
      <c r="T1258" s="6"/>
      <c r="U1258" s="6"/>
      <c r="V1258" s="6"/>
      <c r="W1258" s="6"/>
      <c r="X1258" s="6"/>
      <c r="Y1258" s="6"/>
      <c r="Z1258" s="6"/>
      <c r="AA1258" s="6"/>
      <c r="AB1258" s="6"/>
      <c r="AC1258" s="6"/>
      <c r="AD1258" s="6"/>
      <c r="AE1258" s="6"/>
      <c r="AF1258" s="6"/>
      <c r="AG1258" s="6"/>
    </row>
    <row r="1259" ht="14.25" customHeight="1">
      <c r="A1259" s="6"/>
      <c r="B1259" s="6"/>
      <c r="C1259" s="6">
        <v>1252.0</v>
      </c>
      <c r="D1259" s="6"/>
      <c r="E1259" s="6">
        <v>5827771.149740616</v>
      </c>
      <c r="F1259" s="6">
        <v>449.21724076693295</v>
      </c>
      <c r="G1259" s="6">
        <v>6.237128291367384</v>
      </c>
      <c r="H1259" s="6">
        <v>5703021.726444022</v>
      </c>
      <c r="I1259" s="6">
        <v>444.79401654406433</v>
      </c>
      <c r="J1259" s="6">
        <v>4.119629003212684</v>
      </c>
      <c r="K1259" s="6"/>
      <c r="L1259" s="6"/>
      <c r="M1259" s="6"/>
      <c r="N1259" s="6">
        <f t="shared" ref="N1259:P1259" si="1262">IF(LEN($C1259)&gt;0,H1259-E1259,"")</f>
        <v>-124749.4233</v>
      </c>
      <c r="O1259" s="6">
        <f t="shared" si="1262"/>
        <v>-4.423224223</v>
      </c>
      <c r="P1259" s="6">
        <f t="shared" si="1262"/>
        <v>-2.117499288</v>
      </c>
      <c r="Q1259" s="6"/>
      <c r="R1259" s="6"/>
      <c r="S1259" s="6"/>
      <c r="T1259" s="6"/>
      <c r="U1259" s="6"/>
      <c r="V1259" s="6"/>
      <c r="W1259" s="6"/>
      <c r="X1259" s="6"/>
      <c r="Y1259" s="6"/>
      <c r="Z1259" s="6"/>
      <c r="AA1259" s="6"/>
      <c r="AB1259" s="6"/>
      <c r="AC1259" s="6"/>
      <c r="AD1259" s="6"/>
      <c r="AE1259" s="6"/>
      <c r="AF1259" s="6"/>
      <c r="AG1259" s="6"/>
    </row>
    <row r="1260" ht="14.25" customHeight="1">
      <c r="A1260" s="6"/>
      <c r="B1260" s="6"/>
      <c r="C1260" s="6">
        <v>1253.0</v>
      </c>
      <c r="D1260" s="6"/>
      <c r="E1260" s="6">
        <v>8870216.079031678</v>
      </c>
      <c r="F1260" s="6">
        <v>473.3044801814289</v>
      </c>
      <c r="G1260" s="6">
        <v>3.704252093588813</v>
      </c>
      <c r="H1260" s="6">
        <v>8778291.333352517</v>
      </c>
      <c r="I1260" s="6">
        <v>467.49243530599387</v>
      </c>
      <c r="J1260" s="6">
        <v>2.5482661221532488</v>
      </c>
      <c r="K1260" s="6"/>
      <c r="L1260" s="6"/>
      <c r="M1260" s="6"/>
      <c r="N1260" s="6">
        <f t="shared" ref="N1260:P1260" si="1263">IF(LEN($C1260)&gt;0,H1260-E1260,"")</f>
        <v>-91924.74568</v>
      </c>
      <c r="O1260" s="6">
        <f t="shared" si="1263"/>
        <v>-5.812044875</v>
      </c>
      <c r="P1260" s="6">
        <f t="shared" si="1263"/>
        <v>-1.155985971</v>
      </c>
      <c r="Q1260" s="6"/>
      <c r="R1260" s="6"/>
      <c r="S1260" s="6"/>
      <c r="T1260" s="6"/>
      <c r="U1260" s="6"/>
      <c r="V1260" s="6"/>
      <c r="W1260" s="6"/>
      <c r="X1260" s="6"/>
      <c r="Y1260" s="6"/>
      <c r="Z1260" s="6"/>
      <c r="AA1260" s="6"/>
      <c r="AB1260" s="6"/>
      <c r="AC1260" s="6"/>
      <c r="AD1260" s="6"/>
      <c r="AE1260" s="6"/>
      <c r="AF1260" s="6"/>
      <c r="AG1260" s="6"/>
    </row>
    <row r="1261" ht="14.25" customHeight="1">
      <c r="A1261" s="6"/>
      <c r="B1261" s="6"/>
      <c r="C1261" s="6">
        <v>1254.0</v>
      </c>
      <c r="D1261" s="6"/>
      <c r="E1261" s="6">
        <v>6314150.587819519</v>
      </c>
      <c r="F1261" s="6">
        <v>479.5395424318853</v>
      </c>
      <c r="G1261" s="6">
        <v>4.625101712455046</v>
      </c>
      <c r="H1261" s="6">
        <v>6239187.168620998</v>
      </c>
      <c r="I1261" s="6">
        <v>476.82379749585493</v>
      </c>
      <c r="J1261" s="6">
        <v>3.453241966909824</v>
      </c>
      <c r="K1261" s="6"/>
      <c r="L1261" s="6"/>
      <c r="M1261" s="6"/>
      <c r="N1261" s="6">
        <f t="shared" ref="N1261:P1261" si="1264">IF(LEN($C1261)&gt;0,H1261-E1261,"")</f>
        <v>-74963.4192</v>
      </c>
      <c r="O1261" s="6">
        <f t="shared" si="1264"/>
        <v>-2.715744936</v>
      </c>
      <c r="P1261" s="6">
        <f t="shared" si="1264"/>
        <v>-1.171859746</v>
      </c>
      <c r="Q1261" s="6"/>
      <c r="R1261" s="6"/>
      <c r="S1261" s="6"/>
      <c r="T1261" s="6"/>
      <c r="U1261" s="6"/>
      <c r="V1261" s="6"/>
      <c r="W1261" s="6"/>
      <c r="X1261" s="6"/>
      <c r="Y1261" s="6"/>
      <c r="Z1261" s="6"/>
      <c r="AA1261" s="6"/>
      <c r="AB1261" s="6"/>
      <c r="AC1261" s="6"/>
      <c r="AD1261" s="6"/>
      <c r="AE1261" s="6"/>
      <c r="AF1261" s="6"/>
      <c r="AG1261" s="6"/>
    </row>
    <row r="1262" ht="14.25" customHeight="1">
      <c r="A1262" s="6"/>
      <c r="B1262" s="6"/>
      <c r="C1262" s="6">
        <v>1255.0</v>
      </c>
      <c r="D1262" s="6"/>
      <c r="E1262" s="6">
        <v>1.0861811277984273E7</v>
      </c>
      <c r="F1262" s="6">
        <v>487.1414337036427</v>
      </c>
      <c r="G1262" s="6">
        <v>4.442787486704773</v>
      </c>
      <c r="H1262" s="6">
        <v>1.0715919826890722E7</v>
      </c>
      <c r="I1262" s="6">
        <v>481.48627828416073</v>
      </c>
      <c r="J1262" s="6">
        <v>2.812886422952782</v>
      </c>
      <c r="K1262" s="6"/>
      <c r="L1262" s="6"/>
      <c r="M1262" s="6"/>
      <c r="N1262" s="6">
        <f t="shared" ref="N1262:P1262" si="1265">IF(LEN($C1262)&gt;0,H1262-E1262,"")</f>
        <v>-145891.4511</v>
      </c>
      <c r="O1262" s="6">
        <f t="shared" si="1265"/>
        <v>-5.655155419</v>
      </c>
      <c r="P1262" s="6">
        <f t="shared" si="1265"/>
        <v>-1.629901064</v>
      </c>
      <c r="Q1262" s="6"/>
      <c r="R1262" s="6"/>
      <c r="S1262" s="6"/>
      <c r="T1262" s="6"/>
      <c r="U1262" s="6"/>
      <c r="V1262" s="6"/>
      <c r="W1262" s="6"/>
      <c r="X1262" s="6"/>
      <c r="Y1262" s="6"/>
      <c r="Z1262" s="6"/>
      <c r="AA1262" s="6"/>
      <c r="AB1262" s="6"/>
      <c r="AC1262" s="6"/>
      <c r="AD1262" s="6"/>
      <c r="AE1262" s="6"/>
      <c r="AF1262" s="6"/>
      <c r="AG1262" s="6"/>
    </row>
    <row r="1263" ht="14.25" customHeight="1">
      <c r="A1263" s="6"/>
      <c r="B1263" s="6"/>
      <c r="C1263" s="6">
        <v>1256.0</v>
      </c>
      <c r="D1263" s="6"/>
      <c r="E1263" s="6">
        <v>7580787.622838021</v>
      </c>
      <c r="F1263" s="6">
        <v>489.20616299690175</v>
      </c>
      <c r="G1263" s="6">
        <v>4.780077618627683</v>
      </c>
      <c r="H1263" s="6">
        <v>7470407.22013337</v>
      </c>
      <c r="I1263" s="6">
        <v>486.520868666007</v>
      </c>
      <c r="J1263" s="6">
        <v>3.454930532478099</v>
      </c>
      <c r="K1263" s="6"/>
      <c r="L1263" s="6"/>
      <c r="M1263" s="6"/>
      <c r="N1263" s="6">
        <f t="shared" ref="N1263:P1263" si="1266">IF(LEN($C1263)&gt;0,H1263-E1263,"")</f>
        <v>-110380.4027</v>
      </c>
      <c r="O1263" s="6">
        <f t="shared" si="1266"/>
        <v>-2.685294331</v>
      </c>
      <c r="P1263" s="6">
        <f t="shared" si="1266"/>
        <v>-1.325147086</v>
      </c>
      <c r="Q1263" s="6"/>
      <c r="R1263" s="6"/>
      <c r="S1263" s="6"/>
      <c r="T1263" s="6"/>
      <c r="U1263" s="6"/>
      <c r="V1263" s="6"/>
      <c r="W1263" s="6"/>
      <c r="X1263" s="6"/>
      <c r="Y1263" s="6"/>
      <c r="Z1263" s="6"/>
      <c r="AA1263" s="6"/>
      <c r="AB1263" s="6"/>
      <c r="AC1263" s="6"/>
      <c r="AD1263" s="6"/>
      <c r="AE1263" s="6"/>
      <c r="AF1263" s="6"/>
      <c r="AG1263" s="6"/>
    </row>
    <row r="1264" ht="14.25" customHeight="1">
      <c r="A1264" s="6"/>
      <c r="B1264" s="6"/>
      <c r="C1264" s="6">
        <v>1257.0</v>
      </c>
      <c r="D1264" s="6"/>
      <c r="E1264" s="6">
        <v>5975957.768095545</v>
      </c>
      <c r="F1264" s="6">
        <v>463.17120566955845</v>
      </c>
      <c r="G1264" s="6">
        <v>5.438184709168452</v>
      </c>
      <c r="H1264" s="6">
        <v>5877825.074866318</v>
      </c>
      <c r="I1264" s="6">
        <v>458.61332749138126</v>
      </c>
      <c r="J1264" s="6">
        <v>4.318185066681518</v>
      </c>
      <c r="K1264" s="6"/>
      <c r="L1264" s="6"/>
      <c r="M1264" s="6"/>
      <c r="N1264" s="6">
        <f t="shared" ref="N1264:P1264" si="1267">IF(LEN($C1264)&gt;0,H1264-E1264,"")</f>
        <v>-98132.69323</v>
      </c>
      <c r="O1264" s="6">
        <f t="shared" si="1267"/>
        <v>-4.557878178</v>
      </c>
      <c r="P1264" s="6">
        <f t="shared" si="1267"/>
        <v>-1.119999642</v>
      </c>
      <c r="Q1264" s="6"/>
      <c r="R1264" s="6"/>
      <c r="S1264" s="6"/>
      <c r="T1264" s="6"/>
      <c r="U1264" s="6"/>
      <c r="V1264" s="6"/>
      <c r="W1264" s="6"/>
      <c r="X1264" s="6"/>
      <c r="Y1264" s="6"/>
      <c r="Z1264" s="6"/>
      <c r="AA1264" s="6"/>
      <c r="AB1264" s="6"/>
      <c r="AC1264" s="6"/>
      <c r="AD1264" s="6"/>
      <c r="AE1264" s="6"/>
      <c r="AF1264" s="6"/>
      <c r="AG1264" s="6"/>
    </row>
    <row r="1265" ht="14.25" customHeight="1">
      <c r="A1265" s="6"/>
      <c r="B1265" s="6"/>
      <c r="C1265" s="6">
        <v>1258.0</v>
      </c>
      <c r="D1265" s="6"/>
      <c r="E1265" s="6">
        <v>5835671.686285043</v>
      </c>
      <c r="F1265" s="6">
        <v>482.25163301388056</v>
      </c>
      <c r="G1265" s="6">
        <v>4.714261911603046</v>
      </c>
      <c r="H1265" s="6">
        <v>5793633.531575743</v>
      </c>
      <c r="I1265" s="6">
        <v>480.65110378712365</v>
      </c>
      <c r="J1265" s="6">
        <v>4.052906900944737</v>
      </c>
      <c r="K1265" s="6"/>
      <c r="L1265" s="6"/>
      <c r="M1265" s="6"/>
      <c r="N1265" s="6">
        <f t="shared" ref="N1265:P1265" si="1268">IF(LEN($C1265)&gt;0,H1265-E1265,"")</f>
        <v>-42038.15471</v>
      </c>
      <c r="O1265" s="6">
        <f t="shared" si="1268"/>
        <v>-1.600529227</v>
      </c>
      <c r="P1265" s="6">
        <f t="shared" si="1268"/>
        <v>-0.6613550107</v>
      </c>
      <c r="Q1265" s="6"/>
      <c r="R1265" s="6"/>
      <c r="S1265" s="6"/>
      <c r="T1265" s="6"/>
      <c r="U1265" s="6"/>
      <c r="V1265" s="6"/>
      <c r="W1265" s="6"/>
      <c r="X1265" s="6"/>
      <c r="Y1265" s="6"/>
      <c r="Z1265" s="6"/>
      <c r="AA1265" s="6"/>
      <c r="AB1265" s="6"/>
      <c r="AC1265" s="6"/>
      <c r="AD1265" s="6"/>
      <c r="AE1265" s="6"/>
      <c r="AF1265" s="6"/>
      <c r="AG1265" s="6"/>
    </row>
    <row r="1266" ht="14.25" customHeight="1">
      <c r="A1266" s="6"/>
      <c r="B1266" s="6"/>
      <c r="C1266" s="6">
        <v>1259.0</v>
      </c>
      <c r="D1266" s="6"/>
      <c r="E1266" s="6">
        <v>8495109.39637924</v>
      </c>
      <c r="F1266" s="6">
        <v>474.8931288291839</v>
      </c>
      <c r="G1266" s="6">
        <v>5.106035823889396</v>
      </c>
      <c r="H1266" s="6">
        <v>8373195.656268249</v>
      </c>
      <c r="I1266" s="6">
        <v>469.1097741034765</v>
      </c>
      <c r="J1266" s="6">
        <v>3.674720039704204</v>
      </c>
      <c r="K1266" s="6"/>
      <c r="L1266" s="6"/>
      <c r="M1266" s="6"/>
      <c r="N1266" s="6">
        <f t="shared" ref="N1266:P1266" si="1269">IF(LEN($C1266)&gt;0,H1266-E1266,"")</f>
        <v>-121913.7401</v>
      </c>
      <c r="O1266" s="6">
        <f t="shared" si="1269"/>
        <v>-5.783354726</v>
      </c>
      <c r="P1266" s="6">
        <f t="shared" si="1269"/>
        <v>-1.431315784</v>
      </c>
      <c r="Q1266" s="6"/>
      <c r="R1266" s="6"/>
      <c r="S1266" s="6"/>
      <c r="T1266" s="6"/>
      <c r="U1266" s="6"/>
      <c r="V1266" s="6"/>
      <c r="W1266" s="6"/>
      <c r="X1266" s="6"/>
      <c r="Y1266" s="6"/>
      <c r="Z1266" s="6"/>
      <c r="AA1266" s="6"/>
      <c r="AB1266" s="6"/>
      <c r="AC1266" s="6"/>
      <c r="AD1266" s="6"/>
      <c r="AE1266" s="6"/>
      <c r="AF1266" s="6"/>
      <c r="AG1266" s="6"/>
    </row>
    <row r="1267" ht="14.25" customHeight="1">
      <c r="A1267" s="6"/>
      <c r="B1267" s="6"/>
      <c r="C1267" s="6">
        <v>1260.0</v>
      </c>
      <c r="D1267" s="6"/>
      <c r="E1267" s="6">
        <v>7630025.250016361</v>
      </c>
      <c r="F1267" s="6">
        <v>481.4530786341507</v>
      </c>
      <c r="G1267" s="6">
        <v>4.326493432018312</v>
      </c>
      <c r="H1267" s="6">
        <v>7571217.6505306475</v>
      </c>
      <c r="I1267" s="6">
        <v>479.3696361740343</v>
      </c>
      <c r="J1267" s="6">
        <v>3.2917714925491937</v>
      </c>
      <c r="K1267" s="6"/>
      <c r="L1267" s="6"/>
      <c r="M1267" s="6"/>
      <c r="N1267" s="6">
        <f t="shared" ref="N1267:P1267" si="1270">IF(LEN($C1267)&gt;0,H1267-E1267,"")</f>
        <v>-58807.59949</v>
      </c>
      <c r="O1267" s="6">
        <f t="shared" si="1270"/>
        <v>-2.08344246</v>
      </c>
      <c r="P1267" s="6">
        <f t="shared" si="1270"/>
        <v>-1.034721939</v>
      </c>
      <c r="Q1267" s="6"/>
      <c r="R1267" s="6"/>
      <c r="S1267" s="6"/>
      <c r="T1267" s="6"/>
      <c r="U1267" s="6"/>
      <c r="V1267" s="6"/>
      <c r="W1267" s="6"/>
      <c r="X1267" s="6"/>
      <c r="Y1267" s="6"/>
      <c r="Z1267" s="6"/>
      <c r="AA1267" s="6"/>
      <c r="AB1267" s="6"/>
      <c r="AC1267" s="6"/>
      <c r="AD1267" s="6"/>
      <c r="AE1267" s="6"/>
      <c r="AF1267" s="6"/>
      <c r="AG1267" s="6"/>
    </row>
    <row r="1268" ht="14.25" customHeight="1">
      <c r="A1268" s="6"/>
      <c r="B1268" s="6"/>
      <c r="C1268" s="6">
        <v>1261.0</v>
      </c>
      <c r="D1268" s="6"/>
      <c r="E1268" s="6">
        <v>6997654.640133637</v>
      </c>
      <c r="F1268" s="6">
        <v>494.4611366089513</v>
      </c>
      <c r="G1268" s="6">
        <v>4.712129738913705</v>
      </c>
      <c r="H1268" s="6">
        <v>6804446.259820915</v>
      </c>
      <c r="I1268" s="6">
        <v>486.19991974306186</v>
      </c>
      <c r="J1268" s="6">
        <v>3.424418551330403</v>
      </c>
      <c r="K1268" s="6"/>
      <c r="L1268" s="6"/>
      <c r="M1268" s="6"/>
      <c r="N1268" s="6">
        <f t="shared" ref="N1268:P1268" si="1271">IF(LEN($C1268)&gt;0,H1268-E1268,"")</f>
        <v>-193208.3803</v>
      </c>
      <c r="O1268" s="6">
        <f t="shared" si="1271"/>
        <v>-8.261216866</v>
      </c>
      <c r="P1268" s="6">
        <f t="shared" si="1271"/>
        <v>-1.287711188</v>
      </c>
      <c r="Q1268" s="6"/>
      <c r="R1268" s="6"/>
      <c r="S1268" s="6"/>
      <c r="T1268" s="6"/>
      <c r="U1268" s="6"/>
      <c r="V1268" s="6"/>
      <c r="W1268" s="6"/>
      <c r="X1268" s="6"/>
      <c r="Y1268" s="6"/>
      <c r="Z1268" s="6"/>
      <c r="AA1268" s="6"/>
      <c r="AB1268" s="6"/>
      <c r="AC1268" s="6"/>
      <c r="AD1268" s="6"/>
      <c r="AE1268" s="6"/>
      <c r="AF1268" s="6"/>
      <c r="AG1268" s="6"/>
    </row>
    <row r="1269" ht="14.25" customHeight="1">
      <c r="A1269" s="6"/>
      <c r="B1269" s="6"/>
      <c r="C1269" s="6">
        <v>1262.0</v>
      </c>
      <c r="D1269" s="6"/>
      <c r="E1269" s="6">
        <v>8448630.606998798</v>
      </c>
      <c r="F1269" s="6">
        <v>462.68337391270376</v>
      </c>
      <c r="G1269" s="6">
        <v>5.275362412545576</v>
      </c>
      <c r="H1269" s="6">
        <v>8313750.851261904</v>
      </c>
      <c r="I1269" s="6">
        <v>458.55161045063966</v>
      </c>
      <c r="J1269" s="6">
        <v>3.671450133530569</v>
      </c>
      <c r="K1269" s="6"/>
      <c r="L1269" s="6"/>
      <c r="M1269" s="6"/>
      <c r="N1269" s="6">
        <f t="shared" ref="N1269:P1269" si="1272">IF(LEN($C1269)&gt;0,H1269-E1269,"")</f>
        <v>-134879.7557</v>
      </c>
      <c r="O1269" s="6">
        <f t="shared" si="1272"/>
        <v>-4.131763462</v>
      </c>
      <c r="P1269" s="6">
        <f t="shared" si="1272"/>
        <v>-1.603912279</v>
      </c>
      <c r="Q1269" s="6"/>
      <c r="R1269" s="6"/>
      <c r="S1269" s="6"/>
      <c r="T1269" s="6"/>
      <c r="U1269" s="6"/>
      <c r="V1269" s="6"/>
      <c r="W1269" s="6"/>
      <c r="X1269" s="6"/>
      <c r="Y1269" s="6"/>
      <c r="Z1269" s="6"/>
      <c r="AA1269" s="6"/>
      <c r="AB1269" s="6"/>
      <c r="AC1269" s="6"/>
      <c r="AD1269" s="6"/>
      <c r="AE1269" s="6"/>
      <c r="AF1269" s="6"/>
      <c r="AG1269" s="6"/>
    </row>
    <row r="1270" ht="14.25" customHeight="1">
      <c r="A1270" s="6"/>
      <c r="B1270" s="6"/>
      <c r="C1270" s="6">
        <v>1263.0</v>
      </c>
      <c r="D1270" s="6"/>
      <c r="E1270" s="6">
        <v>6972005.425942449</v>
      </c>
      <c r="F1270" s="6">
        <v>487.9905941774257</v>
      </c>
      <c r="G1270" s="6">
        <v>5.213827150224887</v>
      </c>
      <c r="H1270" s="6">
        <v>6882289.506240661</v>
      </c>
      <c r="I1270" s="6">
        <v>485.2280152969756</v>
      </c>
      <c r="J1270" s="6">
        <v>4.213757563989084</v>
      </c>
      <c r="K1270" s="6"/>
      <c r="L1270" s="6"/>
      <c r="M1270" s="6"/>
      <c r="N1270" s="6">
        <f t="shared" ref="N1270:P1270" si="1273">IF(LEN($C1270)&gt;0,H1270-E1270,"")</f>
        <v>-89715.9197</v>
      </c>
      <c r="O1270" s="6">
        <f t="shared" si="1273"/>
        <v>-2.76257888</v>
      </c>
      <c r="P1270" s="6">
        <f t="shared" si="1273"/>
        <v>-1.000069586</v>
      </c>
      <c r="Q1270" s="6"/>
      <c r="R1270" s="6"/>
      <c r="S1270" s="6"/>
      <c r="T1270" s="6"/>
      <c r="U1270" s="6"/>
      <c r="V1270" s="6"/>
      <c r="W1270" s="6"/>
      <c r="X1270" s="6"/>
      <c r="Y1270" s="6"/>
      <c r="Z1270" s="6"/>
      <c r="AA1270" s="6"/>
      <c r="AB1270" s="6"/>
      <c r="AC1270" s="6"/>
      <c r="AD1270" s="6"/>
      <c r="AE1270" s="6"/>
      <c r="AF1270" s="6"/>
      <c r="AG1270" s="6"/>
    </row>
    <row r="1271" ht="14.25" customHeight="1">
      <c r="A1271" s="6"/>
      <c r="B1271" s="6"/>
      <c r="C1271" s="6">
        <v>1264.0</v>
      </c>
      <c r="D1271" s="6"/>
      <c r="E1271" s="6">
        <v>8415830.742259983</v>
      </c>
      <c r="F1271" s="6">
        <v>497.83570548912957</v>
      </c>
      <c r="G1271" s="6">
        <v>4.358641423679138</v>
      </c>
      <c r="H1271" s="6">
        <v>8302108.026410058</v>
      </c>
      <c r="I1271" s="6">
        <v>493.19488016796396</v>
      </c>
      <c r="J1271" s="6">
        <v>3.336895823885763</v>
      </c>
      <c r="K1271" s="6"/>
      <c r="L1271" s="6"/>
      <c r="M1271" s="6"/>
      <c r="N1271" s="6">
        <f t="shared" ref="N1271:P1271" si="1274">IF(LEN($C1271)&gt;0,H1271-E1271,"")</f>
        <v>-113722.7158</v>
      </c>
      <c r="O1271" s="6">
        <f t="shared" si="1274"/>
        <v>-4.640825321</v>
      </c>
      <c r="P1271" s="6">
        <f t="shared" si="1274"/>
        <v>-1.0217456</v>
      </c>
      <c r="Q1271" s="6"/>
      <c r="R1271" s="6"/>
      <c r="S1271" s="6"/>
      <c r="T1271" s="6"/>
      <c r="U1271" s="6"/>
      <c r="V1271" s="6"/>
      <c r="W1271" s="6"/>
      <c r="X1271" s="6"/>
      <c r="Y1271" s="6"/>
      <c r="Z1271" s="6"/>
      <c r="AA1271" s="6"/>
      <c r="AB1271" s="6"/>
      <c r="AC1271" s="6"/>
      <c r="AD1271" s="6"/>
      <c r="AE1271" s="6"/>
      <c r="AF1271" s="6"/>
      <c r="AG1271" s="6"/>
    </row>
    <row r="1272" ht="14.25" customHeight="1">
      <c r="A1272" s="6"/>
      <c r="B1272" s="6"/>
      <c r="C1272" s="6">
        <v>1265.0</v>
      </c>
      <c r="D1272" s="6"/>
      <c r="E1272" s="6">
        <v>1.0494010387950862E7</v>
      </c>
      <c r="F1272" s="6">
        <v>453.35549686840454</v>
      </c>
      <c r="G1272" s="6">
        <v>5.109708089224032</v>
      </c>
      <c r="H1272" s="6">
        <v>1.0367636789950656E7</v>
      </c>
      <c r="I1272" s="6">
        <v>445.3029522258472</v>
      </c>
      <c r="J1272" s="6">
        <v>3.721824429241254</v>
      </c>
      <c r="K1272" s="6"/>
      <c r="L1272" s="6"/>
      <c r="M1272" s="6"/>
      <c r="N1272" s="6">
        <f t="shared" ref="N1272:P1272" si="1275">IF(LEN($C1272)&gt;0,H1272-E1272,"")</f>
        <v>-126373.598</v>
      </c>
      <c r="O1272" s="6">
        <f t="shared" si="1275"/>
        <v>-8.052544643</v>
      </c>
      <c r="P1272" s="6">
        <f t="shared" si="1275"/>
        <v>-1.38788366</v>
      </c>
      <c r="Q1272" s="6"/>
      <c r="R1272" s="6"/>
      <c r="S1272" s="6"/>
      <c r="T1272" s="6"/>
      <c r="U1272" s="6"/>
      <c r="V1272" s="6"/>
      <c r="W1272" s="6"/>
      <c r="X1272" s="6"/>
      <c r="Y1272" s="6"/>
      <c r="Z1272" s="6"/>
      <c r="AA1272" s="6"/>
      <c r="AB1272" s="6"/>
      <c r="AC1272" s="6"/>
      <c r="AD1272" s="6"/>
      <c r="AE1272" s="6"/>
      <c r="AF1272" s="6"/>
      <c r="AG1272" s="6"/>
    </row>
    <row r="1273" ht="14.25" customHeight="1">
      <c r="A1273" s="6"/>
      <c r="B1273" s="6"/>
      <c r="C1273" s="6">
        <v>1266.0</v>
      </c>
      <c r="D1273" s="6"/>
      <c r="E1273" s="6">
        <v>8807179.206474977</v>
      </c>
      <c r="F1273" s="6">
        <v>492.7371426238733</v>
      </c>
      <c r="G1273" s="6">
        <v>3.9286332546657143</v>
      </c>
      <c r="H1273" s="6">
        <v>8581953.42711524</v>
      </c>
      <c r="I1273" s="6">
        <v>484.69614737682554</v>
      </c>
      <c r="J1273" s="6">
        <v>2.778998633440119</v>
      </c>
      <c r="K1273" s="6"/>
      <c r="L1273" s="6"/>
      <c r="M1273" s="6"/>
      <c r="N1273" s="6">
        <f t="shared" ref="N1273:P1273" si="1276">IF(LEN($C1273)&gt;0,H1273-E1273,"")</f>
        <v>-225225.7794</v>
      </c>
      <c r="O1273" s="6">
        <f t="shared" si="1276"/>
        <v>-8.040995247</v>
      </c>
      <c r="P1273" s="6">
        <f t="shared" si="1276"/>
        <v>-1.149634621</v>
      </c>
      <c r="Q1273" s="6"/>
      <c r="R1273" s="6"/>
      <c r="S1273" s="6"/>
      <c r="T1273" s="6"/>
      <c r="U1273" s="6"/>
      <c r="V1273" s="6"/>
      <c r="W1273" s="6"/>
      <c r="X1273" s="6"/>
      <c r="Y1273" s="6"/>
      <c r="Z1273" s="6"/>
      <c r="AA1273" s="6"/>
      <c r="AB1273" s="6"/>
      <c r="AC1273" s="6"/>
      <c r="AD1273" s="6"/>
      <c r="AE1273" s="6"/>
      <c r="AF1273" s="6"/>
      <c r="AG1273" s="6"/>
    </row>
    <row r="1274" ht="14.25" customHeight="1">
      <c r="A1274" s="6"/>
      <c r="B1274" s="6"/>
      <c r="C1274" s="6">
        <v>1267.0</v>
      </c>
      <c r="D1274" s="6"/>
      <c r="E1274" s="6">
        <v>7725359.099402008</v>
      </c>
      <c r="F1274" s="6">
        <v>503.1777715564818</v>
      </c>
      <c r="G1274" s="6">
        <v>5.213070598534611</v>
      </c>
      <c r="H1274" s="6">
        <v>7526508.761352497</v>
      </c>
      <c r="I1274" s="6">
        <v>492.0399593854141</v>
      </c>
      <c r="J1274" s="6">
        <v>3.325109285325941</v>
      </c>
      <c r="K1274" s="6"/>
      <c r="L1274" s="6"/>
      <c r="M1274" s="6"/>
      <c r="N1274" s="6">
        <f t="shared" ref="N1274:P1274" si="1277">IF(LEN($C1274)&gt;0,H1274-E1274,"")</f>
        <v>-198850.338</v>
      </c>
      <c r="O1274" s="6">
        <f t="shared" si="1277"/>
        <v>-11.13781217</v>
      </c>
      <c r="P1274" s="6">
        <f t="shared" si="1277"/>
        <v>-1.887961313</v>
      </c>
      <c r="Q1274" s="6"/>
      <c r="R1274" s="6"/>
      <c r="S1274" s="6"/>
      <c r="T1274" s="6"/>
      <c r="U1274" s="6"/>
      <c r="V1274" s="6"/>
      <c r="W1274" s="6"/>
      <c r="X1274" s="6"/>
      <c r="Y1274" s="6"/>
      <c r="Z1274" s="6"/>
      <c r="AA1274" s="6"/>
      <c r="AB1274" s="6"/>
      <c r="AC1274" s="6"/>
      <c r="AD1274" s="6"/>
      <c r="AE1274" s="6"/>
      <c r="AF1274" s="6"/>
      <c r="AG1274" s="6"/>
    </row>
    <row r="1275" ht="14.25" customHeight="1">
      <c r="A1275" s="6"/>
      <c r="B1275" s="6"/>
      <c r="C1275" s="6">
        <v>1268.0</v>
      </c>
      <c r="D1275" s="6"/>
      <c r="E1275" s="6">
        <v>7934942.979135178</v>
      </c>
      <c r="F1275" s="6">
        <v>489.697019078851</v>
      </c>
      <c r="G1275" s="6">
        <v>5.012486507105288</v>
      </c>
      <c r="H1275" s="6">
        <v>7832507.123477876</v>
      </c>
      <c r="I1275" s="6">
        <v>486.25216447921093</v>
      </c>
      <c r="J1275" s="6">
        <v>3.747954386955492</v>
      </c>
      <c r="K1275" s="6"/>
      <c r="L1275" s="6"/>
      <c r="M1275" s="6"/>
      <c r="N1275" s="6">
        <f t="shared" ref="N1275:P1275" si="1278">IF(LEN($C1275)&gt;0,H1275-E1275,"")</f>
        <v>-102435.8557</v>
      </c>
      <c r="O1275" s="6">
        <f t="shared" si="1278"/>
        <v>-3.4448546</v>
      </c>
      <c r="P1275" s="6">
        <f t="shared" si="1278"/>
        <v>-1.26453212</v>
      </c>
      <c r="Q1275" s="6"/>
      <c r="R1275" s="6"/>
      <c r="S1275" s="6"/>
      <c r="T1275" s="6"/>
      <c r="U1275" s="6"/>
      <c r="V1275" s="6"/>
      <c r="W1275" s="6"/>
      <c r="X1275" s="6"/>
      <c r="Y1275" s="6"/>
      <c r="Z1275" s="6"/>
      <c r="AA1275" s="6"/>
      <c r="AB1275" s="6"/>
      <c r="AC1275" s="6"/>
      <c r="AD1275" s="6"/>
      <c r="AE1275" s="6"/>
      <c r="AF1275" s="6"/>
      <c r="AG1275" s="6"/>
    </row>
    <row r="1276" ht="14.25" customHeight="1">
      <c r="A1276" s="6"/>
      <c r="B1276" s="6"/>
      <c r="C1276" s="6">
        <v>1269.0</v>
      </c>
      <c r="D1276" s="6"/>
      <c r="E1276" s="6">
        <v>5677746.877626806</v>
      </c>
      <c r="F1276" s="6">
        <v>457.1646406943512</v>
      </c>
      <c r="G1276" s="6">
        <v>4.885087287703237</v>
      </c>
      <c r="H1276" s="6">
        <v>5598237.813949667</v>
      </c>
      <c r="I1276" s="6">
        <v>454.39396015354686</v>
      </c>
      <c r="J1276" s="6">
        <v>3.602156696188998</v>
      </c>
      <c r="K1276" s="6"/>
      <c r="L1276" s="6"/>
      <c r="M1276" s="6"/>
      <c r="N1276" s="6">
        <f t="shared" ref="N1276:P1276" si="1279">IF(LEN($C1276)&gt;0,H1276-E1276,"")</f>
        <v>-79509.06368</v>
      </c>
      <c r="O1276" s="6">
        <f t="shared" si="1279"/>
        <v>-2.770680541</v>
      </c>
      <c r="P1276" s="6">
        <f t="shared" si="1279"/>
        <v>-1.282930592</v>
      </c>
      <c r="Q1276" s="6"/>
      <c r="R1276" s="6"/>
      <c r="S1276" s="6"/>
      <c r="T1276" s="6"/>
      <c r="U1276" s="6"/>
      <c r="V1276" s="6"/>
      <c r="W1276" s="6"/>
      <c r="X1276" s="6"/>
      <c r="Y1276" s="6"/>
      <c r="Z1276" s="6"/>
      <c r="AA1276" s="6"/>
      <c r="AB1276" s="6"/>
      <c r="AC1276" s="6"/>
      <c r="AD1276" s="6"/>
      <c r="AE1276" s="6"/>
      <c r="AF1276" s="6"/>
      <c r="AG1276" s="6"/>
    </row>
    <row r="1277" ht="14.25" customHeight="1">
      <c r="A1277" s="6"/>
      <c r="B1277" s="6"/>
      <c r="C1277" s="6">
        <v>1270.0</v>
      </c>
      <c r="D1277" s="6"/>
      <c r="E1277" s="6">
        <v>5402383.912441011</v>
      </c>
      <c r="F1277" s="6">
        <v>472.75393536898787</v>
      </c>
      <c r="G1277" s="6">
        <v>7.328156753433605</v>
      </c>
      <c r="H1277" s="6">
        <v>5316028.153508874</v>
      </c>
      <c r="I1277" s="6">
        <v>469.83553086915873</v>
      </c>
      <c r="J1277" s="6">
        <v>5.259152520196541</v>
      </c>
      <c r="K1277" s="6"/>
      <c r="L1277" s="6"/>
      <c r="M1277" s="6"/>
      <c r="N1277" s="6">
        <f t="shared" ref="N1277:P1277" si="1280">IF(LEN($C1277)&gt;0,H1277-E1277,"")</f>
        <v>-86355.75893</v>
      </c>
      <c r="O1277" s="6">
        <f t="shared" si="1280"/>
        <v>-2.9184045</v>
      </c>
      <c r="P1277" s="6">
        <f t="shared" si="1280"/>
        <v>-2.069004233</v>
      </c>
      <c r="Q1277" s="6"/>
      <c r="R1277" s="6"/>
      <c r="S1277" s="6"/>
      <c r="T1277" s="6"/>
      <c r="U1277" s="6"/>
      <c r="V1277" s="6"/>
      <c r="W1277" s="6"/>
      <c r="X1277" s="6"/>
      <c r="Y1277" s="6"/>
      <c r="Z1277" s="6"/>
      <c r="AA1277" s="6"/>
      <c r="AB1277" s="6"/>
      <c r="AC1277" s="6"/>
      <c r="AD1277" s="6"/>
      <c r="AE1277" s="6"/>
      <c r="AF1277" s="6"/>
      <c r="AG1277" s="6"/>
    </row>
    <row r="1278" ht="14.25" customHeight="1">
      <c r="A1278" s="6"/>
      <c r="B1278" s="6"/>
      <c r="C1278" s="6">
        <v>1271.0</v>
      </c>
      <c r="D1278" s="6"/>
      <c r="E1278" s="6">
        <v>8174636.697091672</v>
      </c>
      <c r="F1278" s="6">
        <v>484.9958606702918</v>
      </c>
      <c r="G1278" s="6">
        <v>4.7809273492932585</v>
      </c>
      <c r="H1278" s="6">
        <v>8085435.2377587715</v>
      </c>
      <c r="I1278" s="6">
        <v>482.2784930337218</v>
      </c>
      <c r="J1278" s="6">
        <v>3.7175491486575885</v>
      </c>
      <c r="K1278" s="6"/>
      <c r="L1278" s="6"/>
      <c r="M1278" s="6"/>
      <c r="N1278" s="6">
        <f t="shared" ref="N1278:P1278" si="1281">IF(LEN($C1278)&gt;0,H1278-E1278,"")</f>
        <v>-89201.45933</v>
      </c>
      <c r="O1278" s="6">
        <f t="shared" si="1281"/>
        <v>-2.717367637</v>
      </c>
      <c r="P1278" s="6">
        <f t="shared" si="1281"/>
        <v>-1.063378201</v>
      </c>
      <c r="Q1278" s="6"/>
      <c r="R1278" s="6"/>
      <c r="S1278" s="6"/>
      <c r="T1278" s="6"/>
      <c r="U1278" s="6"/>
      <c r="V1278" s="6"/>
      <c r="W1278" s="6"/>
      <c r="X1278" s="6"/>
      <c r="Y1278" s="6"/>
      <c r="Z1278" s="6"/>
      <c r="AA1278" s="6"/>
      <c r="AB1278" s="6"/>
      <c r="AC1278" s="6"/>
      <c r="AD1278" s="6"/>
      <c r="AE1278" s="6"/>
      <c r="AF1278" s="6"/>
      <c r="AG1278" s="6"/>
    </row>
    <row r="1279" ht="14.25" customHeight="1">
      <c r="A1279" s="6"/>
      <c r="B1279" s="6"/>
      <c r="C1279" s="6">
        <v>1272.0</v>
      </c>
      <c r="D1279" s="6"/>
      <c r="E1279" s="6">
        <v>6633697.665007773</v>
      </c>
      <c r="F1279" s="6">
        <v>468.8602383300996</v>
      </c>
      <c r="G1279" s="6">
        <v>3.098185502340194</v>
      </c>
      <c r="H1279" s="6">
        <v>6590657.591132581</v>
      </c>
      <c r="I1279" s="6">
        <v>467.23155900122003</v>
      </c>
      <c r="J1279" s="6">
        <v>2.368396108717997</v>
      </c>
      <c r="K1279" s="6"/>
      <c r="L1279" s="6"/>
      <c r="M1279" s="6"/>
      <c r="N1279" s="6">
        <f t="shared" ref="N1279:P1279" si="1282">IF(LEN($C1279)&gt;0,H1279-E1279,"")</f>
        <v>-43040.07388</v>
      </c>
      <c r="O1279" s="6">
        <f t="shared" si="1282"/>
        <v>-1.628679329</v>
      </c>
      <c r="P1279" s="6">
        <f t="shared" si="1282"/>
        <v>-0.7297893936</v>
      </c>
      <c r="Q1279" s="6"/>
      <c r="R1279" s="6"/>
      <c r="S1279" s="6"/>
      <c r="T1279" s="6"/>
      <c r="U1279" s="6"/>
      <c r="V1279" s="6"/>
      <c r="W1279" s="6"/>
      <c r="X1279" s="6"/>
      <c r="Y1279" s="6"/>
      <c r="Z1279" s="6"/>
      <c r="AA1279" s="6"/>
      <c r="AB1279" s="6"/>
      <c r="AC1279" s="6"/>
      <c r="AD1279" s="6"/>
      <c r="AE1279" s="6"/>
      <c r="AF1279" s="6"/>
      <c r="AG1279" s="6"/>
    </row>
    <row r="1280" ht="14.25" customHeight="1">
      <c r="A1280" s="6"/>
      <c r="B1280" s="6"/>
      <c r="C1280" s="6">
        <v>1273.0</v>
      </c>
      <c r="D1280" s="6"/>
      <c r="E1280" s="6">
        <v>6423105.357977378</v>
      </c>
      <c r="F1280" s="6">
        <v>432.409817671642</v>
      </c>
      <c r="G1280" s="6">
        <v>5.228872358727701</v>
      </c>
      <c r="H1280" s="6">
        <v>6354308.750845884</v>
      </c>
      <c r="I1280" s="6">
        <v>430.2949260879642</v>
      </c>
      <c r="J1280" s="6">
        <v>3.880776343668972</v>
      </c>
      <c r="K1280" s="6"/>
      <c r="L1280" s="6"/>
      <c r="M1280" s="6"/>
      <c r="N1280" s="6">
        <f t="shared" ref="N1280:P1280" si="1283">IF(LEN($C1280)&gt;0,H1280-E1280,"")</f>
        <v>-68796.60713</v>
      </c>
      <c r="O1280" s="6">
        <f t="shared" si="1283"/>
        <v>-2.114891584</v>
      </c>
      <c r="P1280" s="6">
        <f t="shared" si="1283"/>
        <v>-1.348096015</v>
      </c>
      <c r="Q1280" s="6"/>
      <c r="R1280" s="6"/>
      <c r="S1280" s="6"/>
      <c r="T1280" s="6"/>
      <c r="U1280" s="6"/>
      <c r="V1280" s="6"/>
      <c r="W1280" s="6"/>
      <c r="X1280" s="6"/>
      <c r="Y1280" s="6"/>
      <c r="Z1280" s="6"/>
      <c r="AA1280" s="6"/>
      <c r="AB1280" s="6"/>
      <c r="AC1280" s="6"/>
      <c r="AD1280" s="6"/>
      <c r="AE1280" s="6"/>
      <c r="AF1280" s="6"/>
      <c r="AG1280" s="6"/>
    </row>
    <row r="1281" ht="14.25" customHeight="1">
      <c r="A1281" s="6"/>
      <c r="B1281" s="6"/>
      <c r="C1281" s="6">
        <v>1274.0</v>
      </c>
      <c r="D1281" s="6"/>
      <c r="E1281" s="6">
        <v>6950740.622439313</v>
      </c>
      <c r="F1281" s="6">
        <v>431.10024044052295</v>
      </c>
      <c r="G1281" s="6">
        <v>5.552557223125802</v>
      </c>
      <c r="H1281" s="6">
        <v>6891088.97835667</v>
      </c>
      <c r="I1281" s="6">
        <v>429.4025210900103</v>
      </c>
      <c r="J1281" s="6">
        <v>4.569155720832722</v>
      </c>
      <c r="K1281" s="6"/>
      <c r="L1281" s="6"/>
      <c r="M1281" s="6"/>
      <c r="N1281" s="6">
        <f t="shared" ref="N1281:P1281" si="1284">IF(LEN($C1281)&gt;0,H1281-E1281,"")</f>
        <v>-59651.64408</v>
      </c>
      <c r="O1281" s="6">
        <f t="shared" si="1284"/>
        <v>-1.697719351</v>
      </c>
      <c r="P1281" s="6">
        <f t="shared" si="1284"/>
        <v>-0.9834015023</v>
      </c>
      <c r="Q1281" s="6"/>
      <c r="R1281" s="6"/>
      <c r="S1281" s="6"/>
      <c r="T1281" s="6"/>
      <c r="U1281" s="6"/>
      <c r="V1281" s="6"/>
      <c r="W1281" s="6"/>
      <c r="X1281" s="6"/>
      <c r="Y1281" s="6"/>
      <c r="Z1281" s="6"/>
      <c r="AA1281" s="6"/>
      <c r="AB1281" s="6"/>
      <c r="AC1281" s="6"/>
      <c r="AD1281" s="6"/>
      <c r="AE1281" s="6"/>
      <c r="AF1281" s="6"/>
      <c r="AG1281" s="6"/>
    </row>
    <row r="1282" ht="14.25" customHeight="1">
      <c r="A1282" s="6"/>
      <c r="B1282" s="6"/>
      <c r="C1282" s="6">
        <v>1275.0</v>
      </c>
      <c r="D1282" s="6"/>
      <c r="E1282" s="6">
        <v>8181371.880843091</v>
      </c>
      <c r="F1282" s="6">
        <v>468.503231082774</v>
      </c>
      <c r="G1282" s="6">
        <v>4.804424945599325</v>
      </c>
      <c r="H1282" s="6">
        <v>8103782.986549941</v>
      </c>
      <c r="I1282" s="6">
        <v>465.89576267606986</v>
      </c>
      <c r="J1282" s="6">
        <v>3.9464460944470674</v>
      </c>
      <c r="K1282" s="6"/>
      <c r="L1282" s="6"/>
      <c r="M1282" s="6"/>
      <c r="N1282" s="6">
        <f t="shared" ref="N1282:P1282" si="1285">IF(LEN($C1282)&gt;0,H1282-E1282,"")</f>
        <v>-77588.89429</v>
      </c>
      <c r="O1282" s="6">
        <f t="shared" si="1285"/>
        <v>-2.607468407</v>
      </c>
      <c r="P1282" s="6">
        <f t="shared" si="1285"/>
        <v>-0.8579788512</v>
      </c>
      <c r="Q1282" s="6"/>
      <c r="R1282" s="6"/>
      <c r="S1282" s="6"/>
      <c r="T1282" s="6"/>
      <c r="U1282" s="6"/>
      <c r="V1282" s="6"/>
      <c r="W1282" s="6"/>
      <c r="X1282" s="6"/>
      <c r="Y1282" s="6"/>
      <c r="Z1282" s="6"/>
      <c r="AA1282" s="6"/>
      <c r="AB1282" s="6"/>
      <c r="AC1282" s="6"/>
      <c r="AD1282" s="6"/>
      <c r="AE1282" s="6"/>
      <c r="AF1282" s="6"/>
      <c r="AG1282" s="6"/>
    </row>
    <row r="1283" ht="14.25" customHeight="1">
      <c r="A1283" s="6"/>
      <c r="B1283" s="6"/>
      <c r="C1283" s="6">
        <v>1276.0</v>
      </c>
      <c r="D1283" s="6"/>
      <c r="E1283" s="6">
        <v>6000649.96792241</v>
      </c>
      <c r="F1283" s="6">
        <v>498.0302445272513</v>
      </c>
      <c r="G1283" s="6">
        <v>5.484937518725918</v>
      </c>
      <c r="H1283" s="6">
        <v>5918280.002927895</v>
      </c>
      <c r="I1283" s="6">
        <v>495.45497768003264</v>
      </c>
      <c r="J1283" s="6">
        <v>4.118590388837476</v>
      </c>
      <c r="K1283" s="6"/>
      <c r="L1283" s="6"/>
      <c r="M1283" s="6"/>
      <c r="N1283" s="6">
        <f t="shared" ref="N1283:P1283" si="1286">IF(LEN($C1283)&gt;0,H1283-E1283,"")</f>
        <v>-82369.96499</v>
      </c>
      <c r="O1283" s="6">
        <f t="shared" si="1286"/>
        <v>-2.575266847</v>
      </c>
      <c r="P1283" s="6">
        <f t="shared" si="1286"/>
        <v>-1.36634713</v>
      </c>
      <c r="Q1283" s="6"/>
      <c r="R1283" s="6"/>
      <c r="S1283" s="6"/>
      <c r="T1283" s="6"/>
      <c r="U1283" s="6"/>
      <c r="V1283" s="6"/>
      <c r="W1283" s="6"/>
      <c r="X1283" s="6"/>
      <c r="Y1283" s="6"/>
      <c r="Z1283" s="6"/>
      <c r="AA1283" s="6"/>
      <c r="AB1283" s="6"/>
      <c r="AC1283" s="6"/>
      <c r="AD1283" s="6"/>
      <c r="AE1283" s="6"/>
      <c r="AF1283" s="6"/>
      <c r="AG1283" s="6"/>
    </row>
    <row r="1284" ht="14.25" customHeight="1">
      <c r="A1284" s="6"/>
      <c r="B1284" s="6"/>
      <c r="C1284" s="6">
        <v>1277.0</v>
      </c>
      <c r="D1284" s="6"/>
      <c r="E1284" s="6">
        <v>7974240.077390356</v>
      </c>
      <c r="F1284" s="6">
        <v>487.1424774958408</v>
      </c>
      <c r="G1284" s="6">
        <v>5.072535519714588</v>
      </c>
      <c r="H1284" s="6">
        <v>7846958.961793217</v>
      </c>
      <c r="I1284" s="6">
        <v>479.65675127778314</v>
      </c>
      <c r="J1284" s="6">
        <v>3.8957648364090764</v>
      </c>
      <c r="K1284" s="6"/>
      <c r="L1284" s="6"/>
      <c r="M1284" s="6"/>
      <c r="N1284" s="6">
        <f t="shared" ref="N1284:P1284" si="1287">IF(LEN($C1284)&gt;0,H1284-E1284,"")</f>
        <v>-127281.1156</v>
      </c>
      <c r="O1284" s="6">
        <f t="shared" si="1287"/>
        <v>-7.485726218</v>
      </c>
      <c r="P1284" s="6">
        <f t="shared" si="1287"/>
        <v>-1.176770683</v>
      </c>
      <c r="Q1284" s="6"/>
      <c r="R1284" s="6"/>
      <c r="S1284" s="6"/>
      <c r="T1284" s="6"/>
      <c r="U1284" s="6"/>
      <c r="V1284" s="6"/>
      <c r="W1284" s="6"/>
      <c r="X1284" s="6"/>
      <c r="Y1284" s="6"/>
      <c r="Z1284" s="6"/>
      <c r="AA1284" s="6"/>
      <c r="AB1284" s="6"/>
      <c r="AC1284" s="6"/>
      <c r="AD1284" s="6"/>
      <c r="AE1284" s="6"/>
      <c r="AF1284" s="6"/>
      <c r="AG1284" s="6"/>
    </row>
    <row r="1285" ht="14.25" customHeight="1">
      <c r="A1285" s="6"/>
      <c r="B1285" s="6"/>
      <c r="C1285" s="6">
        <v>1278.0</v>
      </c>
      <c r="D1285" s="6"/>
      <c r="E1285" s="6">
        <v>5469617.264721441</v>
      </c>
      <c r="F1285" s="6">
        <v>442.87735131357726</v>
      </c>
      <c r="G1285" s="6">
        <v>5.465713634641778</v>
      </c>
      <c r="H1285" s="6">
        <v>5349009.633053968</v>
      </c>
      <c r="I1285" s="6">
        <v>437.2886662464342</v>
      </c>
      <c r="J1285" s="6">
        <v>4.173886039154785</v>
      </c>
      <c r="K1285" s="6"/>
      <c r="L1285" s="6"/>
      <c r="M1285" s="6"/>
      <c r="N1285" s="6">
        <f t="shared" ref="N1285:P1285" si="1288">IF(LEN($C1285)&gt;0,H1285-E1285,"")</f>
        <v>-120607.6317</v>
      </c>
      <c r="O1285" s="6">
        <f t="shared" si="1288"/>
        <v>-5.588685067</v>
      </c>
      <c r="P1285" s="6">
        <f t="shared" si="1288"/>
        <v>-1.291827595</v>
      </c>
      <c r="Q1285" s="6"/>
      <c r="R1285" s="6"/>
      <c r="S1285" s="6"/>
      <c r="T1285" s="6"/>
      <c r="U1285" s="6"/>
      <c r="V1285" s="6"/>
      <c r="W1285" s="6"/>
      <c r="X1285" s="6"/>
      <c r="Y1285" s="6"/>
      <c r="Z1285" s="6"/>
      <c r="AA1285" s="6"/>
      <c r="AB1285" s="6"/>
      <c r="AC1285" s="6"/>
      <c r="AD1285" s="6"/>
      <c r="AE1285" s="6"/>
      <c r="AF1285" s="6"/>
      <c r="AG1285" s="6"/>
    </row>
    <row r="1286" ht="14.25" customHeight="1">
      <c r="A1286" s="6"/>
      <c r="B1286" s="6"/>
      <c r="C1286" s="6">
        <v>1279.0</v>
      </c>
      <c r="D1286" s="6"/>
      <c r="E1286" s="6">
        <v>9399572.0866304</v>
      </c>
      <c r="F1286" s="6">
        <v>461.34148684786896</v>
      </c>
      <c r="G1286" s="6">
        <v>6.158797141178693</v>
      </c>
      <c r="H1286" s="6">
        <v>9299752.917205565</v>
      </c>
      <c r="I1286" s="6">
        <v>456.18580342125654</v>
      </c>
      <c r="J1286" s="6">
        <v>4.9904436546505275</v>
      </c>
      <c r="K1286" s="6"/>
      <c r="L1286" s="6"/>
      <c r="M1286" s="6"/>
      <c r="N1286" s="6">
        <f t="shared" ref="N1286:P1286" si="1289">IF(LEN($C1286)&gt;0,H1286-E1286,"")</f>
        <v>-99819.16942</v>
      </c>
      <c r="O1286" s="6">
        <f t="shared" si="1289"/>
        <v>-5.155683427</v>
      </c>
      <c r="P1286" s="6">
        <f t="shared" si="1289"/>
        <v>-1.168353487</v>
      </c>
      <c r="Q1286" s="6"/>
      <c r="R1286" s="6"/>
      <c r="S1286" s="6"/>
      <c r="T1286" s="6"/>
      <c r="U1286" s="6"/>
      <c r="V1286" s="6"/>
      <c r="W1286" s="6"/>
      <c r="X1286" s="6"/>
      <c r="Y1286" s="6"/>
      <c r="Z1286" s="6"/>
      <c r="AA1286" s="6"/>
      <c r="AB1286" s="6"/>
      <c r="AC1286" s="6"/>
      <c r="AD1286" s="6"/>
      <c r="AE1286" s="6"/>
      <c r="AF1286" s="6"/>
      <c r="AG1286" s="6"/>
    </row>
    <row r="1287" ht="14.25" customHeight="1">
      <c r="A1287" s="6"/>
      <c r="B1287" s="6"/>
      <c r="C1287" s="6">
        <v>1280.0</v>
      </c>
      <c r="D1287" s="6"/>
      <c r="E1287" s="6">
        <v>8652791.42973413</v>
      </c>
      <c r="F1287" s="6">
        <v>450.54681399466716</v>
      </c>
      <c r="G1287" s="6">
        <v>4.096027624616649</v>
      </c>
      <c r="H1287" s="6">
        <v>8427413.869849816</v>
      </c>
      <c r="I1287" s="6">
        <v>439.80383958015653</v>
      </c>
      <c r="J1287" s="6">
        <v>2.733531612983487</v>
      </c>
      <c r="K1287" s="6"/>
      <c r="L1287" s="6"/>
      <c r="M1287" s="6"/>
      <c r="N1287" s="6">
        <f t="shared" ref="N1287:P1287" si="1290">IF(LEN($C1287)&gt;0,H1287-E1287,"")</f>
        <v>-225377.5599</v>
      </c>
      <c r="O1287" s="6">
        <f t="shared" si="1290"/>
        <v>-10.74297441</v>
      </c>
      <c r="P1287" s="6">
        <f t="shared" si="1290"/>
        <v>-1.362496012</v>
      </c>
      <c r="Q1287" s="6"/>
      <c r="R1287" s="6"/>
      <c r="S1287" s="6"/>
      <c r="T1287" s="6"/>
      <c r="U1287" s="6"/>
      <c r="V1287" s="6"/>
      <c r="W1287" s="6"/>
      <c r="X1287" s="6"/>
      <c r="Y1287" s="6"/>
      <c r="Z1287" s="6"/>
      <c r="AA1287" s="6"/>
      <c r="AB1287" s="6"/>
      <c r="AC1287" s="6"/>
      <c r="AD1287" s="6"/>
      <c r="AE1287" s="6"/>
      <c r="AF1287" s="6"/>
      <c r="AG1287" s="6"/>
    </row>
    <row r="1288" ht="14.25" customHeight="1">
      <c r="A1288" s="6"/>
      <c r="B1288" s="6"/>
      <c r="C1288" s="6">
        <v>1281.0</v>
      </c>
      <c r="D1288" s="6"/>
      <c r="E1288" s="6">
        <v>8523703.118063081</v>
      </c>
      <c r="F1288" s="6">
        <v>456.4606648144637</v>
      </c>
      <c r="G1288" s="6">
        <v>5.057967580133414</v>
      </c>
      <c r="H1288" s="6">
        <v>8326163.077885751</v>
      </c>
      <c r="I1288" s="6">
        <v>449.99682696817086</v>
      </c>
      <c r="J1288" s="6">
        <v>3.6043292281442723</v>
      </c>
      <c r="K1288" s="6"/>
      <c r="L1288" s="6"/>
      <c r="M1288" s="6"/>
      <c r="N1288" s="6">
        <f t="shared" ref="N1288:P1288" si="1291">IF(LEN($C1288)&gt;0,H1288-E1288,"")</f>
        <v>-197540.0402</v>
      </c>
      <c r="O1288" s="6">
        <f t="shared" si="1291"/>
        <v>-6.463837846</v>
      </c>
      <c r="P1288" s="6">
        <f t="shared" si="1291"/>
        <v>-1.453638352</v>
      </c>
      <c r="Q1288" s="6"/>
      <c r="R1288" s="6"/>
      <c r="S1288" s="6"/>
      <c r="T1288" s="6"/>
      <c r="U1288" s="6"/>
      <c r="V1288" s="6"/>
      <c r="W1288" s="6"/>
      <c r="X1288" s="6"/>
      <c r="Y1288" s="6"/>
      <c r="Z1288" s="6"/>
      <c r="AA1288" s="6"/>
      <c r="AB1288" s="6"/>
      <c r="AC1288" s="6"/>
      <c r="AD1288" s="6"/>
      <c r="AE1288" s="6"/>
      <c r="AF1288" s="6"/>
      <c r="AG1288" s="6"/>
    </row>
    <row r="1289" ht="14.25" customHeight="1">
      <c r="A1289" s="6"/>
      <c r="B1289" s="6"/>
      <c r="C1289" s="6">
        <v>1282.0</v>
      </c>
      <c r="D1289" s="6"/>
      <c r="E1289" s="6">
        <v>8343625.97494586</v>
      </c>
      <c r="F1289" s="6">
        <v>472.16335459794135</v>
      </c>
      <c r="G1289" s="6">
        <v>4.191682168516154</v>
      </c>
      <c r="H1289" s="6">
        <v>8251533.814692411</v>
      </c>
      <c r="I1289" s="6">
        <v>469.28956171939046</v>
      </c>
      <c r="J1289" s="6">
        <v>3.1157513352694783</v>
      </c>
      <c r="K1289" s="6"/>
      <c r="L1289" s="6"/>
      <c r="M1289" s="6"/>
      <c r="N1289" s="6">
        <f t="shared" ref="N1289:P1289" si="1292">IF(LEN($C1289)&gt;0,H1289-E1289,"")</f>
        <v>-92092.16025</v>
      </c>
      <c r="O1289" s="6">
        <f t="shared" si="1292"/>
        <v>-2.873792879</v>
      </c>
      <c r="P1289" s="6">
        <f t="shared" si="1292"/>
        <v>-1.075930833</v>
      </c>
      <c r="Q1289" s="6"/>
      <c r="R1289" s="6"/>
      <c r="S1289" s="6"/>
      <c r="T1289" s="6"/>
      <c r="U1289" s="6"/>
      <c r="V1289" s="6"/>
      <c r="W1289" s="6"/>
      <c r="X1289" s="6"/>
      <c r="Y1289" s="6"/>
      <c r="Z1289" s="6"/>
      <c r="AA1289" s="6"/>
      <c r="AB1289" s="6"/>
      <c r="AC1289" s="6"/>
      <c r="AD1289" s="6"/>
      <c r="AE1289" s="6"/>
      <c r="AF1289" s="6"/>
      <c r="AG1289" s="6"/>
    </row>
    <row r="1290" ht="14.25" customHeight="1">
      <c r="A1290" s="6"/>
      <c r="B1290" s="6"/>
      <c r="C1290" s="6">
        <v>1283.0</v>
      </c>
      <c r="D1290" s="6"/>
      <c r="E1290" s="6">
        <v>8599690.258318707</v>
      </c>
      <c r="F1290" s="6">
        <v>450.9668266721552</v>
      </c>
      <c r="G1290" s="6">
        <v>4.7421113894855775</v>
      </c>
      <c r="H1290" s="6">
        <v>8452397.864573574</v>
      </c>
      <c r="I1290" s="6">
        <v>445.4400743111364</v>
      </c>
      <c r="J1290" s="6">
        <v>3.19026057806489</v>
      </c>
      <c r="K1290" s="6"/>
      <c r="L1290" s="6"/>
      <c r="M1290" s="6"/>
      <c r="N1290" s="6">
        <f t="shared" ref="N1290:P1290" si="1293">IF(LEN($C1290)&gt;0,H1290-E1290,"")</f>
        <v>-147292.3937</v>
      </c>
      <c r="O1290" s="6">
        <f t="shared" si="1293"/>
        <v>-5.526752361</v>
      </c>
      <c r="P1290" s="6">
        <f t="shared" si="1293"/>
        <v>-1.551850811</v>
      </c>
      <c r="Q1290" s="6"/>
      <c r="R1290" s="6"/>
      <c r="S1290" s="6"/>
      <c r="T1290" s="6"/>
      <c r="U1290" s="6"/>
      <c r="V1290" s="6"/>
      <c r="W1290" s="6"/>
      <c r="X1290" s="6"/>
      <c r="Y1290" s="6"/>
      <c r="Z1290" s="6"/>
      <c r="AA1290" s="6"/>
      <c r="AB1290" s="6"/>
      <c r="AC1290" s="6"/>
      <c r="AD1290" s="6"/>
      <c r="AE1290" s="6"/>
      <c r="AF1290" s="6"/>
      <c r="AG1290" s="6"/>
    </row>
    <row r="1291" ht="14.25" customHeight="1">
      <c r="A1291" s="6"/>
      <c r="B1291" s="6"/>
      <c r="C1291" s="6">
        <v>1284.0</v>
      </c>
      <c r="D1291" s="6"/>
      <c r="E1291" s="6">
        <v>7657387.455127986</v>
      </c>
      <c r="F1291" s="6">
        <v>480.5985887957053</v>
      </c>
      <c r="G1291" s="6">
        <v>5.534637612004392</v>
      </c>
      <c r="H1291" s="6">
        <v>7546001.81083223</v>
      </c>
      <c r="I1291" s="6">
        <v>477.86318668444636</v>
      </c>
      <c r="J1291" s="6">
        <v>4.005004248202404</v>
      </c>
      <c r="K1291" s="6"/>
      <c r="L1291" s="6"/>
      <c r="M1291" s="6"/>
      <c r="N1291" s="6">
        <f t="shared" ref="N1291:P1291" si="1294">IF(LEN($C1291)&gt;0,H1291-E1291,"")</f>
        <v>-111385.6443</v>
      </c>
      <c r="O1291" s="6">
        <f t="shared" si="1294"/>
        <v>-2.735402111</v>
      </c>
      <c r="P1291" s="6">
        <f t="shared" si="1294"/>
        <v>-1.529633364</v>
      </c>
      <c r="Q1291" s="6"/>
      <c r="R1291" s="6"/>
      <c r="S1291" s="6"/>
      <c r="T1291" s="6"/>
      <c r="U1291" s="6"/>
      <c r="V1291" s="6"/>
      <c r="W1291" s="6"/>
      <c r="X1291" s="6"/>
      <c r="Y1291" s="6"/>
      <c r="Z1291" s="6"/>
      <c r="AA1291" s="6"/>
      <c r="AB1291" s="6"/>
      <c r="AC1291" s="6"/>
      <c r="AD1291" s="6"/>
      <c r="AE1291" s="6"/>
      <c r="AF1291" s="6"/>
      <c r="AG1291" s="6"/>
    </row>
    <row r="1292" ht="14.25" customHeight="1">
      <c r="A1292" s="6"/>
      <c r="B1292" s="6"/>
      <c r="C1292" s="6">
        <v>1285.0</v>
      </c>
      <c r="D1292" s="6"/>
      <c r="E1292" s="6">
        <v>8096931.98602753</v>
      </c>
      <c r="F1292" s="6">
        <v>466.51423891987076</v>
      </c>
      <c r="G1292" s="6">
        <v>4.359732484219844</v>
      </c>
      <c r="H1292" s="6">
        <v>7911286.684227431</v>
      </c>
      <c r="I1292" s="6">
        <v>456.6961391388134</v>
      </c>
      <c r="J1292" s="6">
        <v>2.9553498934613063</v>
      </c>
      <c r="K1292" s="6"/>
      <c r="L1292" s="6"/>
      <c r="M1292" s="6"/>
      <c r="N1292" s="6">
        <f t="shared" ref="N1292:P1292" si="1295">IF(LEN($C1292)&gt;0,H1292-E1292,"")</f>
        <v>-185645.3018</v>
      </c>
      <c r="O1292" s="6">
        <f t="shared" si="1295"/>
        <v>-9.818099781</v>
      </c>
      <c r="P1292" s="6">
        <f t="shared" si="1295"/>
        <v>-1.404382591</v>
      </c>
      <c r="Q1292" s="6"/>
      <c r="R1292" s="6"/>
      <c r="S1292" s="6"/>
      <c r="T1292" s="6"/>
      <c r="U1292" s="6"/>
      <c r="V1292" s="6"/>
      <c r="W1292" s="6"/>
      <c r="X1292" s="6"/>
      <c r="Y1292" s="6"/>
      <c r="Z1292" s="6"/>
      <c r="AA1292" s="6"/>
      <c r="AB1292" s="6"/>
      <c r="AC1292" s="6"/>
      <c r="AD1292" s="6"/>
      <c r="AE1292" s="6"/>
      <c r="AF1292" s="6"/>
      <c r="AG1292" s="6"/>
    </row>
    <row r="1293" ht="14.25" customHeight="1">
      <c r="A1293" s="6"/>
      <c r="B1293" s="6"/>
      <c r="C1293" s="6">
        <v>1286.0</v>
      </c>
      <c r="D1293" s="6"/>
      <c r="E1293" s="6">
        <v>7186517.783729272</v>
      </c>
      <c r="F1293" s="6">
        <v>445.56179856827464</v>
      </c>
      <c r="G1293" s="6">
        <v>5.1901738876538435</v>
      </c>
      <c r="H1293" s="6">
        <v>7092164.026835151</v>
      </c>
      <c r="I1293" s="6">
        <v>441.59640524291126</v>
      </c>
      <c r="J1293" s="6">
        <v>4.100436329150005</v>
      </c>
      <c r="K1293" s="6"/>
      <c r="L1293" s="6"/>
      <c r="M1293" s="6"/>
      <c r="N1293" s="6">
        <f t="shared" ref="N1293:P1293" si="1296">IF(LEN($C1293)&gt;0,H1293-E1293,"")</f>
        <v>-94353.75689</v>
      </c>
      <c r="O1293" s="6">
        <f t="shared" si="1296"/>
        <v>-3.965393325</v>
      </c>
      <c r="P1293" s="6">
        <f t="shared" si="1296"/>
        <v>-1.089737559</v>
      </c>
      <c r="Q1293" s="6"/>
      <c r="R1293" s="6"/>
      <c r="S1293" s="6"/>
      <c r="T1293" s="6"/>
      <c r="U1293" s="6"/>
      <c r="V1293" s="6"/>
      <c r="W1293" s="6"/>
      <c r="X1293" s="6"/>
      <c r="Y1293" s="6"/>
      <c r="Z1293" s="6"/>
      <c r="AA1293" s="6"/>
      <c r="AB1293" s="6"/>
      <c r="AC1293" s="6"/>
      <c r="AD1293" s="6"/>
      <c r="AE1293" s="6"/>
      <c r="AF1293" s="6"/>
      <c r="AG1293" s="6"/>
    </row>
    <row r="1294" ht="14.25" customHeight="1">
      <c r="A1294" s="6"/>
      <c r="B1294" s="6"/>
      <c r="C1294" s="6">
        <v>1287.0</v>
      </c>
      <c r="D1294" s="6"/>
      <c r="E1294" s="6">
        <v>8665790.961007873</v>
      </c>
      <c r="F1294" s="6">
        <v>479.5143876134454</v>
      </c>
      <c r="G1294" s="6">
        <v>6.177734510868226</v>
      </c>
      <c r="H1294" s="6">
        <v>8495647.999913288</v>
      </c>
      <c r="I1294" s="6">
        <v>473.89842037967765</v>
      </c>
      <c r="J1294" s="6">
        <v>4.572387516035097</v>
      </c>
      <c r="K1294" s="6"/>
      <c r="L1294" s="6"/>
      <c r="M1294" s="6"/>
      <c r="N1294" s="6">
        <f t="shared" ref="N1294:P1294" si="1297">IF(LEN($C1294)&gt;0,H1294-E1294,"")</f>
        <v>-170142.9611</v>
      </c>
      <c r="O1294" s="6">
        <f t="shared" si="1297"/>
        <v>-5.615967234</v>
      </c>
      <c r="P1294" s="6">
        <f t="shared" si="1297"/>
        <v>-1.605346995</v>
      </c>
      <c r="Q1294" s="6"/>
      <c r="R1294" s="6"/>
      <c r="S1294" s="6"/>
      <c r="T1294" s="6"/>
      <c r="U1294" s="6"/>
      <c r="V1294" s="6"/>
      <c r="W1294" s="6"/>
      <c r="X1294" s="6"/>
      <c r="Y1294" s="6"/>
      <c r="Z1294" s="6"/>
      <c r="AA1294" s="6"/>
      <c r="AB1294" s="6"/>
      <c r="AC1294" s="6"/>
      <c r="AD1294" s="6"/>
      <c r="AE1294" s="6"/>
      <c r="AF1294" s="6"/>
      <c r="AG1294" s="6"/>
    </row>
    <row r="1295" ht="14.25" customHeight="1">
      <c r="A1295" s="6"/>
      <c r="B1295" s="6"/>
      <c r="C1295" s="6">
        <v>1288.0</v>
      </c>
      <c r="D1295" s="6"/>
      <c r="E1295" s="6">
        <v>6591454.947970579</v>
      </c>
      <c r="F1295" s="6">
        <v>472.2659361917833</v>
      </c>
      <c r="G1295" s="6">
        <v>5.1640446380756115</v>
      </c>
      <c r="H1295" s="6">
        <v>6517562.655469263</v>
      </c>
      <c r="I1295" s="6">
        <v>468.77229938952394</v>
      </c>
      <c r="J1295" s="6">
        <v>4.047052724192554</v>
      </c>
      <c r="K1295" s="6"/>
      <c r="L1295" s="6"/>
      <c r="M1295" s="6"/>
      <c r="N1295" s="6">
        <f t="shared" ref="N1295:P1295" si="1298">IF(LEN($C1295)&gt;0,H1295-E1295,"")</f>
        <v>-73892.2925</v>
      </c>
      <c r="O1295" s="6">
        <f t="shared" si="1298"/>
        <v>-3.493636802</v>
      </c>
      <c r="P1295" s="6">
        <f t="shared" si="1298"/>
        <v>-1.116991914</v>
      </c>
      <c r="Q1295" s="6"/>
      <c r="R1295" s="6"/>
      <c r="S1295" s="6"/>
      <c r="T1295" s="6"/>
      <c r="U1295" s="6"/>
      <c r="V1295" s="6"/>
      <c r="W1295" s="6"/>
      <c r="X1295" s="6"/>
      <c r="Y1295" s="6"/>
      <c r="Z1295" s="6"/>
      <c r="AA1295" s="6"/>
      <c r="AB1295" s="6"/>
      <c r="AC1295" s="6"/>
      <c r="AD1295" s="6"/>
      <c r="AE1295" s="6"/>
      <c r="AF1295" s="6"/>
      <c r="AG1295" s="6"/>
    </row>
    <row r="1296" ht="14.25" customHeight="1">
      <c r="A1296" s="6"/>
      <c r="B1296" s="6"/>
      <c r="C1296" s="6">
        <v>1289.0</v>
      </c>
      <c r="D1296" s="6"/>
      <c r="E1296" s="6">
        <v>6265358.31506265</v>
      </c>
      <c r="F1296" s="6">
        <v>438.1619987896024</v>
      </c>
      <c r="G1296" s="6">
        <v>6.230160769198608</v>
      </c>
      <c r="H1296" s="6">
        <v>6123717.84880295</v>
      </c>
      <c r="I1296" s="6">
        <v>433.9154217318448</v>
      </c>
      <c r="J1296" s="6">
        <v>3.965415476552685</v>
      </c>
      <c r="K1296" s="6"/>
      <c r="L1296" s="6"/>
      <c r="M1296" s="6"/>
      <c r="N1296" s="6">
        <f t="shared" ref="N1296:P1296" si="1299">IF(LEN($C1296)&gt;0,H1296-E1296,"")</f>
        <v>-141640.4663</v>
      </c>
      <c r="O1296" s="6">
        <f t="shared" si="1299"/>
        <v>-4.246577058</v>
      </c>
      <c r="P1296" s="6">
        <f t="shared" si="1299"/>
        <v>-2.264745293</v>
      </c>
      <c r="Q1296" s="6"/>
      <c r="R1296" s="6"/>
      <c r="S1296" s="6"/>
      <c r="T1296" s="6"/>
      <c r="U1296" s="6"/>
      <c r="V1296" s="6"/>
      <c r="W1296" s="6"/>
      <c r="X1296" s="6"/>
      <c r="Y1296" s="6"/>
      <c r="Z1296" s="6"/>
      <c r="AA1296" s="6"/>
      <c r="AB1296" s="6"/>
      <c r="AC1296" s="6"/>
      <c r="AD1296" s="6"/>
      <c r="AE1296" s="6"/>
      <c r="AF1296" s="6"/>
      <c r="AG1296" s="6"/>
    </row>
    <row r="1297" ht="14.25" customHeight="1">
      <c r="A1297" s="6"/>
      <c r="B1297" s="6"/>
      <c r="C1297" s="6">
        <v>1290.0</v>
      </c>
      <c r="D1297" s="6"/>
      <c r="E1297" s="6">
        <v>1.0609174053370167E7</v>
      </c>
      <c r="F1297" s="6">
        <v>479.1049931298618</v>
      </c>
      <c r="G1297" s="6">
        <v>4.364164062751787</v>
      </c>
      <c r="H1297" s="6">
        <v>1.0540872841793424E7</v>
      </c>
      <c r="I1297" s="6">
        <v>476.12685817969043</v>
      </c>
      <c r="J1297" s="6">
        <v>3.5526346446820263</v>
      </c>
      <c r="K1297" s="6"/>
      <c r="L1297" s="6"/>
      <c r="M1297" s="6"/>
      <c r="N1297" s="6">
        <f t="shared" ref="N1297:P1297" si="1300">IF(LEN($C1297)&gt;0,H1297-E1297,"")</f>
        <v>-68301.21158</v>
      </c>
      <c r="O1297" s="6">
        <f t="shared" si="1300"/>
        <v>-2.97813495</v>
      </c>
      <c r="P1297" s="6">
        <f t="shared" si="1300"/>
        <v>-0.8115294181</v>
      </c>
      <c r="Q1297" s="6"/>
      <c r="R1297" s="6"/>
      <c r="S1297" s="6"/>
      <c r="T1297" s="6"/>
      <c r="U1297" s="6"/>
      <c r="V1297" s="6"/>
      <c r="W1297" s="6"/>
      <c r="X1297" s="6"/>
      <c r="Y1297" s="6"/>
      <c r="Z1297" s="6"/>
      <c r="AA1297" s="6"/>
      <c r="AB1297" s="6"/>
      <c r="AC1297" s="6"/>
      <c r="AD1297" s="6"/>
      <c r="AE1297" s="6"/>
      <c r="AF1297" s="6"/>
      <c r="AG1297" s="6"/>
    </row>
    <row r="1298" ht="14.25" customHeight="1">
      <c r="A1298" s="6"/>
      <c r="B1298" s="6"/>
      <c r="C1298" s="6">
        <v>1291.0</v>
      </c>
      <c r="D1298" s="6"/>
      <c r="E1298" s="6">
        <v>6346648.680186639</v>
      </c>
      <c r="F1298" s="6">
        <v>457.6159520435495</v>
      </c>
      <c r="G1298" s="6">
        <v>5.587879610829662</v>
      </c>
      <c r="H1298" s="6">
        <v>6253518.908819946</v>
      </c>
      <c r="I1298" s="6">
        <v>452.83153931225024</v>
      </c>
      <c r="J1298" s="6">
        <v>4.780627212780187</v>
      </c>
      <c r="K1298" s="6"/>
      <c r="L1298" s="6"/>
      <c r="M1298" s="6"/>
      <c r="N1298" s="6">
        <f t="shared" ref="N1298:P1298" si="1301">IF(LEN($C1298)&gt;0,H1298-E1298,"")</f>
        <v>-93129.77137</v>
      </c>
      <c r="O1298" s="6">
        <f t="shared" si="1301"/>
        <v>-4.784412731</v>
      </c>
      <c r="P1298" s="6">
        <f t="shared" si="1301"/>
        <v>-0.807252398</v>
      </c>
      <c r="Q1298" s="6"/>
      <c r="R1298" s="6"/>
      <c r="S1298" s="6"/>
      <c r="T1298" s="6"/>
      <c r="U1298" s="6"/>
      <c r="V1298" s="6"/>
      <c r="W1298" s="6"/>
      <c r="X1298" s="6"/>
      <c r="Y1298" s="6"/>
      <c r="Z1298" s="6"/>
      <c r="AA1298" s="6"/>
      <c r="AB1298" s="6"/>
      <c r="AC1298" s="6"/>
      <c r="AD1298" s="6"/>
      <c r="AE1298" s="6"/>
      <c r="AF1298" s="6"/>
      <c r="AG1298" s="6"/>
    </row>
    <row r="1299" ht="14.25" customHeight="1">
      <c r="A1299" s="6"/>
      <c r="B1299" s="6"/>
      <c r="C1299" s="6">
        <v>1292.0</v>
      </c>
      <c r="D1299" s="6"/>
      <c r="E1299" s="6">
        <v>6598482.986933128</v>
      </c>
      <c r="F1299" s="6">
        <v>437.2858832660708</v>
      </c>
      <c r="G1299" s="6">
        <v>4.496794906112643</v>
      </c>
      <c r="H1299" s="6">
        <v>6532916.047477251</v>
      </c>
      <c r="I1299" s="6">
        <v>434.80583930600795</v>
      </c>
      <c r="J1299" s="6">
        <v>3.53195667576924</v>
      </c>
      <c r="K1299" s="6"/>
      <c r="L1299" s="6"/>
      <c r="M1299" s="6"/>
      <c r="N1299" s="6">
        <f t="shared" ref="N1299:P1299" si="1302">IF(LEN($C1299)&gt;0,H1299-E1299,"")</f>
        <v>-65566.93946</v>
      </c>
      <c r="O1299" s="6">
        <f t="shared" si="1302"/>
        <v>-2.48004396</v>
      </c>
      <c r="P1299" s="6">
        <f t="shared" si="1302"/>
        <v>-0.9648382303</v>
      </c>
      <c r="Q1299" s="6"/>
      <c r="R1299" s="6"/>
      <c r="S1299" s="6"/>
      <c r="T1299" s="6"/>
      <c r="U1299" s="6"/>
      <c r="V1299" s="6"/>
      <c r="W1299" s="6"/>
      <c r="X1299" s="6"/>
      <c r="Y1299" s="6"/>
      <c r="Z1299" s="6"/>
      <c r="AA1299" s="6"/>
      <c r="AB1299" s="6"/>
      <c r="AC1299" s="6"/>
      <c r="AD1299" s="6"/>
      <c r="AE1299" s="6"/>
      <c r="AF1299" s="6"/>
      <c r="AG1299" s="6"/>
    </row>
    <row r="1300" ht="14.25" customHeight="1">
      <c r="A1300" s="6"/>
      <c r="B1300" s="6"/>
      <c r="C1300" s="6">
        <v>1293.0</v>
      </c>
      <c r="D1300" s="6"/>
      <c r="E1300" s="6">
        <v>8321929.501383125</v>
      </c>
      <c r="F1300" s="6">
        <v>497.0588689792352</v>
      </c>
      <c r="G1300" s="6">
        <v>4.727958105726916</v>
      </c>
      <c r="H1300" s="6">
        <v>8110313.834754419</v>
      </c>
      <c r="I1300" s="6">
        <v>487.3614498546985</v>
      </c>
      <c r="J1300" s="6">
        <v>3.2273365068581166</v>
      </c>
      <c r="K1300" s="6"/>
      <c r="L1300" s="6"/>
      <c r="M1300" s="6"/>
      <c r="N1300" s="6">
        <f t="shared" ref="N1300:P1300" si="1303">IF(LEN($C1300)&gt;0,H1300-E1300,"")</f>
        <v>-211615.6666</v>
      </c>
      <c r="O1300" s="6">
        <f t="shared" si="1303"/>
        <v>-9.697419125</v>
      </c>
      <c r="P1300" s="6">
        <f t="shared" si="1303"/>
        <v>-1.500621599</v>
      </c>
      <c r="Q1300" s="6"/>
      <c r="R1300" s="6"/>
      <c r="S1300" s="6"/>
      <c r="T1300" s="6"/>
      <c r="U1300" s="6"/>
      <c r="V1300" s="6"/>
      <c r="W1300" s="6"/>
      <c r="X1300" s="6"/>
      <c r="Y1300" s="6"/>
      <c r="Z1300" s="6"/>
      <c r="AA1300" s="6"/>
      <c r="AB1300" s="6"/>
      <c r="AC1300" s="6"/>
      <c r="AD1300" s="6"/>
      <c r="AE1300" s="6"/>
      <c r="AF1300" s="6"/>
      <c r="AG1300" s="6"/>
    </row>
    <row r="1301" ht="14.25" customHeight="1">
      <c r="A1301" s="6"/>
      <c r="B1301" s="6"/>
      <c r="C1301" s="6">
        <v>1294.0</v>
      </c>
      <c r="D1301" s="6"/>
      <c r="E1301" s="6">
        <v>5188655.041618984</v>
      </c>
      <c r="F1301" s="6">
        <v>475.60567016783193</v>
      </c>
      <c r="G1301" s="6">
        <v>4.867638137908295</v>
      </c>
      <c r="H1301" s="6">
        <v>5119522.65464574</v>
      </c>
      <c r="I1301" s="6">
        <v>473.4358651372656</v>
      </c>
      <c r="J1301" s="6">
        <v>3.6181055578607477</v>
      </c>
      <c r="K1301" s="6"/>
      <c r="L1301" s="6"/>
      <c r="M1301" s="6"/>
      <c r="N1301" s="6">
        <f t="shared" ref="N1301:P1301" si="1304">IF(LEN($C1301)&gt;0,H1301-E1301,"")</f>
        <v>-69132.38697</v>
      </c>
      <c r="O1301" s="6">
        <f t="shared" si="1304"/>
        <v>-2.169805031</v>
      </c>
      <c r="P1301" s="6">
        <f t="shared" si="1304"/>
        <v>-1.24953258</v>
      </c>
      <c r="Q1301" s="6"/>
      <c r="R1301" s="6"/>
      <c r="S1301" s="6"/>
      <c r="T1301" s="6"/>
      <c r="U1301" s="6"/>
      <c r="V1301" s="6"/>
      <c r="W1301" s="6"/>
      <c r="X1301" s="6"/>
      <c r="Y1301" s="6"/>
      <c r="Z1301" s="6"/>
      <c r="AA1301" s="6"/>
      <c r="AB1301" s="6"/>
      <c r="AC1301" s="6"/>
      <c r="AD1301" s="6"/>
      <c r="AE1301" s="6"/>
      <c r="AF1301" s="6"/>
      <c r="AG1301" s="6"/>
    </row>
    <row r="1302" ht="14.25" customHeight="1">
      <c r="A1302" s="6"/>
      <c r="B1302" s="6"/>
      <c r="C1302" s="6">
        <v>1295.0</v>
      </c>
      <c r="D1302" s="6"/>
      <c r="E1302" s="6">
        <v>5486702.087772475</v>
      </c>
      <c r="F1302" s="6">
        <v>452.62427840917627</v>
      </c>
      <c r="G1302" s="6">
        <v>6.500376787743585</v>
      </c>
      <c r="H1302" s="6">
        <v>5421558.050910071</v>
      </c>
      <c r="I1302" s="6">
        <v>449.06262685794104</v>
      </c>
      <c r="J1302" s="6">
        <v>5.220710855056385</v>
      </c>
      <c r="K1302" s="6"/>
      <c r="L1302" s="6"/>
      <c r="M1302" s="6"/>
      <c r="N1302" s="6">
        <f t="shared" ref="N1302:P1302" si="1305">IF(LEN($C1302)&gt;0,H1302-E1302,"")</f>
        <v>-65144.03686</v>
      </c>
      <c r="O1302" s="6">
        <f t="shared" si="1305"/>
        <v>-3.561651551</v>
      </c>
      <c r="P1302" s="6">
        <f t="shared" si="1305"/>
        <v>-1.279665933</v>
      </c>
      <c r="Q1302" s="6"/>
      <c r="R1302" s="6"/>
      <c r="S1302" s="6"/>
      <c r="T1302" s="6"/>
      <c r="U1302" s="6"/>
      <c r="V1302" s="6"/>
      <c r="W1302" s="6"/>
      <c r="X1302" s="6"/>
      <c r="Y1302" s="6"/>
      <c r="Z1302" s="6"/>
      <c r="AA1302" s="6"/>
      <c r="AB1302" s="6"/>
      <c r="AC1302" s="6"/>
      <c r="AD1302" s="6"/>
      <c r="AE1302" s="6"/>
      <c r="AF1302" s="6"/>
      <c r="AG1302" s="6"/>
    </row>
    <row r="1303" ht="14.25" customHeight="1">
      <c r="A1303" s="6"/>
      <c r="B1303" s="6"/>
      <c r="C1303" s="6">
        <v>1296.0</v>
      </c>
      <c r="D1303" s="6"/>
      <c r="E1303" s="6">
        <v>9076109.494873764</v>
      </c>
      <c r="F1303" s="6">
        <v>473.83642369850725</v>
      </c>
      <c r="G1303" s="6">
        <v>4.456083569544197</v>
      </c>
      <c r="H1303" s="6">
        <v>8980760.946513658</v>
      </c>
      <c r="I1303" s="6">
        <v>469.0513477611183</v>
      </c>
      <c r="J1303" s="6">
        <v>3.136047871048242</v>
      </c>
      <c r="K1303" s="6"/>
      <c r="L1303" s="6"/>
      <c r="M1303" s="6"/>
      <c r="N1303" s="6">
        <f t="shared" ref="N1303:P1303" si="1306">IF(LEN($C1303)&gt;0,H1303-E1303,"")</f>
        <v>-95348.54836</v>
      </c>
      <c r="O1303" s="6">
        <f t="shared" si="1306"/>
        <v>-4.785075937</v>
      </c>
      <c r="P1303" s="6">
        <f t="shared" si="1306"/>
        <v>-1.320035698</v>
      </c>
      <c r="Q1303" s="6"/>
      <c r="R1303" s="6"/>
      <c r="S1303" s="6"/>
      <c r="T1303" s="6"/>
      <c r="U1303" s="6"/>
      <c r="V1303" s="6"/>
      <c r="W1303" s="6"/>
      <c r="X1303" s="6"/>
      <c r="Y1303" s="6"/>
      <c r="Z1303" s="6"/>
      <c r="AA1303" s="6"/>
      <c r="AB1303" s="6"/>
      <c r="AC1303" s="6"/>
      <c r="AD1303" s="6"/>
      <c r="AE1303" s="6"/>
      <c r="AF1303" s="6"/>
      <c r="AG1303" s="6"/>
    </row>
    <row r="1304" ht="14.25" customHeight="1">
      <c r="A1304" s="6"/>
      <c r="B1304" s="6"/>
      <c r="C1304" s="6">
        <v>1297.0</v>
      </c>
      <c r="D1304" s="6"/>
      <c r="E1304" s="6">
        <v>7746432.27004012</v>
      </c>
      <c r="F1304" s="6">
        <v>456.73139897188514</v>
      </c>
      <c r="G1304" s="6">
        <v>4.649122915342286</v>
      </c>
      <c r="H1304" s="6">
        <v>7661096.295025835</v>
      </c>
      <c r="I1304" s="6">
        <v>454.4060657782634</v>
      </c>
      <c r="J1304" s="6">
        <v>3.8467386121169436</v>
      </c>
      <c r="K1304" s="6"/>
      <c r="L1304" s="6"/>
      <c r="M1304" s="6"/>
      <c r="N1304" s="6">
        <f t="shared" ref="N1304:P1304" si="1307">IF(LEN($C1304)&gt;0,H1304-E1304,"")</f>
        <v>-85335.97501</v>
      </c>
      <c r="O1304" s="6">
        <f t="shared" si="1307"/>
        <v>-2.325333194</v>
      </c>
      <c r="P1304" s="6">
        <f t="shared" si="1307"/>
        <v>-0.8023843032</v>
      </c>
      <c r="Q1304" s="6"/>
      <c r="R1304" s="6"/>
      <c r="S1304" s="6"/>
      <c r="T1304" s="6"/>
      <c r="U1304" s="6"/>
      <c r="V1304" s="6"/>
      <c r="W1304" s="6"/>
      <c r="X1304" s="6"/>
      <c r="Y1304" s="6"/>
      <c r="Z1304" s="6"/>
      <c r="AA1304" s="6"/>
      <c r="AB1304" s="6"/>
      <c r="AC1304" s="6"/>
      <c r="AD1304" s="6"/>
      <c r="AE1304" s="6"/>
      <c r="AF1304" s="6"/>
      <c r="AG1304" s="6"/>
    </row>
    <row r="1305" ht="14.25" customHeight="1">
      <c r="A1305" s="6"/>
      <c r="B1305" s="6"/>
      <c r="C1305" s="6">
        <v>1298.0</v>
      </c>
      <c r="D1305" s="6"/>
      <c r="E1305" s="6">
        <v>6798006.7288944805</v>
      </c>
      <c r="F1305" s="6">
        <v>499.7172692276878</v>
      </c>
      <c r="G1305" s="6">
        <v>4.933295093125036</v>
      </c>
      <c r="H1305" s="6">
        <v>6687669.588485957</v>
      </c>
      <c r="I1305" s="6">
        <v>493.2009810051166</v>
      </c>
      <c r="J1305" s="6">
        <v>3.8058458828243054</v>
      </c>
      <c r="K1305" s="6"/>
      <c r="L1305" s="6"/>
      <c r="M1305" s="6"/>
      <c r="N1305" s="6">
        <f t="shared" ref="N1305:P1305" si="1308">IF(LEN($C1305)&gt;0,H1305-E1305,"")</f>
        <v>-110337.1404</v>
      </c>
      <c r="O1305" s="6">
        <f t="shared" si="1308"/>
        <v>-6.516288223</v>
      </c>
      <c r="P1305" s="6">
        <f t="shared" si="1308"/>
        <v>-1.12744921</v>
      </c>
      <c r="Q1305" s="6"/>
      <c r="R1305" s="6"/>
      <c r="S1305" s="6"/>
      <c r="T1305" s="6"/>
      <c r="U1305" s="6"/>
      <c r="V1305" s="6"/>
      <c r="W1305" s="6"/>
      <c r="X1305" s="6"/>
      <c r="Y1305" s="6"/>
      <c r="Z1305" s="6"/>
      <c r="AA1305" s="6"/>
      <c r="AB1305" s="6"/>
      <c r="AC1305" s="6"/>
      <c r="AD1305" s="6"/>
      <c r="AE1305" s="6"/>
      <c r="AF1305" s="6"/>
      <c r="AG1305" s="6"/>
    </row>
    <row r="1306" ht="14.25" customHeight="1">
      <c r="A1306" s="6"/>
      <c r="B1306" s="6"/>
      <c r="C1306" s="6">
        <v>1299.0</v>
      </c>
      <c r="D1306" s="6"/>
      <c r="E1306" s="6">
        <v>9255254.701353256</v>
      </c>
      <c r="F1306" s="6">
        <v>459.45111069641706</v>
      </c>
      <c r="G1306" s="6">
        <v>3.9003124002313623</v>
      </c>
      <c r="H1306" s="6">
        <v>9149672.153153777</v>
      </c>
      <c r="I1306" s="6">
        <v>456.4332505235837</v>
      </c>
      <c r="J1306" s="6">
        <v>2.9647736748170157</v>
      </c>
      <c r="K1306" s="6"/>
      <c r="L1306" s="6"/>
      <c r="M1306" s="6"/>
      <c r="N1306" s="6">
        <f t="shared" ref="N1306:P1306" si="1309">IF(LEN($C1306)&gt;0,H1306-E1306,"")</f>
        <v>-105582.5482</v>
      </c>
      <c r="O1306" s="6">
        <f t="shared" si="1309"/>
        <v>-3.017860173</v>
      </c>
      <c r="P1306" s="6">
        <f t="shared" si="1309"/>
        <v>-0.9355387254</v>
      </c>
      <c r="Q1306" s="6"/>
      <c r="R1306" s="6"/>
      <c r="S1306" s="6"/>
      <c r="T1306" s="6"/>
      <c r="U1306" s="6"/>
      <c r="V1306" s="6"/>
      <c r="W1306" s="6"/>
      <c r="X1306" s="6"/>
      <c r="Y1306" s="6"/>
      <c r="Z1306" s="6"/>
      <c r="AA1306" s="6"/>
      <c r="AB1306" s="6"/>
      <c r="AC1306" s="6"/>
      <c r="AD1306" s="6"/>
      <c r="AE1306" s="6"/>
      <c r="AF1306" s="6"/>
      <c r="AG1306" s="6"/>
    </row>
    <row r="1307" ht="14.25" customHeight="1">
      <c r="A1307" s="6"/>
      <c r="B1307" s="6"/>
      <c r="C1307" s="6">
        <v>1300.0</v>
      </c>
      <c r="D1307" s="6"/>
      <c r="E1307" s="6">
        <v>5835855.216235034</v>
      </c>
      <c r="F1307" s="6">
        <v>456.67316299902063</v>
      </c>
      <c r="G1307" s="6">
        <v>5.228461174745375</v>
      </c>
      <c r="H1307" s="6">
        <v>5751572.285111907</v>
      </c>
      <c r="I1307" s="6">
        <v>453.3157243877528</v>
      </c>
      <c r="J1307" s="6">
        <v>3.773722607703484</v>
      </c>
      <c r="K1307" s="6"/>
      <c r="L1307" s="6"/>
      <c r="M1307" s="6"/>
      <c r="N1307" s="6">
        <f t="shared" ref="N1307:P1307" si="1310">IF(LEN($C1307)&gt;0,H1307-E1307,"")</f>
        <v>-84282.93112</v>
      </c>
      <c r="O1307" s="6">
        <f t="shared" si="1310"/>
        <v>-3.357438611</v>
      </c>
      <c r="P1307" s="6">
        <f t="shared" si="1310"/>
        <v>-1.454738567</v>
      </c>
      <c r="Q1307" s="6"/>
      <c r="R1307" s="6"/>
      <c r="S1307" s="6"/>
      <c r="T1307" s="6"/>
      <c r="U1307" s="6"/>
      <c r="V1307" s="6"/>
      <c r="W1307" s="6"/>
      <c r="X1307" s="6"/>
      <c r="Y1307" s="6"/>
      <c r="Z1307" s="6"/>
      <c r="AA1307" s="6"/>
      <c r="AB1307" s="6"/>
      <c r="AC1307" s="6"/>
      <c r="AD1307" s="6"/>
      <c r="AE1307" s="6"/>
      <c r="AF1307" s="6"/>
      <c r="AG1307" s="6"/>
    </row>
    <row r="1308" ht="14.25" customHeight="1">
      <c r="A1308" s="6"/>
      <c r="B1308" s="6"/>
      <c r="C1308" s="6">
        <v>1301.0</v>
      </c>
      <c r="D1308" s="6"/>
      <c r="E1308" s="6">
        <v>6730679.934182169</v>
      </c>
      <c r="F1308" s="6">
        <v>487.35088593513683</v>
      </c>
      <c r="G1308" s="6">
        <v>4.8871678721897585</v>
      </c>
      <c r="H1308" s="6">
        <v>6669597.929817814</v>
      </c>
      <c r="I1308" s="6">
        <v>485.2204120547018</v>
      </c>
      <c r="J1308" s="6">
        <v>4.0940760907282785</v>
      </c>
      <c r="K1308" s="6"/>
      <c r="L1308" s="6"/>
      <c r="M1308" s="6"/>
      <c r="N1308" s="6">
        <f t="shared" ref="N1308:P1308" si="1311">IF(LEN($C1308)&gt;0,H1308-E1308,"")</f>
        <v>-61082.00436</v>
      </c>
      <c r="O1308" s="6">
        <f t="shared" si="1311"/>
        <v>-2.13047388</v>
      </c>
      <c r="P1308" s="6">
        <f t="shared" si="1311"/>
        <v>-0.7930917815</v>
      </c>
      <c r="Q1308" s="6"/>
      <c r="R1308" s="6"/>
      <c r="S1308" s="6"/>
      <c r="T1308" s="6"/>
      <c r="U1308" s="6"/>
      <c r="V1308" s="6"/>
      <c r="W1308" s="6"/>
      <c r="X1308" s="6"/>
      <c r="Y1308" s="6"/>
      <c r="Z1308" s="6"/>
      <c r="AA1308" s="6"/>
      <c r="AB1308" s="6"/>
      <c r="AC1308" s="6"/>
      <c r="AD1308" s="6"/>
      <c r="AE1308" s="6"/>
      <c r="AF1308" s="6"/>
      <c r="AG1308" s="6"/>
    </row>
    <row r="1309" ht="14.25" customHeight="1">
      <c r="A1309" s="6"/>
      <c r="B1309" s="6"/>
      <c r="C1309" s="6">
        <v>1302.0</v>
      </c>
      <c r="D1309" s="6"/>
      <c r="E1309" s="6">
        <v>7867072.073894362</v>
      </c>
      <c r="F1309" s="6">
        <v>451.54590619633063</v>
      </c>
      <c r="G1309" s="6">
        <v>4.413096949052521</v>
      </c>
      <c r="H1309" s="6">
        <v>7729655.791858263</v>
      </c>
      <c r="I1309" s="6">
        <v>446.6025677061292</v>
      </c>
      <c r="J1309" s="6">
        <v>3.31755897479209</v>
      </c>
      <c r="K1309" s="6"/>
      <c r="L1309" s="6"/>
      <c r="M1309" s="6"/>
      <c r="N1309" s="6">
        <f t="shared" ref="N1309:P1309" si="1312">IF(LEN($C1309)&gt;0,H1309-E1309,"")</f>
        <v>-137416.282</v>
      </c>
      <c r="O1309" s="6">
        <f t="shared" si="1312"/>
        <v>-4.94333849</v>
      </c>
      <c r="P1309" s="6">
        <f t="shared" si="1312"/>
        <v>-1.095537974</v>
      </c>
      <c r="Q1309" s="6"/>
      <c r="R1309" s="6"/>
      <c r="S1309" s="6"/>
      <c r="T1309" s="6"/>
      <c r="U1309" s="6"/>
      <c r="V1309" s="6"/>
      <c r="W1309" s="6"/>
      <c r="X1309" s="6"/>
      <c r="Y1309" s="6"/>
      <c r="Z1309" s="6"/>
      <c r="AA1309" s="6"/>
      <c r="AB1309" s="6"/>
      <c r="AC1309" s="6"/>
      <c r="AD1309" s="6"/>
      <c r="AE1309" s="6"/>
      <c r="AF1309" s="6"/>
      <c r="AG1309" s="6"/>
    </row>
    <row r="1310" ht="14.25" customHeight="1">
      <c r="A1310" s="6"/>
      <c r="B1310" s="6"/>
      <c r="C1310" s="6">
        <v>1303.0</v>
      </c>
      <c r="D1310" s="6"/>
      <c r="E1310" s="6">
        <v>5853080.695324241</v>
      </c>
      <c r="F1310" s="6">
        <v>460.7051278255004</v>
      </c>
      <c r="G1310" s="6">
        <v>5.1592296616118025</v>
      </c>
      <c r="H1310" s="6">
        <v>5762078.159310868</v>
      </c>
      <c r="I1310" s="6">
        <v>457.21159798197027</v>
      </c>
      <c r="J1310" s="6">
        <v>3.4230661567089786</v>
      </c>
      <c r="K1310" s="6"/>
      <c r="L1310" s="6"/>
      <c r="M1310" s="6"/>
      <c r="N1310" s="6">
        <f t="shared" ref="N1310:P1310" si="1313">IF(LEN($C1310)&gt;0,H1310-E1310,"")</f>
        <v>-91002.53601</v>
      </c>
      <c r="O1310" s="6">
        <f t="shared" si="1313"/>
        <v>-3.493529844</v>
      </c>
      <c r="P1310" s="6">
        <f t="shared" si="1313"/>
        <v>-1.736163505</v>
      </c>
      <c r="Q1310" s="6"/>
      <c r="R1310" s="6"/>
      <c r="S1310" s="6"/>
      <c r="T1310" s="6"/>
      <c r="U1310" s="6"/>
      <c r="V1310" s="6"/>
      <c r="W1310" s="6"/>
      <c r="X1310" s="6"/>
      <c r="Y1310" s="6"/>
      <c r="Z1310" s="6"/>
      <c r="AA1310" s="6"/>
      <c r="AB1310" s="6"/>
      <c r="AC1310" s="6"/>
      <c r="AD1310" s="6"/>
      <c r="AE1310" s="6"/>
      <c r="AF1310" s="6"/>
      <c r="AG1310" s="6"/>
    </row>
    <row r="1311" ht="14.25" customHeight="1">
      <c r="A1311" s="6"/>
      <c r="B1311" s="6"/>
      <c r="C1311" s="6">
        <v>1304.0</v>
      </c>
      <c r="D1311" s="6"/>
      <c r="E1311" s="6">
        <v>6975661.818632855</v>
      </c>
      <c r="F1311" s="6">
        <v>498.83595804992177</v>
      </c>
      <c r="G1311" s="6">
        <v>5.3771661149992385</v>
      </c>
      <c r="H1311" s="6">
        <v>6818875.209181112</v>
      </c>
      <c r="I1311" s="6">
        <v>492.1911620711973</v>
      </c>
      <c r="J1311" s="6">
        <v>3.916366972655588</v>
      </c>
      <c r="K1311" s="6"/>
      <c r="L1311" s="6"/>
      <c r="M1311" s="6"/>
      <c r="N1311" s="6">
        <f t="shared" ref="N1311:P1311" si="1314">IF(LEN($C1311)&gt;0,H1311-E1311,"")</f>
        <v>-156786.6095</v>
      </c>
      <c r="O1311" s="6">
        <f t="shared" si="1314"/>
        <v>-6.644795979</v>
      </c>
      <c r="P1311" s="6">
        <f t="shared" si="1314"/>
        <v>-1.460799142</v>
      </c>
      <c r="Q1311" s="6"/>
      <c r="R1311" s="6"/>
      <c r="S1311" s="6"/>
      <c r="T1311" s="6"/>
      <c r="U1311" s="6"/>
      <c r="V1311" s="6"/>
      <c r="W1311" s="6"/>
      <c r="X1311" s="6"/>
      <c r="Y1311" s="6"/>
      <c r="Z1311" s="6"/>
      <c r="AA1311" s="6"/>
      <c r="AB1311" s="6"/>
      <c r="AC1311" s="6"/>
      <c r="AD1311" s="6"/>
      <c r="AE1311" s="6"/>
      <c r="AF1311" s="6"/>
      <c r="AG1311" s="6"/>
    </row>
    <row r="1312" ht="14.25" customHeight="1">
      <c r="A1312" s="6"/>
      <c r="B1312" s="6"/>
      <c r="C1312" s="6">
        <v>1305.0</v>
      </c>
      <c r="D1312" s="6"/>
      <c r="E1312" s="6">
        <v>6982695.673695381</v>
      </c>
      <c r="F1312" s="6">
        <v>445.45190566959343</v>
      </c>
      <c r="G1312" s="6">
        <v>4.278487283938736</v>
      </c>
      <c r="H1312" s="6">
        <v>6833589.224548798</v>
      </c>
      <c r="I1312" s="6">
        <v>438.3406660214395</v>
      </c>
      <c r="J1312" s="6">
        <v>2.8870917233372992</v>
      </c>
      <c r="K1312" s="6"/>
      <c r="L1312" s="6"/>
      <c r="M1312" s="6"/>
      <c r="N1312" s="6">
        <f t="shared" ref="N1312:P1312" si="1315">IF(LEN($C1312)&gt;0,H1312-E1312,"")</f>
        <v>-149106.4491</v>
      </c>
      <c r="O1312" s="6">
        <f t="shared" si="1315"/>
        <v>-7.111239648</v>
      </c>
      <c r="P1312" s="6">
        <f t="shared" si="1315"/>
        <v>-1.391395561</v>
      </c>
      <c r="Q1312" s="6"/>
      <c r="R1312" s="6"/>
      <c r="S1312" s="6"/>
      <c r="T1312" s="6"/>
      <c r="U1312" s="6"/>
      <c r="V1312" s="6"/>
      <c r="W1312" s="6"/>
      <c r="X1312" s="6"/>
      <c r="Y1312" s="6"/>
      <c r="Z1312" s="6"/>
      <c r="AA1312" s="6"/>
      <c r="AB1312" s="6"/>
      <c r="AC1312" s="6"/>
      <c r="AD1312" s="6"/>
      <c r="AE1312" s="6"/>
      <c r="AF1312" s="6"/>
      <c r="AG1312" s="6"/>
    </row>
    <row r="1313" ht="14.25" customHeight="1">
      <c r="A1313" s="6"/>
      <c r="B1313" s="6"/>
      <c r="C1313" s="6">
        <v>1306.0</v>
      </c>
      <c r="D1313" s="6"/>
      <c r="E1313" s="6">
        <v>5288645.553483293</v>
      </c>
      <c r="F1313" s="6">
        <v>468.7345254928646</v>
      </c>
      <c r="G1313" s="6">
        <v>6.017345837575587</v>
      </c>
      <c r="H1313" s="6">
        <v>5214451.651229562</v>
      </c>
      <c r="I1313" s="6">
        <v>466.6752652549765</v>
      </c>
      <c r="J1313" s="6">
        <v>4.599980169359297</v>
      </c>
      <c r="K1313" s="6"/>
      <c r="L1313" s="6"/>
      <c r="M1313" s="6"/>
      <c r="N1313" s="6">
        <f t="shared" ref="N1313:P1313" si="1316">IF(LEN($C1313)&gt;0,H1313-E1313,"")</f>
        <v>-74193.90225</v>
      </c>
      <c r="O1313" s="6">
        <f t="shared" si="1316"/>
        <v>-2.059260238</v>
      </c>
      <c r="P1313" s="6">
        <f t="shared" si="1316"/>
        <v>-1.417365668</v>
      </c>
      <c r="Q1313" s="6"/>
      <c r="R1313" s="6"/>
      <c r="S1313" s="6"/>
      <c r="T1313" s="6"/>
      <c r="U1313" s="6"/>
      <c r="V1313" s="6"/>
      <c r="W1313" s="6"/>
      <c r="X1313" s="6"/>
      <c r="Y1313" s="6"/>
      <c r="Z1313" s="6"/>
      <c r="AA1313" s="6"/>
      <c r="AB1313" s="6"/>
      <c r="AC1313" s="6"/>
      <c r="AD1313" s="6"/>
      <c r="AE1313" s="6"/>
      <c r="AF1313" s="6"/>
      <c r="AG1313" s="6"/>
    </row>
    <row r="1314" ht="14.25" customHeight="1">
      <c r="A1314" s="6"/>
      <c r="B1314" s="6"/>
      <c r="C1314" s="6">
        <v>1307.0</v>
      </c>
      <c r="D1314" s="6"/>
      <c r="E1314" s="6">
        <v>7871493.727975589</v>
      </c>
      <c r="F1314" s="6">
        <v>441.04892429317124</v>
      </c>
      <c r="G1314" s="6">
        <v>5.633084348919032</v>
      </c>
      <c r="H1314" s="6">
        <v>7701381.477761296</v>
      </c>
      <c r="I1314" s="6">
        <v>435.75258220854903</v>
      </c>
      <c r="J1314" s="6">
        <v>4.008689873226379</v>
      </c>
      <c r="K1314" s="6"/>
      <c r="L1314" s="6"/>
      <c r="M1314" s="6"/>
      <c r="N1314" s="6">
        <f t="shared" ref="N1314:P1314" si="1317">IF(LEN($C1314)&gt;0,H1314-E1314,"")</f>
        <v>-170112.2502</v>
      </c>
      <c r="O1314" s="6">
        <f t="shared" si="1317"/>
        <v>-5.296342085</v>
      </c>
      <c r="P1314" s="6">
        <f t="shared" si="1317"/>
        <v>-1.624394476</v>
      </c>
      <c r="Q1314" s="6"/>
      <c r="R1314" s="6"/>
      <c r="S1314" s="6"/>
      <c r="T1314" s="6"/>
      <c r="U1314" s="6"/>
      <c r="V1314" s="6"/>
      <c r="W1314" s="6"/>
      <c r="X1314" s="6"/>
      <c r="Y1314" s="6"/>
      <c r="Z1314" s="6"/>
      <c r="AA1314" s="6"/>
      <c r="AB1314" s="6"/>
      <c r="AC1314" s="6"/>
      <c r="AD1314" s="6"/>
      <c r="AE1314" s="6"/>
      <c r="AF1314" s="6"/>
      <c r="AG1314" s="6"/>
    </row>
    <row r="1315" ht="14.25" customHeight="1">
      <c r="A1315" s="6"/>
      <c r="B1315" s="6"/>
      <c r="C1315" s="6">
        <v>1308.0</v>
      </c>
      <c r="D1315" s="6"/>
      <c r="E1315" s="6">
        <v>7892344.194912823</v>
      </c>
      <c r="F1315" s="6">
        <v>453.48882633644394</v>
      </c>
      <c r="G1315" s="6">
        <v>5.07738559781644</v>
      </c>
      <c r="H1315" s="6">
        <v>7812047.408881575</v>
      </c>
      <c r="I1315" s="6">
        <v>450.23771110472245</v>
      </c>
      <c r="J1315" s="6">
        <v>4.390989324121027</v>
      </c>
      <c r="K1315" s="6"/>
      <c r="L1315" s="6"/>
      <c r="M1315" s="6"/>
      <c r="N1315" s="6">
        <f t="shared" ref="N1315:P1315" si="1318">IF(LEN($C1315)&gt;0,H1315-E1315,"")</f>
        <v>-80296.78603</v>
      </c>
      <c r="O1315" s="6">
        <f t="shared" si="1318"/>
        <v>-3.251115232</v>
      </c>
      <c r="P1315" s="6">
        <f t="shared" si="1318"/>
        <v>-0.6863962737</v>
      </c>
      <c r="Q1315" s="6"/>
      <c r="R1315" s="6"/>
      <c r="S1315" s="6"/>
      <c r="T1315" s="6"/>
      <c r="U1315" s="6"/>
      <c r="V1315" s="6"/>
      <c r="W1315" s="6"/>
      <c r="X1315" s="6"/>
      <c r="Y1315" s="6"/>
      <c r="Z1315" s="6"/>
      <c r="AA1315" s="6"/>
      <c r="AB1315" s="6"/>
      <c r="AC1315" s="6"/>
      <c r="AD1315" s="6"/>
      <c r="AE1315" s="6"/>
      <c r="AF1315" s="6"/>
      <c r="AG1315" s="6"/>
    </row>
    <row r="1316" ht="14.25" customHeight="1">
      <c r="A1316" s="6"/>
      <c r="B1316" s="6"/>
      <c r="C1316" s="6">
        <v>1309.0</v>
      </c>
      <c r="D1316" s="6"/>
      <c r="E1316" s="6">
        <v>8580423.678700637</v>
      </c>
      <c r="F1316" s="6">
        <v>459.18730204682817</v>
      </c>
      <c r="G1316" s="6">
        <v>6.4193878515629</v>
      </c>
      <c r="H1316" s="6">
        <v>8465447.388314921</v>
      </c>
      <c r="I1316" s="6">
        <v>452.9292409569224</v>
      </c>
      <c r="J1316" s="6">
        <v>4.945080065554371</v>
      </c>
      <c r="K1316" s="6"/>
      <c r="L1316" s="6"/>
      <c r="M1316" s="6"/>
      <c r="N1316" s="6">
        <f t="shared" ref="N1316:P1316" si="1319">IF(LEN($C1316)&gt;0,H1316-E1316,"")</f>
        <v>-114976.2904</v>
      </c>
      <c r="O1316" s="6">
        <f t="shared" si="1319"/>
        <v>-6.25806109</v>
      </c>
      <c r="P1316" s="6">
        <f t="shared" si="1319"/>
        <v>-1.474307786</v>
      </c>
      <c r="Q1316" s="6"/>
      <c r="R1316" s="6"/>
      <c r="S1316" s="6"/>
      <c r="T1316" s="6"/>
      <c r="U1316" s="6"/>
      <c r="V1316" s="6"/>
      <c r="W1316" s="6"/>
      <c r="X1316" s="6"/>
      <c r="Y1316" s="6"/>
      <c r="Z1316" s="6"/>
      <c r="AA1316" s="6"/>
      <c r="AB1316" s="6"/>
      <c r="AC1316" s="6"/>
      <c r="AD1316" s="6"/>
      <c r="AE1316" s="6"/>
      <c r="AF1316" s="6"/>
      <c r="AG1316" s="6"/>
    </row>
    <row r="1317" ht="14.25" customHeight="1">
      <c r="A1317" s="6"/>
      <c r="B1317" s="6"/>
      <c r="C1317" s="6">
        <v>1310.0</v>
      </c>
      <c r="D1317" s="6"/>
      <c r="E1317" s="6">
        <v>8601322.600899154</v>
      </c>
      <c r="F1317" s="6">
        <v>444.8275916190396</v>
      </c>
      <c r="G1317" s="6">
        <v>3.8600870060311148</v>
      </c>
      <c r="H1317" s="6">
        <v>8504201.060192186</v>
      </c>
      <c r="I1317" s="6">
        <v>440.90805016655617</v>
      </c>
      <c r="J1317" s="6">
        <v>2.945586576063021</v>
      </c>
      <c r="K1317" s="6"/>
      <c r="L1317" s="6"/>
      <c r="M1317" s="6"/>
      <c r="N1317" s="6">
        <f t="shared" ref="N1317:P1317" si="1320">IF(LEN($C1317)&gt;0,H1317-E1317,"")</f>
        <v>-97121.54071</v>
      </c>
      <c r="O1317" s="6">
        <f t="shared" si="1320"/>
        <v>-3.919541452</v>
      </c>
      <c r="P1317" s="6">
        <f t="shared" si="1320"/>
        <v>-0.91450043</v>
      </c>
      <c r="Q1317" s="6"/>
      <c r="R1317" s="6"/>
      <c r="S1317" s="6"/>
      <c r="T1317" s="6"/>
      <c r="U1317" s="6"/>
      <c r="V1317" s="6"/>
      <c r="W1317" s="6"/>
      <c r="X1317" s="6"/>
      <c r="Y1317" s="6"/>
      <c r="Z1317" s="6"/>
      <c r="AA1317" s="6"/>
      <c r="AB1317" s="6"/>
      <c r="AC1317" s="6"/>
      <c r="AD1317" s="6"/>
      <c r="AE1317" s="6"/>
      <c r="AF1317" s="6"/>
      <c r="AG1317" s="6"/>
    </row>
    <row r="1318" ht="14.25" customHeight="1">
      <c r="A1318" s="6"/>
      <c r="B1318" s="6"/>
      <c r="C1318" s="6">
        <v>1311.0</v>
      </c>
      <c r="D1318" s="6"/>
      <c r="E1318" s="6">
        <v>7483297.9107867945</v>
      </c>
      <c r="F1318" s="6">
        <v>458.34104761986157</v>
      </c>
      <c r="G1318" s="6">
        <v>5.674191299306734</v>
      </c>
      <c r="H1318" s="6">
        <v>7375386.834166181</v>
      </c>
      <c r="I1318" s="6">
        <v>452.52840993220775</v>
      </c>
      <c r="J1318" s="6">
        <v>4.229985845484887</v>
      </c>
      <c r="K1318" s="6"/>
      <c r="L1318" s="6"/>
      <c r="M1318" s="6"/>
      <c r="N1318" s="6">
        <f t="shared" ref="N1318:P1318" si="1321">IF(LEN($C1318)&gt;0,H1318-E1318,"")</f>
        <v>-107911.0766</v>
      </c>
      <c r="O1318" s="6">
        <f t="shared" si="1321"/>
        <v>-5.812637688</v>
      </c>
      <c r="P1318" s="6">
        <f t="shared" si="1321"/>
        <v>-1.444205454</v>
      </c>
      <c r="Q1318" s="6"/>
      <c r="R1318" s="6"/>
      <c r="S1318" s="6"/>
      <c r="T1318" s="6"/>
      <c r="U1318" s="6"/>
      <c r="V1318" s="6"/>
      <c r="W1318" s="6"/>
      <c r="X1318" s="6"/>
      <c r="Y1318" s="6"/>
      <c r="Z1318" s="6"/>
      <c r="AA1318" s="6"/>
      <c r="AB1318" s="6"/>
      <c r="AC1318" s="6"/>
      <c r="AD1318" s="6"/>
      <c r="AE1318" s="6"/>
      <c r="AF1318" s="6"/>
      <c r="AG1318" s="6"/>
    </row>
    <row r="1319" ht="14.25" customHeight="1">
      <c r="A1319" s="6"/>
      <c r="B1319" s="6"/>
      <c r="C1319" s="6">
        <v>1312.0</v>
      </c>
      <c r="D1319" s="6"/>
      <c r="E1319" s="6">
        <v>7985708.788785838</v>
      </c>
      <c r="F1319" s="6">
        <v>491.2104898355501</v>
      </c>
      <c r="G1319" s="6">
        <v>5.2637065794027205</v>
      </c>
      <c r="H1319" s="6">
        <v>7926743.993512678</v>
      </c>
      <c r="I1319" s="6">
        <v>488.8902385068892</v>
      </c>
      <c r="J1319" s="6">
        <v>4.316331373299712</v>
      </c>
      <c r="K1319" s="6"/>
      <c r="L1319" s="6"/>
      <c r="M1319" s="6"/>
      <c r="N1319" s="6">
        <f t="shared" ref="N1319:P1319" si="1322">IF(LEN($C1319)&gt;0,H1319-E1319,"")</f>
        <v>-58964.79527</v>
      </c>
      <c r="O1319" s="6">
        <f t="shared" si="1322"/>
        <v>-2.320251329</v>
      </c>
      <c r="P1319" s="6">
        <f t="shared" si="1322"/>
        <v>-0.9473752061</v>
      </c>
      <c r="Q1319" s="6"/>
      <c r="R1319" s="6"/>
      <c r="S1319" s="6"/>
      <c r="T1319" s="6"/>
      <c r="U1319" s="6"/>
      <c r="V1319" s="6"/>
      <c r="W1319" s="6"/>
      <c r="X1319" s="6"/>
      <c r="Y1319" s="6"/>
      <c r="Z1319" s="6"/>
      <c r="AA1319" s="6"/>
      <c r="AB1319" s="6"/>
      <c r="AC1319" s="6"/>
      <c r="AD1319" s="6"/>
      <c r="AE1319" s="6"/>
      <c r="AF1319" s="6"/>
      <c r="AG1319" s="6"/>
    </row>
    <row r="1320" ht="14.25" customHeight="1">
      <c r="A1320" s="6"/>
      <c r="B1320" s="6"/>
      <c r="C1320" s="6">
        <v>1313.0</v>
      </c>
      <c r="D1320" s="6"/>
      <c r="E1320" s="6">
        <v>6812073.321272925</v>
      </c>
      <c r="F1320" s="6">
        <v>447.4124439826707</v>
      </c>
      <c r="G1320" s="6">
        <v>4.794896904767366</v>
      </c>
      <c r="H1320" s="6">
        <v>6741559.679881645</v>
      </c>
      <c r="I1320" s="6">
        <v>444.57268187225293</v>
      </c>
      <c r="J1320" s="6">
        <v>4.039760875296121</v>
      </c>
      <c r="K1320" s="6"/>
      <c r="L1320" s="6"/>
      <c r="M1320" s="6"/>
      <c r="N1320" s="6">
        <f t="shared" ref="N1320:P1320" si="1323">IF(LEN($C1320)&gt;0,H1320-E1320,"")</f>
        <v>-70513.64139</v>
      </c>
      <c r="O1320" s="6">
        <f t="shared" si="1323"/>
        <v>-2.83976211</v>
      </c>
      <c r="P1320" s="6">
        <f t="shared" si="1323"/>
        <v>-0.7551360295</v>
      </c>
      <c r="Q1320" s="6"/>
      <c r="R1320" s="6"/>
      <c r="S1320" s="6"/>
      <c r="T1320" s="6"/>
      <c r="U1320" s="6"/>
      <c r="V1320" s="6"/>
      <c r="W1320" s="6"/>
      <c r="X1320" s="6"/>
      <c r="Y1320" s="6"/>
      <c r="Z1320" s="6"/>
      <c r="AA1320" s="6"/>
      <c r="AB1320" s="6"/>
      <c r="AC1320" s="6"/>
      <c r="AD1320" s="6"/>
      <c r="AE1320" s="6"/>
      <c r="AF1320" s="6"/>
      <c r="AG1320" s="6"/>
    </row>
    <row r="1321" ht="14.25" customHeight="1">
      <c r="A1321" s="6"/>
      <c r="B1321" s="6"/>
      <c r="C1321" s="6">
        <v>1314.0</v>
      </c>
      <c r="D1321" s="6"/>
      <c r="E1321" s="6">
        <v>7620871.217561395</v>
      </c>
      <c r="F1321" s="6">
        <v>492.61853884874716</v>
      </c>
      <c r="G1321" s="6">
        <v>4.856945587649589</v>
      </c>
      <c r="H1321" s="6">
        <v>7531978.894821142</v>
      </c>
      <c r="I1321" s="6">
        <v>489.1132739305642</v>
      </c>
      <c r="J1321" s="6">
        <v>3.5997483602276525</v>
      </c>
      <c r="K1321" s="6"/>
      <c r="L1321" s="6"/>
      <c r="M1321" s="6"/>
      <c r="N1321" s="6">
        <f t="shared" ref="N1321:P1321" si="1324">IF(LEN($C1321)&gt;0,H1321-E1321,"")</f>
        <v>-88892.32274</v>
      </c>
      <c r="O1321" s="6">
        <f t="shared" si="1324"/>
        <v>-3.505264918</v>
      </c>
      <c r="P1321" s="6">
        <f t="shared" si="1324"/>
        <v>-1.257197227</v>
      </c>
      <c r="Q1321" s="6"/>
      <c r="R1321" s="6"/>
      <c r="S1321" s="6"/>
      <c r="T1321" s="6"/>
      <c r="U1321" s="6"/>
      <c r="V1321" s="6"/>
      <c r="W1321" s="6"/>
      <c r="X1321" s="6"/>
      <c r="Y1321" s="6"/>
      <c r="Z1321" s="6"/>
      <c r="AA1321" s="6"/>
      <c r="AB1321" s="6"/>
      <c r="AC1321" s="6"/>
      <c r="AD1321" s="6"/>
      <c r="AE1321" s="6"/>
      <c r="AF1321" s="6"/>
      <c r="AG1321" s="6"/>
    </row>
    <row r="1322" ht="14.25" customHeight="1">
      <c r="A1322" s="6"/>
      <c r="B1322" s="6"/>
      <c r="C1322" s="6">
        <v>1315.0</v>
      </c>
      <c r="D1322" s="6"/>
      <c r="E1322" s="6">
        <v>7832050.545284981</v>
      </c>
      <c r="F1322" s="6">
        <v>471.1395996310225</v>
      </c>
      <c r="G1322" s="6">
        <v>3.9858327527081308</v>
      </c>
      <c r="H1322" s="6">
        <v>7748601.616191894</v>
      </c>
      <c r="I1322" s="6">
        <v>468.63617053994534</v>
      </c>
      <c r="J1322" s="6">
        <v>2.7952234166531</v>
      </c>
      <c r="K1322" s="6"/>
      <c r="L1322" s="6"/>
      <c r="M1322" s="6"/>
      <c r="N1322" s="6">
        <f t="shared" ref="N1322:P1322" si="1325">IF(LEN($C1322)&gt;0,H1322-E1322,"")</f>
        <v>-83448.92909</v>
      </c>
      <c r="O1322" s="6">
        <f t="shared" si="1325"/>
        <v>-2.503429091</v>
      </c>
      <c r="P1322" s="6">
        <f t="shared" si="1325"/>
        <v>-1.190609336</v>
      </c>
      <c r="Q1322" s="6"/>
      <c r="R1322" s="6"/>
      <c r="S1322" s="6"/>
      <c r="T1322" s="6"/>
      <c r="U1322" s="6"/>
      <c r="V1322" s="6"/>
      <c r="W1322" s="6"/>
      <c r="X1322" s="6"/>
      <c r="Y1322" s="6"/>
      <c r="Z1322" s="6"/>
      <c r="AA1322" s="6"/>
      <c r="AB1322" s="6"/>
      <c r="AC1322" s="6"/>
      <c r="AD1322" s="6"/>
      <c r="AE1322" s="6"/>
      <c r="AF1322" s="6"/>
      <c r="AG1322" s="6"/>
    </row>
    <row r="1323" ht="14.25" customHeight="1">
      <c r="A1323" s="6"/>
      <c r="B1323" s="6"/>
      <c r="C1323" s="6">
        <v>1316.0</v>
      </c>
      <c r="D1323" s="6"/>
      <c r="E1323" s="6">
        <v>6376337.411640597</v>
      </c>
      <c r="F1323" s="6">
        <v>482.7096662265104</v>
      </c>
      <c r="G1323" s="6">
        <v>4.0443685490686185</v>
      </c>
      <c r="H1323" s="6">
        <v>6312357.501400535</v>
      </c>
      <c r="I1323" s="6">
        <v>479.9297242867831</v>
      </c>
      <c r="J1323" s="6">
        <v>2.832500667500526</v>
      </c>
      <c r="K1323" s="6"/>
      <c r="L1323" s="6"/>
      <c r="M1323" s="6"/>
      <c r="N1323" s="6">
        <f t="shared" ref="N1323:P1323" si="1326">IF(LEN($C1323)&gt;0,H1323-E1323,"")</f>
        <v>-63979.91024</v>
      </c>
      <c r="O1323" s="6">
        <f t="shared" si="1326"/>
        <v>-2.77994194</v>
      </c>
      <c r="P1323" s="6">
        <f t="shared" si="1326"/>
        <v>-1.211867882</v>
      </c>
      <c r="Q1323" s="6"/>
      <c r="R1323" s="6"/>
      <c r="S1323" s="6"/>
      <c r="T1323" s="6"/>
      <c r="U1323" s="6"/>
      <c r="V1323" s="6"/>
      <c r="W1323" s="6"/>
      <c r="X1323" s="6"/>
      <c r="Y1323" s="6"/>
      <c r="Z1323" s="6"/>
      <c r="AA1323" s="6"/>
      <c r="AB1323" s="6"/>
      <c r="AC1323" s="6"/>
      <c r="AD1323" s="6"/>
      <c r="AE1323" s="6"/>
      <c r="AF1323" s="6"/>
      <c r="AG1323" s="6"/>
    </row>
    <row r="1324" ht="14.25" customHeight="1">
      <c r="A1324" s="6"/>
      <c r="B1324" s="6"/>
      <c r="C1324" s="6">
        <v>1317.0</v>
      </c>
      <c r="D1324" s="6"/>
      <c r="E1324" s="6">
        <v>7317691.41573068</v>
      </c>
      <c r="F1324" s="6">
        <v>449.5891031896336</v>
      </c>
      <c r="G1324" s="6">
        <v>4.936406251470464</v>
      </c>
      <c r="H1324" s="6">
        <v>7215821.048700048</v>
      </c>
      <c r="I1324" s="6">
        <v>445.118441774903</v>
      </c>
      <c r="J1324" s="6">
        <v>3.7361713854892056</v>
      </c>
      <c r="K1324" s="6"/>
      <c r="L1324" s="6"/>
      <c r="M1324" s="6"/>
      <c r="N1324" s="6">
        <f t="shared" ref="N1324:P1324" si="1327">IF(LEN($C1324)&gt;0,H1324-E1324,"")</f>
        <v>-101870.367</v>
      </c>
      <c r="O1324" s="6">
        <f t="shared" si="1327"/>
        <v>-4.470661415</v>
      </c>
      <c r="P1324" s="6">
        <f t="shared" si="1327"/>
        <v>-1.200234866</v>
      </c>
      <c r="Q1324" s="6"/>
      <c r="R1324" s="6"/>
      <c r="S1324" s="6"/>
      <c r="T1324" s="6"/>
      <c r="U1324" s="6"/>
      <c r="V1324" s="6"/>
      <c r="W1324" s="6"/>
      <c r="X1324" s="6"/>
      <c r="Y1324" s="6"/>
      <c r="Z1324" s="6"/>
      <c r="AA1324" s="6"/>
      <c r="AB1324" s="6"/>
      <c r="AC1324" s="6"/>
      <c r="AD1324" s="6"/>
      <c r="AE1324" s="6"/>
      <c r="AF1324" s="6"/>
      <c r="AG1324" s="6"/>
    </row>
    <row r="1325" ht="14.25" customHeight="1">
      <c r="A1325" s="6"/>
      <c r="B1325" s="6"/>
      <c r="C1325" s="6">
        <v>1318.0</v>
      </c>
      <c r="D1325" s="6"/>
      <c r="E1325" s="6">
        <v>8415608.108366864</v>
      </c>
      <c r="F1325" s="6">
        <v>469.78941563815926</v>
      </c>
      <c r="G1325" s="6">
        <v>4.237878427770939</v>
      </c>
      <c r="H1325" s="6">
        <v>8251498.349219265</v>
      </c>
      <c r="I1325" s="6">
        <v>462.49350186314695</v>
      </c>
      <c r="J1325" s="6">
        <v>3.1163287964873523</v>
      </c>
      <c r="K1325" s="6"/>
      <c r="L1325" s="6"/>
      <c r="M1325" s="6"/>
      <c r="N1325" s="6">
        <f t="shared" ref="N1325:P1325" si="1328">IF(LEN($C1325)&gt;0,H1325-E1325,"")</f>
        <v>-164109.7591</v>
      </c>
      <c r="O1325" s="6">
        <f t="shared" si="1328"/>
        <v>-7.295913775</v>
      </c>
      <c r="P1325" s="6">
        <f t="shared" si="1328"/>
        <v>-1.121549631</v>
      </c>
      <c r="Q1325" s="6"/>
      <c r="R1325" s="6"/>
      <c r="S1325" s="6"/>
      <c r="T1325" s="6"/>
      <c r="U1325" s="6"/>
      <c r="V1325" s="6"/>
      <c r="W1325" s="6"/>
      <c r="X1325" s="6"/>
      <c r="Y1325" s="6"/>
      <c r="Z1325" s="6"/>
      <c r="AA1325" s="6"/>
      <c r="AB1325" s="6"/>
      <c r="AC1325" s="6"/>
      <c r="AD1325" s="6"/>
      <c r="AE1325" s="6"/>
      <c r="AF1325" s="6"/>
      <c r="AG1325" s="6"/>
    </row>
    <row r="1326" ht="14.25" customHeight="1">
      <c r="A1326" s="6"/>
      <c r="B1326" s="6"/>
      <c r="C1326" s="6">
        <v>1319.0</v>
      </c>
      <c r="D1326" s="6"/>
      <c r="E1326" s="6">
        <v>1.1065935885752926E7</v>
      </c>
      <c r="F1326" s="6">
        <v>496.99465495698087</v>
      </c>
      <c r="G1326" s="6">
        <v>4.826312897460705</v>
      </c>
      <c r="H1326" s="6">
        <v>1.088188903220675E7</v>
      </c>
      <c r="I1326" s="6">
        <v>489.08869191935213</v>
      </c>
      <c r="J1326" s="6">
        <v>3.440985068928696</v>
      </c>
      <c r="K1326" s="6"/>
      <c r="L1326" s="6"/>
      <c r="M1326" s="6"/>
      <c r="N1326" s="6">
        <f t="shared" ref="N1326:P1326" si="1329">IF(LEN($C1326)&gt;0,H1326-E1326,"")</f>
        <v>-184046.8535</v>
      </c>
      <c r="O1326" s="6">
        <f t="shared" si="1329"/>
        <v>-7.905963038</v>
      </c>
      <c r="P1326" s="6">
        <f t="shared" si="1329"/>
        <v>-1.385327829</v>
      </c>
      <c r="Q1326" s="6"/>
      <c r="R1326" s="6"/>
      <c r="S1326" s="6"/>
      <c r="T1326" s="6"/>
      <c r="U1326" s="6"/>
      <c r="V1326" s="6"/>
      <c r="W1326" s="6"/>
      <c r="X1326" s="6"/>
      <c r="Y1326" s="6"/>
      <c r="Z1326" s="6"/>
      <c r="AA1326" s="6"/>
      <c r="AB1326" s="6"/>
      <c r="AC1326" s="6"/>
      <c r="AD1326" s="6"/>
      <c r="AE1326" s="6"/>
      <c r="AF1326" s="6"/>
      <c r="AG1326" s="6"/>
    </row>
    <row r="1327" ht="14.25" customHeight="1">
      <c r="A1327" s="6"/>
      <c r="B1327" s="6"/>
      <c r="C1327" s="6">
        <v>1320.0</v>
      </c>
      <c r="D1327" s="6"/>
      <c r="E1327" s="6">
        <v>8190267.149105043</v>
      </c>
      <c r="F1327" s="6">
        <v>462.4143087987527</v>
      </c>
      <c r="G1327" s="6">
        <v>3.836492201242173</v>
      </c>
      <c r="H1327" s="6">
        <v>8080512.578599484</v>
      </c>
      <c r="I1327" s="6">
        <v>457.01140423545735</v>
      </c>
      <c r="J1327" s="6">
        <v>2.793980406175854</v>
      </c>
      <c r="K1327" s="6"/>
      <c r="L1327" s="6"/>
      <c r="M1327" s="6"/>
      <c r="N1327" s="6">
        <f t="shared" ref="N1327:P1327" si="1330">IF(LEN($C1327)&gt;0,H1327-E1327,"")</f>
        <v>-109754.5705</v>
      </c>
      <c r="O1327" s="6">
        <f t="shared" si="1330"/>
        <v>-5.402904563</v>
      </c>
      <c r="P1327" s="6">
        <f t="shared" si="1330"/>
        <v>-1.042511795</v>
      </c>
      <c r="Q1327" s="6"/>
      <c r="R1327" s="6"/>
      <c r="S1327" s="6"/>
      <c r="T1327" s="6"/>
      <c r="U1327" s="6"/>
      <c r="V1327" s="6"/>
      <c r="W1327" s="6"/>
      <c r="X1327" s="6"/>
      <c r="Y1327" s="6"/>
      <c r="Z1327" s="6"/>
      <c r="AA1327" s="6"/>
      <c r="AB1327" s="6"/>
      <c r="AC1327" s="6"/>
      <c r="AD1327" s="6"/>
      <c r="AE1327" s="6"/>
      <c r="AF1327" s="6"/>
      <c r="AG1327" s="6"/>
    </row>
    <row r="1328" ht="14.25" customHeight="1">
      <c r="A1328" s="6"/>
      <c r="B1328" s="6"/>
      <c r="C1328" s="6">
        <v>1321.0</v>
      </c>
      <c r="D1328" s="6"/>
      <c r="E1328" s="6">
        <v>7910647.595115519</v>
      </c>
      <c r="F1328" s="6">
        <v>490.37839312204505</v>
      </c>
      <c r="G1328" s="6">
        <v>4.8099372531244855</v>
      </c>
      <c r="H1328" s="6">
        <v>7809298.301809926</v>
      </c>
      <c r="I1328" s="6">
        <v>485.8005357714106</v>
      </c>
      <c r="J1328" s="6">
        <v>3.59663424092002</v>
      </c>
      <c r="K1328" s="6"/>
      <c r="L1328" s="6"/>
      <c r="M1328" s="6"/>
      <c r="N1328" s="6">
        <f t="shared" ref="N1328:P1328" si="1331">IF(LEN($C1328)&gt;0,H1328-E1328,"")</f>
        <v>-101349.2933</v>
      </c>
      <c r="O1328" s="6">
        <f t="shared" si="1331"/>
        <v>-4.577857351</v>
      </c>
      <c r="P1328" s="6">
        <f t="shared" si="1331"/>
        <v>-1.213303012</v>
      </c>
      <c r="Q1328" s="6"/>
      <c r="R1328" s="6"/>
      <c r="S1328" s="6"/>
      <c r="T1328" s="6"/>
      <c r="U1328" s="6"/>
      <c r="V1328" s="6"/>
      <c r="W1328" s="6"/>
      <c r="X1328" s="6"/>
      <c r="Y1328" s="6"/>
      <c r="Z1328" s="6"/>
      <c r="AA1328" s="6"/>
      <c r="AB1328" s="6"/>
      <c r="AC1328" s="6"/>
      <c r="AD1328" s="6"/>
      <c r="AE1328" s="6"/>
      <c r="AF1328" s="6"/>
      <c r="AG1328" s="6"/>
    </row>
    <row r="1329" ht="14.25" customHeight="1">
      <c r="A1329" s="6"/>
      <c r="B1329" s="6"/>
      <c r="C1329" s="6">
        <v>1322.0</v>
      </c>
      <c r="D1329" s="6"/>
      <c r="E1329" s="6">
        <v>7634944.828108157</v>
      </c>
      <c r="F1329" s="6">
        <v>456.57516803315144</v>
      </c>
      <c r="G1329" s="6">
        <v>4.820487928967859</v>
      </c>
      <c r="H1329" s="6">
        <v>7544982.147855096</v>
      </c>
      <c r="I1329" s="6">
        <v>451.83528515785025</v>
      </c>
      <c r="J1329" s="6">
        <v>4.142873528570242</v>
      </c>
      <c r="K1329" s="6"/>
      <c r="L1329" s="6"/>
      <c r="M1329" s="6"/>
      <c r="N1329" s="6">
        <f t="shared" ref="N1329:P1329" si="1332">IF(LEN($C1329)&gt;0,H1329-E1329,"")</f>
        <v>-89962.68025</v>
      </c>
      <c r="O1329" s="6">
        <f t="shared" si="1332"/>
        <v>-4.739882875</v>
      </c>
      <c r="P1329" s="6">
        <f t="shared" si="1332"/>
        <v>-0.6776144004</v>
      </c>
      <c r="Q1329" s="6"/>
      <c r="R1329" s="6"/>
      <c r="S1329" s="6"/>
      <c r="T1329" s="6"/>
      <c r="U1329" s="6"/>
      <c r="V1329" s="6"/>
      <c r="W1329" s="6"/>
      <c r="X1329" s="6"/>
      <c r="Y1329" s="6"/>
      <c r="Z1329" s="6"/>
      <c r="AA1329" s="6"/>
      <c r="AB1329" s="6"/>
      <c r="AC1329" s="6"/>
      <c r="AD1329" s="6"/>
      <c r="AE1329" s="6"/>
      <c r="AF1329" s="6"/>
      <c r="AG1329" s="6"/>
    </row>
    <row r="1330" ht="14.25" customHeight="1">
      <c r="A1330" s="6"/>
      <c r="B1330" s="6"/>
      <c r="C1330" s="6">
        <v>1323.0</v>
      </c>
      <c r="D1330" s="6"/>
      <c r="E1330" s="6">
        <v>8628396.77583001</v>
      </c>
      <c r="F1330" s="6">
        <v>480.27988971654196</v>
      </c>
      <c r="G1330" s="6">
        <v>4.294829161373973</v>
      </c>
      <c r="H1330" s="6">
        <v>8528738.509205095</v>
      </c>
      <c r="I1330" s="6">
        <v>475.9002864491552</v>
      </c>
      <c r="J1330" s="6">
        <v>3.323133782480242</v>
      </c>
      <c r="K1330" s="6"/>
      <c r="L1330" s="6"/>
      <c r="M1330" s="6"/>
      <c r="N1330" s="6">
        <f t="shared" ref="N1330:P1330" si="1333">IF(LEN($C1330)&gt;0,H1330-E1330,"")</f>
        <v>-99658.26662</v>
      </c>
      <c r="O1330" s="6">
        <f t="shared" si="1333"/>
        <v>-4.379603267</v>
      </c>
      <c r="P1330" s="6">
        <f t="shared" si="1333"/>
        <v>-0.9716953789</v>
      </c>
      <c r="Q1330" s="6"/>
      <c r="R1330" s="6"/>
      <c r="S1330" s="6"/>
      <c r="T1330" s="6"/>
      <c r="U1330" s="6"/>
      <c r="V1330" s="6"/>
      <c r="W1330" s="6"/>
      <c r="X1330" s="6"/>
      <c r="Y1330" s="6"/>
      <c r="Z1330" s="6"/>
      <c r="AA1330" s="6"/>
      <c r="AB1330" s="6"/>
      <c r="AC1330" s="6"/>
      <c r="AD1330" s="6"/>
      <c r="AE1330" s="6"/>
      <c r="AF1330" s="6"/>
      <c r="AG1330" s="6"/>
    </row>
    <row r="1331" ht="14.25" customHeight="1">
      <c r="A1331" s="6"/>
      <c r="B1331" s="6"/>
      <c r="C1331" s="6">
        <v>1324.0</v>
      </c>
      <c r="D1331" s="6"/>
      <c r="E1331" s="6">
        <v>9328334.349576805</v>
      </c>
      <c r="F1331" s="6">
        <v>469.0179885129208</v>
      </c>
      <c r="G1331" s="6">
        <v>4.363702238954391</v>
      </c>
      <c r="H1331" s="6">
        <v>9243477.68478557</v>
      </c>
      <c r="I1331" s="6">
        <v>465.2208896347852</v>
      </c>
      <c r="J1331" s="6">
        <v>3.710488810185721</v>
      </c>
      <c r="K1331" s="6"/>
      <c r="L1331" s="6"/>
      <c r="M1331" s="6"/>
      <c r="N1331" s="6">
        <f t="shared" ref="N1331:P1331" si="1334">IF(LEN($C1331)&gt;0,H1331-E1331,"")</f>
        <v>-84856.66479</v>
      </c>
      <c r="O1331" s="6">
        <f t="shared" si="1334"/>
        <v>-3.797098878</v>
      </c>
      <c r="P1331" s="6">
        <f t="shared" si="1334"/>
        <v>-0.6532134288</v>
      </c>
      <c r="Q1331" s="6"/>
      <c r="R1331" s="6"/>
      <c r="S1331" s="6"/>
      <c r="T1331" s="6"/>
      <c r="U1331" s="6"/>
      <c r="V1331" s="6"/>
      <c r="W1331" s="6"/>
      <c r="X1331" s="6"/>
      <c r="Y1331" s="6"/>
      <c r="Z1331" s="6"/>
      <c r="AA1331" s="6"/>
      <c r="AB1331" s="6"/>
      <c r="AC1331" s="6"/>
      <c r="AD1331" s="6"/>
      <c r="AE1331" s="6"/>
      <c r="AF1331" s="6"/>
      <c r="AG1331" s="6"/>
    </row>
    <row r="1332" ht="14.25" customHeight="1">
      <c r="A1332" s="6"/>
      <c r="B1332" s="6"/>
      <c r="C1332" s="6">
        <v>1325.0</v>
      </c>
      <c r="D1332" s="6"/>
      <c r="E1332" s="6">
        <v>7123629.272362461</v>
      </c>
      <c r="F1332" s="6">
        <v>448.8793049600133</v>
      </c>
      <c r="G1332" s="6">
        <v>4.770641417936474</v>
      </c>
      <c r="H1332" s="6">
        <v>7043030.764968094</v>
      </c>
      <c r="I1332" s="6">
        <v>445.5714358146211</v>
      </c>
      <c r="J1332" s="6">
        <v>3.9957092515646493</v>
      </c>
      <c r="K1332" s="6"/>
      <c r="L1332" s="6"/>
      <c r="M1332" s="6"/>
      <c r="N1332" s="6">
        <f t="shared" ref="N1332:P1332" si="1335">IF(LEN($C1332)&gt;0,H1332-E1332,"")</f>
        <v>-80598.50739</v>
      </c>
      <c r="O1332" s="6">
        <f t="shared" si="1335"/>
        <v>-3.307869145</v>
      </c>
      <c r="P1332" s="6">
        <f t="shared" si="1335"/>
        <v>-0.7749321664</v>
      </c>
      <c r="Q1332" s="6"/>
      <c r="R1332" s="6"/>
      <c r="S1332" s="6"/>
      <c r="T1332" s="6"/>
      <c r="U1332" s="6"/>
      <c r="V1332" s="6"/>
      <c r="W1332" s="6"/>
      <c r="X1332" s="6"/>
      <c r="Y1332" s="6"/>
      <c r="Z1332" s="6"/>
      <c r="AA1332" s="6"/>
      <c r="AB1332" s="6"/>
      <c r="AC1332" s="6"/>
      <c r="AD1332" s="6"/>
      <c r="AE1332" s="6"/>
      <c r="AF1332" s="6"/>
      <c r="AG1332" s="6"/>
    </row>
    <row r="1333" ht="14.25" customHeight="1">
      <c r="A1333" s="6"/>
      <c r="B1333" s="6"/>
      <c r="C1333" s="6">
        <v>1326.0</v>
      </c>
      <c r="D1333" s="6"/>
      <c r="E1333" s="6">
        <v>7164312.316161729</v>
      </c>
      <c r="F1333" s="6">
        <v>431.7223015084595</v>
      </c>
      <c r="G1333" s="6">
        <v>4.9469973112268315</v>
      </c>
      <c r="H1333" s="6">
        <v>7085677.371337457</v>
      </c>
      <c r="I1333" s="6">
        <v>429.24476772482274</v>
      </c>
      <c r="J1333" s="6">
        <v>3.8732240269803473</v>
      </c>
      <c r="K1333" s="6"/>
      <c r="L1333" s="6"/>
      <c r="M1333" s="6"/>
      <c r="N1333" s="6">
        <f t="shared" ref="N1333:P1333" si="1336">IF(LEN($C1333)&gt;0,H1333-E1333,"")</f>
        <v>-78634.94482</v>
      </c>
      <c r="O1333" s="6">
        <f t="shared" si="1336"/>
        <v>-2.477533784</v>
      </c>
      <c r="P1333" s="6">
        <f t="shared" si="1336"/>
        <v>-1.073773284</v>
      </c>
      <c r="Q1333" s="6"/>
      <c r="R1333" s="6"/>
      <c r="S1333" s="6"/>
      <c r="T1333" s="6"/>
      <c r="U1333" s="6"/>
      <c r="V1333" s="6"/>
      <c r="W1333" s="6"/>
      <c r="X1333" s="6"/>
      <c r="Y1333" s="6"/>
      <c r="Z1333" s="6"/>
      <c r="AA1333" s="6"/>
      <c r="AB1333" s="6"/>
      <c r="AC1333" s="6"/>
      <c r="AD1333" s="6"/>
      <c r="AE1333" s="6"/>
      <c r="AF1333" s="6"/>
      <c r="AG1333" s="6"/>
    </row>
    <row r="1334" ht="14.25" customHeight="1">
      <c r="A1334" s="6"/>
      <c r="B1334" s="6"/>
      <c r="C1334" s="6">
        <v>1327.0</v>
      </c>
      <c r="D1334" s="6"/>
      <c r="E1334" s="6">
        <v>8540185.062730582</v>
      </c>
      <c r="F1334" s="6">
        <v>493.5839909945123</v>
      </c>
      <c r="G1334" s="6">
        <v>5.9054967767083</v>
      </c>
      <c r="H1334" s="6">
        <v>8424505.01423417</v>
      </c>
      <c r="I1334" s="6">
        <v>488.1745426314461</v>
      </c>
      <c r="J1334" s="6">
        <v>4.5622057349179</v>
      </c>
      <c r="K1334" s="6"/>
      <c r="L1334" s="6"/>
      <c r="M1334" s="6"/>
      <c r="N1334" s="6">
        <f t="shared" ref="N1334:P1334" si="1337">IF(LEN($C1334)&gt;0,H1334-E1334,"")</f>
        <v>-115680.0485</v>
      </c>
      <c r="O1334" s="6">
        <f t="shared" si="1337"/>
        <v>-5.409448363</v>
      </c>
      <c r="P1334" s="6">
        <f t="shared" si="1337"/>
        <v>-1.343291042</v>
      </c>
      <c r="Q1334" s="6"/>
      <c r="R1334" s="6"/>
      <c r="S1334" s="6"/>
      <c r="T1334" s="6"/>
      <c r="U1334" s="6"/>
      <c r="V1334" s="6"/>
      <c r="W1334" s="6"/>
      <c r="X1334" s="6"/>
      <c r="Y1334" s="6"/>
      <c r="Z1334" s="6"/>
      <c r="AA1334" s="6"/>
      <c r="AB1334" s="6"/>
      <c r="AC1334" s="6"/>
      <c r="AD1334" s="6"/>
      <c r="AE1334" s="6"/>
      <c r="AF1334" s="6"/>
      <c r="AG1334" s="6"/>
    </row>
    <row r="1335" ht="14.25" customHeight="1">
      <c r="A1335" s="6"/>
      <c r="B1335" s="6"/>
      <c r="C1335" s="6">
        <v>1328.0</v>
      </c>
      <c r="D1335" s="6"/>
      <c r="E1335" s="6">
        <v>7214141.9022974055</v>
      </c>
      <c r="F1335" s="6">
        <v>493.5066810881147</v>
      </c>
      <c r="G1335" s="6">
        <v>5.896655511737743</v>
      </c>
      <c r="H1335" s="6">
        <v>7076357.800543035</v>
      </c>
      <c r="I1335" s="6">
        <v>489.9099595799095</v>
      </c>
      <c r="J1335" s="6">
        <v>4.585100148522499</v>
      </c>
      <c r="K1335" s="6"/>
      <c r="L1335" s="6"/>
      <c r="M1335" s="6"/>
      <c r="N1335" s="6">
        <f t="shared" ref="N1335:P1335" si="1338">IF(LEN($C1335)&gt;0,H1335-E1335,"")</f>
        <v>-137784.1018</v>
      </c>
      <c r="O1335" s="6">
        <f t="shared" si="1338"/>
        <v>-3.596721508</v>
      </c>
      <c r="P1335" s="6">
        <f t="shared" si="1338"/>
        <v>-1.311555363</v>
      </c>
      <c r="Q1335" s="6"/>
      <c r="R1335" s="6"/>
      <c r="S1335" s="6"/>
      <c r="T1335" s="6"/>
      <c r="U1335" s="6"/>
      <c r="V1335" s="6"/>
      <c r="W1335" s="6"/>
      <c r="X1335" s="6"/>
      <c r="Y1335" s="6"/>
      <c r="Z1335" s="6"/>
      <c r="AA1335" s="6"/>
      <c r="AB1335" s="6"/>
      <c r="AC1335" s="6"/>
      <c r="AD1335" s="6"/>
      <c r="AE1335" s="6"/>
      <c r="AF1335" s="6"/>
      <c r="AG1335" s="6"/>
    </row>
    <row r="1336" ht="14.25" customHeight="1">
      <c r="A1336" s="6"/>
      <c r="B1336" s="6"/>
      <c r="C1336" s="6">
        <v>1329.0</v>
      </c>
      <c r="D1336" s="6"/>
      <c r="E1336" s="6">
        <v>5364108.64878588</v>
      </c>
      <c r="F1336" s="6">
        <v>433.07895881980176</v>
      </c>
      <c r="G1336" s="6">
        <v>5.881137453609635</v>
      </c>
      <c r="H1336" s="6">
        <v>5233804.974578884</v>
      </c>
      <c r="I1336" s="6">
        <v>427.82532225692523</v>
      </c>
      <c r="J1336" s="6">
        <v>4.0066009441272055</v>
      </c>
      <c r="K1336" s="6"/>
      <c r="L1336" s="6"/>
      <c r="M1336" s="6"/>
      <c r="N1336" s="6">
        <f t="shared" ref="N1336:P1336" si="1339">IF(LEN($C1336)&gt;0,H1336-E1336,"")</f>
        <v>-130303.6742</v>
      </c>
      <c r="O1336" s="6">
        <f t="shared" si="1339"/>
        <v>-5.253636563</v>
      </c>
      <c r="P1336" s="6">
        <f t="shared" si="1339"/>
        <v>-1.874536509</v>
      </c>
      <c r="Q1336" s="6"/>
      <c r="R1336" s="6"/>
      <c r="S1336" s="6"/>
      <c r="T1336" s="6"/>
      <c r="U1336" s="6"/>
      <c r="V1336" s="6"/>
      <c r="W1336" s="6"/>
      <c r="X1336" s="6"/>
      <c r="Y1336" s="6"/>
      <c r="Z1336" s="6"/>
      <c r="AA1336" s="6"/>
      <c r="AB1336" s="6"/>
      <c r="AC1336" s="6"/>
      <c r="AD1336" s="6"/>
      <c r="AE1336" s="6"/>
      <c r="AF1336" s="6"/>
      <c r="AG1336" s="6"/>
    </row>
    <row r="1337" ht="14.25" customHeight="1">
      <c r="A1337" s="6"/>
      <c r="B1337" s="6"/>
      <c r="C1337" s="6">
        <v>1330.0</v>
      </c>
      <c r="D1337" s="6"/>
      <c r="E1337" s="6">
        <v>8889046.547061112</v>
      </c>
      <c r="F1337" s="6">
        <v>485.2962597704818</v>
      </c>
      <c r="G1337" s="6">
        <v>3.795419647586</v>
      </c>
      <c r="H1337" s="6">
        <v>8816308.053067598</v>
      </c>
      <c r="I1337" s="6">
        <v>482.64745993105043</v>
      </c>
      <c r="J1337" s="6">
        <v>2.977039156930982</v>
      </c>
      <c r="K1337" s="6"/>
      <c r="L1337" s="6"/>
      <c r="M1337" s="6"/>
      <c r="N1337" s="6">
        <f t="shared" ref="N1337:P1337" si="1340">IF(LEN($C1337)&gt;0,H1337-E1337,"")</f>
        <v>-72738.49399</v>
      </c>
      <c r="O1337" s="6">
        <f t="shared" si="1340"/>
        <v>-2.648799839</v>
      </c>
      <c r="P1337" s="6">
        <f t="shared" si="1340"/>
        <v>-0.8183804907</v>
      </c>
      <c r="Q1337" s="6"/>
      <c r="R1337" s="6"/>
      <c r="S1337" s="6"/>
      <c r="T1337" s="6"/>
      <c r="U1337" s="6"/>
      <c r="V1337" s="6"/>
      <c r="W1337" s="6"/>
      <c r="X1337" s="6"/>
      <c r="Y1337" s="6"/>
      <c r="Z1337" s="6"/>
      <c r="AA1337" s="6"/>
      <c r="AB1337" s="6"/>
      <c r="AC1337" s="6"/>
      <c r="AD1337" s="6"/>
      <c r="AE1337" s="6"/>
      <c r="AF1337" s="6"/>
      <c r="AG1337" s="6"/>
    </row>
    <row r="1338" ht="14.25" customHeight="1">
      <c r="A1338" s="6"/>
      <c r="B1338" s="6"/>
      <c r="C1338" s="6">
        <v>1331.0</v>
      </c>
      <c r="D1338" s="6"/>
      <c r="E1338" s="6">
        <v>5509757.201672574</v>
      </c>
      <c r="F1338" s="6">
        <v>471.1112659771609</v>
      </c>
      <c r="G1338" s="6">
        <v>5.011798512647229</v>
      </c>
      <c r="H1338" s="6">
        <v>5453993.5061188685</v>
      </c>
      <c r="I1338" s="6">
        <v>468.99261151485916</v>
      </c>
      <c r="J1338" s="6">
        <v>4.005210100372709</v>
      </c>
      <c r="K1338" s="6"/>
      <c r="L1338" s="6"/>
      <c r="M1338" s="6"/>
      <c r="N1338" s="6">
        <f t="shared" ref="N1338:P1338" si="1341">IF(LEN($C1338)&gt;0,H1338-E1338,"")</f>
        <v>-55763.69555</v>
      </c>
      <c r="O1338" s="6">
        <f t="shared" si="1341"/>
        <v>-2.118654462</v>
      </c>
      <c r="P1338" s="6">
        <f t="shared" si="1341"/>
        <v>-1.006588412</v>
      </c>
      <c r="Q1338" s="6"/>
      <c r="R1338" s="6"/>
      <c r="S1338" s="6"/>
      <c r="T1338" s="6"/>
      <c r="U1338" s="6"/>
      <c r="V1338" s="6"/>
      <c r="W1338" s="6"/>
      <c r="X1338" s="6"/>
      <c r="Y1338" s="6"/>
      <c r="Z1338" s="6"/>
      <c r="AA1338" s="6"/>
      <c r="AB1338" s="6"/>
      <c r="AC1338" s="6"/>
      <c r="AD1338" s="6"/>
      <c r="AE1338" s="6"/>
      <c r="AF1338" s="6"/>
      <c r="AG1338" s="6"/>
    </row>
    <row r="1339" ht="14.25" customHeight="1">
      <c r="A1339" s="6"/>
      <c r="B1339" s="6"/>
      <c r="C1339" s="6">
        <v>1332.0</v>
      </c>
      <c r="D1339" s="6"/>
      <c r="E1339" s="6">
        <v>6204518.513425163</v>
      </c>
      <c r="F1339" s="6">
        <v>464.2448702331099</v>
      </c>
      <c r="G1339" s="6">
        <v>6.669705921402451</v>
      </c>
      <c r="H1339" s="6">
        <v>6082276.483341909</v>
      </c>
      <c r="I1339" s="6">
        <v>459.4069924679113</v>
      </c>
      <c r="J1339" s="6">
        <v>5.280994834690848</v>
      </c>
      <c r="K1339" s="6"/>
      <c r="L1339" s="6"/>
      <c r="M1339" s="6"/>
      <c r="N1339" s="6">
        <f t="shared" ref="N1339:P1339" si="1342">IF(LEN($C1339)&gt;0,H1339-E1339,"")</f>
        <v>-122242.0301</v>
      </c>
      <c r="O1339" s="6">
        <f t="shared" si="1342"/>
        <v>-4.837877765</v>
      </c>
      <c r="P1339" s="6">
        <f t="shared" si="1342"/>
        <v>-1.388711087</v>
      </c>
      <c r="Q1339" s="6"/>
      <c r="R1339" s="6"/>
      <c r="S1339" s="6"/>
      <c r="T1339" s="6"/>
      <c r="U1339" s="6"/>
      <c r="V1339" s="6"/>
      <c r="W1339" s="6"/>
      <c r="X1339" s="6"/>
      <c r="Y1339" s="6"/>
      <c r="Z1339" s="6"/>
      <c r="AA1339" s="6"/>
      <c r="AB1339" s="6"/>
      <c r="AC1339" s="6"/>
      <c r="AD1339" s="6"/>
      <c r="AE1339" s="6"/>
      <c r="AF1339" s="6"/>
      <c r="AG1339" s="6"/>
    </row>
    <row r="1340" ht="14.25" customHeight="1">
      <c r="A1340" s="6"/>
      <c r="B1340" s="6"/>
      <c r="C1340" s="6">
        <v>1333.0</v>
      </c>
      <c r="D1340" s="6"/>
      <c r="E1340" s="6">
        <v>6092415.650558431</v>
      </c>
      <c r="F1340" s="6">
        <v>494.50401023077654</v>
      </c>
      <c r="G1340" s="6">
        <v>4.123608335539599</v>
      </c>
      <c r="H1340" s="6">
        <v>6035741.268058693</v>
      </c>
      <c r="I1340" s="6">
        <v>490.84863250668957</v>
      </c>
      <c r="J1340" s="6">
        <v>3.381111179884962</v>
      </c>
      <c r="K1340" s="6"/>
      <c r="L1340" s="6"/>
      <c r="M1340" s="6"/>
      <c r="N1340" s="6">
        <f t="shared" ref="N1340:P1340" si="1343">IF(LEN($C1340)&gt;0,H1340-E1340,"")</f>
        <v>-56674.3825</v>
      </c>
      <c r="O1340" s="6">
        <f t="shared" si="1343"/>
        <v>-3.655377724</v>
      </c>
      <c r="P1340" s="6">
        <f t="shared" si="1343"/>
        <v>-0.7424971557</v>
      </c>
      <c r="Q1340" s="6"/>
      <c r="R1340" s="6"/>
      <c r="S1340" s="6"/>
      <c r="T1340" s="6"/>
      <c r="U1340" s="6"/>
      <c r="V1340" s="6"/>
      <c r="W1340" s="6"/>
      <c r="X1340" s="6"/>
      <c r="Y1340" s="6"/>
      <c r="Z1340" s="6"/>
      <c r="AA1340" s="6"/>
      <c r="AB1340" s="6"/>
      <c r="AC1340" s="6"/>
      <c r="AD1340" s="6"/>
      <c r="AE1340" s="6"/>
      <c r="AF1340" s="6"/>
      <c r="AG1340" s="6"/>
    </row>
    <row r="1341" ht="14.25" customHeight="1">
      <c r="A1341" s="6"/>
      <c r="B1341" s="6"/>
      <c r="C1341" s="6">
        <v>1334.0</v>
      </c>
      <c r="D1341" s="6"/>
      <c r="E1341" s="6">
        <v>9598922.416963743</v>
      </c>
      <c r="F1341" s="6">
        <v>464.2657196458362</v>
      </c>
      <c r="G1341" s="6">
        <v>3.0319422586876046</v>
      </c>
      <c r="H1341" s="6">
        <v>9492069.574442683</v>
      </c>
      <c r="I1341" s="6">
        <v>459.2371821589062</v>
      </c>
      <c r="J1341" s="6">
        <v>2.0982573876231188</v>
      </c>
      <c r="K1341" s="6"/>
      <c r="L1341" s="6"/>
      <c r="M1341" s="6"/>
      <c r="N1341" s="6">
        <f t="shared" ref="N1341:P1341" si="1344">IF(LEN($C1341)&gt;0,H1341-E1341,"")</f>
        <v>-106852.8425</v>
      </c>
      <c r="O1341" s="6">
        <f t="shared" si="1344"/>
        <v>-5.028537487</v>
      </c>
      <c r="P1341" s="6">
        <f t="shared" si="1344"/>
        <v>-0.9336848711</v>
      </c>
      <c r="Q1341" s="6"/>
      <c r="R1341" s="6"/>
      <c r="S1341" s="6"/>
      <c r="T1341" s="6"/>
      <c r="U1341" s="6"/>
      <c r="V1341" s="6"/>
      <c r="W1341" s="6"/>
      <c r="X1341" s="6"/>
      <c r="Y1341" s="6"/>
      <c r="Z1341" s="6"/>
      <c r="AA1341" s="6"/>
      <c r="AB1341" s="6"/>
      <c r="AC1341" s="6"/>
      <c r="AD1341" s="6"/>
      <c r="AE1341" s="6"/>
      <c r="AF1341" s="6"/>
      <c r="AG1341" s="6"/>
    </row>
    <row r="1342" ht="14.25" customHeight="1">
      <c r="A1342" s="6"/>
      <c r="B1342" s="6"/>
      <c r="C1342" s="6">
        <v>1335.0</v>
      </c>
      <c r="D1342" s="6"/>
      <c r="E1342" s="6">
        <v>7337702.372569852</v>
      </c>
      <c r="F1342" s="6">
        <v>474.5971061496232</v>
      </c>
      <c r="G1342" s="6">
        <v>4.364413475186792</v>
      </c>
      <c r="H1342" s="6">
        <v>7234245.6666945955</v>
      </c>
      <c r="I1342" s="6">
        <v>471.01383600386015</v>
      </c>
      <c r="J1342" s="6">
        <v>3.5499130069623646</v>
      </c>
      <c r="K1342" s="6"/>
      <c r="L1342" s="6"/>
      <c r="M1342" s="6"/>
      <c r="N1342" s="6">
        <f t="shared" ref="N1342:P1342" si="1345">IF(LEN($C1342)&gt;0,H1342-E1342,"")</f>
        <v>-103456.7059</v>
      </c>
      <c r="O1342" s="6">
        <f t="shared" si="1345"/>
        <v>-3.583270146</v>
      </c>
      <c r="P1342" s="6">
        <f t="shared" si="1345"/>
        <v>-0.8145004682</v>
      </c>
      <c r="Q1342" s="6"/>
      <c r="R1342" s="6"/>
      <c r="S1342" s="6"/>
      <c r="T1342" s="6"/>
      <c r="U1342" s="6"/>
      <c r="V1342" s="6"/>
      <c r="W1342" s="6"/>
      <c r="X1342" s="6"/>
      <c r="Y1342" s="6"/>
      <c r="Z1342" s="6"/>
      <c r="AA1342" s="6"/>
      <c r="AB1342" s="6"/>
      <c r="AC1342" s="6"/>
      <c r="AD1342" s="6"/>
      <c r="AE1342" s="6"/>
      <c r="AF1342" s="6"/>
      <c r="AG1342" s="6"/>
    </row>
    <row r="1343" ht="14.25" customHeight="1">
      <c r="A1343" s="6"/>
      <c r="B1343" s="6"/>
      <c r="C1343" s="6">
        <v>1336.0</v>
      </c>
      <c r="D1343" s="6"/>
      <c r="E1343" s="6">
        <v>6743432.70731237</v>
      </c>
      <c r="F1343" s="6">
        <v>480.911887104676</v>
      </c>
      <c r="G1343" s="6">
        <v>4.695150541702954</v>
      </c>
      <c r="H1343" s="6">
        <v>6655927.774928771</v>
      </c>
      <c r="I1343" s="6">
        <v>477.3367116737715</v>
      </c>
      <c r="J1343" s="6">
        <v>3.474384362796844</v>
      </c>
      <c r="K1343" s="6"/>
      <c r="L1343" s="6"/>
      <c r="M1343" s="6"/>
      <c r="N1343" s="6">
        <f t="shared" ref="N1343:P1343" si="1346">IF(LEN($C1343)&gt;0,H1343-E1343,"")</f>
        <v>-87504.93238</v>
      </c>
      <c r="O1343" s="6">
        <f t="shared" si="1346"/>
        <v>-3.575175431</v>
      </c>
      <c r="P1343" s="6">
        <f t="shared" si="1346"/>
        <v>-1.220766179</v>
      </c>
      <c r="Q1343" s="6"/>
      <c r="R1343" s="6"/>
      <c r="S1343" s="6"/>
      <c r="T1343" s="6"/>
      <c r="U1343" s="6"/>
      <c r="V1343" s="6"/>
      <c r="W1343" s="6"/>
      <c r="X1343" s="6"/>
      <c r="Y1343" s="6"/>
      <c r="Z1343" s="6"/>
      <c r="AA1343" s="6"/>
      <c r="AB1343" s="6"/>
      <c r="AC1343" s="6"/>
      <c r="AD1343" s="6"/>
      <c r="AE1343" s="6"/>
      <c r="AF1343" s="6"/>
      <c r="AG1343" s="6"/>
    </row>
    <row r="1344" ht="14.25" customHeight="1">
      <c r="A1344" s="6"/>
      <c r="B1344" s="6"/>
      <c r="C1344" s="6">
        <v>1337.0</v>
      </c>
      <c r="D1344" s="6"/>
      <c r="E1344" s="6">
        <v>8223449.205108569</v>
      </c>
      <c r="F1344" s="6">
        <v>493.1754904455122</v>
      </c>
      <c r="G1344" s="6">
        <v>5.317086043422741</v>
      </c>
      <c r="H1344" s="6">
        <v>8038777.421669698</v>
      </c>
      <c r="I1344" s="6">
        <v>485.7735756203569</v>
      </c>
      <c r="J1344" s="6">
        <v>3.187340410642621</v>
      </c>
      <c r="K1344" s="6"/>
      <c r="L1344" s="6"/>
      <c r="M1344" s="6"/>
      <c r="N1344" s="6">
        <f t="shared" ref="N1344:P1344" si="1347">IF(LEN($C1344)&gt;0,H1344-E1344,"")</f>
        <v>-184671.7834</v>
      </c>
      <c r="O1344" s="6">
        <f t="shared" si="1347"/>
        <v>-7.401914825</v>
      </c>
      <c r="P1344" s="6">
        <f t="shared" si="1347"/>
        <v>-2.129745633</v>
      </c>
      <c r="Q1344" s="6"/>
      <c r="R1344" s="6"/>
      <c r="S1344" s="6"/>
      <c r="T1344" s="6"/>
      <c r="U1344" s="6"/>
      <c r="V1344" s="6"/>
      <c r="W1344" s="6"/>
      <c r="X1344" s="6"/>
      <c r="Y1344" s="6"/>
      <c r="Z1344" s="6"/>
      <c r="AA1344" s="6"/>
      <c r="AB1344" s="6"/>
      <c r="AC1344" s="6"/>
      <c r="AD1344" s="6"/>
      <c r="AE1344" s="6"/>
      <c r="AF1344" s="6"/>
      <c r="AG1344" s="6"/>
    </row>
    <row r="1345" ht="14.25" customHeight="1">
      <c r="A1345" s="6"/>
      <c r="B1345" s="6"/>
      <c r="C1345" s="6">
        <v>1338.0</v>
      </c>
      <c r="D1345" s="6"/>
      <c r="E1345" s="6">
        <v>6467327.956532144</v>
      </c>
      <c r="F1345" s="6">
        <v>473.6623576159065</v>
      </c>
      <c r="G1345" s="6">
        <v>3.9510151962362388</v>
      </c>
      <c r="H1345" s="6">
        <v>6389909.639868968</v>
      </c>
      <c r="I1345" s="6">
        <v>470.20763395000273</v>
      </c>
      <c r="J1345" s="6">
        <v>2.9808537562678374</v>
      </c>
      <c r="K1345" s="6"/>
      <c r="L1345" s="6"/>
      <c r="M1345" s="6"/>
      <c r="N1345" s="6">
        <f t="shared" ref="N1345:P1345" si="1348">IF(LEN($C1345)&gt;0,H1345-E1345,"")</f>
        <v>-77418.31666</v>
      </c>
      <c r="O1345" s="6">
        <f t="shared" si="1348"/>
        <v>-3.454723666</v>
      </c>
      <c r="P1345" s="6">
        <f t="shared" si="1348"/>
        <v>-0.97016144</v>
      </c>
      <c r="Q1345" s="6"/>
      <c r="R1345" s="6"/>
      <c r="S1345" s="6"/>
      <c r="T1345" s="6"/>
      <c r="U1345" s="6"/>
      <c r="V1345" s="6"/>
      <c r="W1345" s="6"/>
      <c r="X1345" s="6"/>
      <c r="Y1345" s="6"/>
      <c r="Z1345" s="6"/>
      <c r="AA1345" s="6"/>
      <c r="AB1345" s="6"/>
      <c r="AC1345" s="6"/>
      <c r="AD1345" s="6"/>
      <c r="AE1345" s="6"/>
      <c r="AF1345" s="6"/>
      <c r="AG1345" s="6"/>
    </row>
    <row r="1346" ht="14.25" customHeight="1">
      <c r="A1346" s="6"/>
      <c r="B1346" s="6"/>
      <c r="C1346" s="6">
        <v>1339.0</v>
      </c>
      <c r="D1346" s="6"/>
      <c r="E1346" s="6">
        <v>8534917.122542718</v>
      </c>
      <c r="F1346" s="6">
        <v>464.9433009763928</v>
      </c>
      <c r="G1346" s="6">
        <v>5.204315467877845</v>
      </c>
      <c r="H1346" s="6">
        <v>8481094.718810065</v>
      </c>
      <c r="I1346" s="6">
        <v>462.3962776887279</v>
      </c>
      <c r="J1346" s="6">
        <v>4.218595656938598</v>
      </c>
      <c r="K1346" s="6"/>
      <c r="L1346" s="6"/>
      <c r="M1346" s="6"/>
      <c r="N1346" s="6">
        <f t="shared" ref="N1346:P1346" si="1349">IF(LEN($C1346)&gt;0,H1346-E1346,"")</f>
        <v>-53822.40373</v>
      </c>
      <c r="O1346" s="6">
        <f t="shared" si="1349"/>
        <v>-2.547023288</v>
      </c>
      <c r="P1346" s="6">
        <f t="shared" si="1349"/>
        <v>-0.9857198109</v>
      </c>
      <c r="Q1346" s="6"/>
      <c r="R1346" s="6"/>
      <c r="S1346" s="6"/>
      <c r="T1346" s="6"/>
      <c r="U1346" s="6"/>
      <c r="V1346" s="6"/>
      <c r="W1346" s="6"/>
      <c r="X1346" s="6"/>
      <c r="Y1346" s="6"/>
      <c r="Z1346" s="6"/>
      <c r="AA1346" s="6"/>
      <c r="AB1346" s="6"/>
      <c r="AC1346" s="6"/>
      <c r="AD1346" s="6"/>
      <c r="AE1346" s="6"/>
      <c r="AF1346" s="6"/>
      <c r="AG1346" s="6"/>
    </row>
    <row r="1347" ht="14.25" customHeight="1">
      <c r="A1347" s="6"/>
      <c r="B1347" s="6"/>
      <c r="C1347" s="6">
        <v>1340.0</v>
      </c>
      <c r="D1347" s="6"/>
      <c r="E1347" s="6">
        <v>6886954.141571467</v>
      </c>
      <c r="F1347" s="6">
        <v>453.50056477361943</v>
      </c>
      <c r="G1347" s="6">
        <v>5.4687689938131765</v>
      </c>
      <c r="H1347" s="6">
        <v>6790246.495782835</v>
      </c>
      <c r="I1347" s="6">
        <v>449.25587716498285</v>
      </c>
      <c r="J1347" s="6">
        <v>4.017797708807639</v>
      </c>
      <c r="K1347" s="6"/>
      <c r="L1347" s="6"/>
      <c r="M1347" s="6"/>
      <c r="N1347" s="6">
        <f t="shared" ref="N1347:P1347" si="1350">IF(LEN($C1347)&gt;0,H1347-E1347,"")</f>
        <v>-96707.64579</v>
      </c>
      <c r="O1347" s="6">
        <f t="shared" si="1350"/>
        <v>-4.244687609</v>
      </c>
      <c r="P1347" s="6">
        <f t="shared" si="1350"/>
        <v>-1.450971285</v>
      </c>
      <c r="Q1347" s="6"/>
      <c r="R1347" s="6"/>
      <c r="S1347" s="6"/>
      <c r="T1347" s="6"/>
      <c r="U1347" s="6"/>
      <c r="V1347" s="6"/>
      <c r="W1347" s="6"/>
      <c r="X1347" s="6"/>
      <c r="Y1347" s="6"/>
      <c r="Z1347" s="6"/>
      <c r="AA1347" s="6"/>
      <c r="AB1347" s="6"/>
      <c r="AC1347" s="6"/>
      <c r="AD1347" s="6"/>
      <c r="AE1347" s="6"/>
      <c r="AF1347" s="6"/>
      <c r="AG1347" s="6"/>
    </row>
    <row r="1348" ht="14.25" customHeight="1">
      <c r="A1348" s="6"/>
      <c r="B1348" s="6"/>
      <c r="C1348" s="6">
        <v>1341.0</v>
      </c>
      <c r="D1348" s="6"/>
      <c r="E1348" s="6">
        <v>7929600.773475486</v>
      </c>
      <c r="F1348" s="6">
        <v>442.2710531331374</v>
      </c>
      <c r="G1348" s="6">
        <v>4.278046607180639</v>
      </c>
      <c r="H1348" s="6">
        <v>7851188.478538811</v>
      </c>
      <c r="I1348" s="6">
        <v>438.95016479717003</v>
      </c>
      <c r="J1348" s="6">
        <v>3.303726672437031</v>
      </c>
      <c r="K1348" s="6"/>
      <c r="L1348" s="6"/>
      <c r="M1348" s="6"/>
      <c r="N1348" s="6">
        <f t="shared" ref="N1348:P1348" si="1351">IF(LEN($C1348)&gt;0,H1348-E1348,"")</f>
        <v>-78412.29494</v>
      </c>
      <c r="O1348" s="6">
        <f t="shared" si="1351"/>
        <v>-3.320888336</v>
      </c>
      <c r="P1348" s="6">
        <f t="shared" si="1351"/>
        <v>-0.9743199347</v>
      </c>
      <c r="Q1348" s="6"/>
      <c r="R1348" s="6"/>
      <c r="S1348" s="6"/>
      <c r="T1348" s="6"/>
      <c r="U1348" s="6"/>
      <c r="V1348" s="6"/>
      <c r="W1348" s="6"/>
      <c r="X1348" s="6"/>
      <c r="Y1348" s="6"/>
      <c r="Z1348" s="6"/>
      <c r="AA1348" s="6"/>
      <c r="AB1348" s="6"/>
      <c r="AC1348" s="6"/>
      <c r="AD1348" s="6"/>
      <c r="AE1348" s="6"/>
      <c r="AF1348" s="6"/>
      <c r="AG1348" s="6"/>
    </row>
    <row r="1349" ht="14.25" customHeight="1">
      <c r="A1349" s="6"/>
      <c r="B1349" s="6"/>
      <c r="C1349" s="6">
        <v>1342.0</v>
      </c>
      <c r="D1349" s="6"/>
      <c r="E1349" s="6">
        <v>9713442.725510133</v>
      </c>
      <c r="F1349" s="6">
        <v>489.23393216402343</v>
      </c>
      <c r="G1349" s="6">
        <v>4.9058493092271</v>
      </c>
      <c r="H1349" s="6">
        <v>9537608.91368114</v>
      </c>
      <c r="I1349" s="6">
        <v>482.85938783160816</v>
      </c>
      <c r="J1349" s="6">
        <v>3.7061162767469673</v>
      </c>
      <c r="K1349" s="6"/>
      <c r="L1349" s="6"/>
      <c r="M1349" s="6"/>
      <c r="N1349" s="6">
        <f t="shared" ref="N1349:P1349" si="1352">IF(LEN($C1349)&gt;0,H1349-E1349,"")</f>
        <v>-175833.8118</v>
      </c>
      <c r="O1349" s="6">
        <f t="shared" si="1352"/>
        <v>-6.374544332</v>
      </c>
      <c r="P1349" s="6">
        <f t="shared" si="1352"/>
        <v>-1.199733032</v>
      </c>
      <c r="Q1349" s="6"/>
      <c r="R1349" s="6"/>
      <c r="S1349" s="6"/>
      <c r="T1349" s="6"/>
      <c r="U1349" s="6"/>
      <c r="V1349" s="6"/>
      <c r="W1349" s="6"/>
      <c r="X1349" s="6"/>
      <c r="Y1349" s="6"/>
      <c r="Z1349" s="6"/>
      <c r="AA1349" s="6"/>
      <c r="AB1349" s="6"/>
      <c r="AC1349" s="6"/>
      <c r="AD1349" s="6"/>
      <c r="AE1349" s="6"/>
      <c r="AF1349" s="6"/>
      <c r="AG1349" s="6"/>
    </row>
    <row r="1350" ht="14.25" customHeight="1">
      <c r="A1350" s="6"/>
      <c r="B1350" s="6"/>
      <c r="C1350" s="6">
        <v>1343.0</v>
      </c>
      <c r="D1350" s="6"/>
      <c r="E1350" s="6">
        <v>7644835.330787504</v>
      </c>
      <c r="F1350" s="6">
        <v>462.0729856340045</v>
      </c>
      <c r="G1350" s="6">
        <v>4.722551451241589</v>
      </c>
      <c r="H1350" s="6">
        <v>7541940.684759122</v>
      </c>
      <c r="I1350" s="6">
        <v>457.94602666351045</v>
      </c>
      <c r="J1350" s="6">
        <v>3.0811465020139335</v>
      </c>
      <c r="K1350" s="6"/>
      <c r="L1350" s="6"/>
      <c r="M1350" s="6"/>
      <c r="N1350" s="6">
        <f t="shared" ref="N1350:P1350" si="1353">IF(LEN($C1350)&gt;0,H1350-E1350,"")</f>
        <v>-102894.646</v>
      </c>
      <c r="O1350" s="6">
        <f t="shared" si="1353"/>
        <v>-4.12695897</v>
      </c>
      <c r="P1350" s="6">
        <f t="shared" si="1353"/>
        <v>-1.641404949</v>
      </c>
      <c r="Q1350" s="6"/>
      <c r="R1350" s="6"/>
      <c r="S1350" s="6"/>
      <c r="T1350" s="6"/>
      <c r="U1350" s="6"/>
      <c r="V1350" s="6"/>
      <c r="W1350" s="6"/>
      <c r="X1350" s="6"/>
      <c r="Y1350" s="6"/>
      <c r="Z1350" s="6"/>
      <c r="AA1350" s="6"/>
      <c r="AB1350" s="6"/>
      <c r="AC1350" s="6"/>
      <c r="AD1350" s="6"/>
      <c r="AE1350" s="6"/>
      <c r="AF1350" s="6"/>
      <c r="AG1350" s="6"/>
    </row>
    <row r="1351" ht="14.25" customHeight="1">
      <c r="A1351" s="6"/>
      <c r="B1351" s="6"/>
      <c r="C1351" s="6">
        <v>1344.0</v>
      </c>
      <c r="D1351" s="6"/>
      <c r="E1351" s="6">
        <v>7070093.231185331</v>
      </c>
      <c r="F1351" s="6">
        <v>449.21267669104185</v>
      </c>
      <c r="G1351" s="6">
        <v>5.850283520228141</v>
      </c>
      <c r="H1351" s="6">
        <v>6980478.096992631</v>
      </c>
      <c r="I1351" s="6">
        <v>445.6596371963113</v>
      </c>
      <c r="J1351" s="6">
        <v>4.3266089827121155</v>
      </c>
      <c r="K1351" s="6"/>
      <c r="L1351" s="6"/>
      <c r="M1351" s="6"/>
      <c r="N1351" s="6">
        <f t="shared" ref="N1351:P1351" si="1354">IF(LEN($C1351)&gt;0,H1351-E1351,"")</f>
        <v>-89615.13419</v>
      </c>
      <c r="O1351" s="6">
        <f t="shared" si="1354"/>
        <v>-3.553039495</v>
      </c>
      <c r="P1351" s="6">
        <f t="shared" si="1354"/>
        <v>-1.523674538</v>
      </c>
      <c r="Q1351" s="6"/>
      <c r="R1351" s="6"/>
      <c r="S1351" s="6"/>
      <c r="T1351" s="6"/>
      <c r="U1351" s="6"/>
      <c r="V1351" s="6"/>
      <c r="W1351" s="6"/>
      <c r="X1351" s="6"/>
      <c r="Y1351" s="6"/>
      <c r="Z1351" s="6"/>
      <c r="AA1351" s="6"/>
      <c r="AB1351" s="6"/>
      <c r="AC1351" s="6"/>
      <c r="AD1351" s="6"/>
      <c r="AE1351" s="6"/>
      <c r="AF1351" s="6"/>
      <c r="AG1351" s="6"/>
    </row>
    <row r="1352" ht="14.25" customHeight="1">
      <c r="A1352" s="6"/>
      <c r="B1352" s="6"/>
      <c r="C1352" s="6">
        <v>1345.0</v>
      </c>
      <c r="D1352" s="6"/>
      <c r="E1352" s="6">
        <v>5967290.104576138</v>
      </c>
      <c r="F1352" s="6">
        <v>470.13840630031456</v>
      </c>
      <c r="G1352" s="6">
        <v>6.493760119262517</v>
      </c>
      <c r="H1352" s="6">
        <v>5864161.741924114</v>
      </c>
      <c r="I1352" s="6">
        <v>467.06122036777487</v>
      </c>
      <c r="J1352" s="6">
        <v>4.625842713284997</v>
      </c>
      <c r="K1352" s="6"/>
      <c r="L1352" s="6"/>
      <c r="M1352" s="6"/>
      <c r="N1352" s="6">
        <f t="shared" ref="N1352:P1352" si="1355">IF(LEN($C1352)&gt;0,H1352-E1352,"")</f>
        <v>-103128.3627</v>
      </c>
      <c r="O1352" s="6">
        <f t="shared" si="1355"/>
        <v>-3.077185933</v>
      </c>
      <c r="P1352" s="6">
        <f t="shared" si="1355"/>
        <v>-1.867917406</v>
      </c>
      <c r="Q1352" s="6"/>
      <c r="R1352" s="6"/>
      <c r="S1352" s="6"/>
      <c r="T1352" s="6"/>
      <c r="U1352" s="6"/>
      <c r="V1352" s="6"/>
      <c r="W1352" s="6"/>
      <c r="X1352" s="6"/>
      <c r="Y1352" s="6"/>
      <c r="Z1352" s="6"/>
      <c r="AA1352" s="6"/>
      <c r="AB1352" s="6"/>
      <c r="AC1352" s="6"/>
      <c r="AD1352" s="6"/>
      <c r="AE1352" s="6"/>
      <c r="AF1352" s="6"/>
      <c r="AG1352" s="6"/>
    </row>
    <row r="1353" ht="14.25" customHeight="1">
      <c r="A1353" s="6"/>
      <c r="B1353" s="6"/>
      <c r="C1353" s="6">
        <v>1346.0</v>
      </c>
      <c r="D1353" s="6"/>
      <c r="E1353" s="6">
        <v>7405071.500353374</v>
      </c>
      <c r="F1353" s="6">
        <v>454.59744772180153</v>
      </c>
      <c r="G1353" s="6">
        <v>5.658551461342556</v>
      </c>
      <c r="H1353" s="6">
        <v>7281386.176176563</v>
      </c>
      <c r="I1353" s="6">
        <v>449.5587817367334</v>
      </c>
      <c r="J1353" s="6">
        <v>3.877752789918213</v>
      </c>
      <c r="K1353" s="6"/>
      <c r="L1353" s="6"/>
      <c r="M1353" s="6"/>
      <c r="N1353" s="6">
        <f t="shared" ref="N1353:P1353" si="1356">IF(LEN($C1353)&gt;0,H1353-E1353,"")</f>
        <v>-123685.3242</v>
      </c>
      <c r="O1353" s="6">
        <f t="shared" si="1356"/>
        <v>-5.038665985</v>
      </c>
      <c r="P1353" s="6">
        <f t="shared" si="1356"/>
        <v>-1.780798671</v>
      </c>
      <c r="Q1353" s="6"/>
      <c r="R1353" s="6"/>
      <c r="S1353" s="6"/>
      <c r="T1353" s="6"/>
      <c r="U1353" s="6"/>
      <c r="V1353" s="6"/>
      <c r="W1353" s="6"/>
      <c r="X1353" s="6"/>
      <c r="Y1353" s="6"/>
      <c r="Z1353" s="6"/>
      <c r="AA1353" s="6"/>
      <c r="AB1353" s="6"/>
      <c r="AC1353" s="6"/>
      <c r="AD1353" s="6"/>
      <c r="AE1353" s="6"/>
      <c r="AF1353" s="6"/>
      <c r="AG1353" s="6"/>
    </row>
    <row r="1354" ht="14.25" customHeight="1">
      <c r="A1354" s="6"/>
      <c r="B1354" s="6"/>
      <c r="C1354" s="6">
        <v>1347.0</v>
      </c>
      <c r="D1354" s="6"/>
      <c r="E1354" s="6">
        <v>6781243.582202622</v>
      </c>
      <c r="F1354" s="6">
        <v>450.2599673572506</v>
      </c>
      <c r="G1354" s="6">
        <v>3.9948429154232077</v>
      </c>
      <c r="H1354" s="6">
        <v>6527598.885277769</v>
      </c>
      <c r="I1354" s="6">
        <v>440.31903638005787</v>
      </c>
      <c r="J1354" s="6">
        <v>2.507343868865911</v>
      </c>
      <c r="K1354" s="6"/>
      <c r="L1354" s="6"/>
      <c r="M1354" s="6"/>
      <c r="N1354" s="6">
        <f t="shared" ref="N1354:P1354" si="1357">IF(LEN($C1354)&gt;0,H1354-E1354,"")</f>
        <v>-253644.6969</v>
      </c>
      <c r="O1354" s="6">
        <f t="shared" si="1357"/>
        <v>-9.940930977</v>
      </c>
      <c r="P1354" s="6">
        <f t="shared" si="1357"/>
        <v>-1.487499047</v>
      </c>
      <c r="Q1354" s="6"/>
      <c r="R1354" s="6"/>
      <c r="S1354" s="6"/>
      <c r="T1354" s="6"/>
      <c r="U1354" s="6"/>
      <c r="V1354" s="6"/>
      <c r="W1354" s="6"/>
      <c r="X1354" s="6"/>
      <c r="Y1354" s="6"/>
      <c r="Z1354" s="6"/>
      <c r="AA1354" s="6"/>
      <c r="AB1354" s="6"/>
      <c r="AC1354" s="6"/>
      <c r="AD1354" s="6"/>
      <c r="AE1354" s="6"/>
      <c r="AF1354" s="6"/>
      <c r="AG1354" s="6"/>
    </row>
    <row r="1355" ht="14.25" customHeight="1">
      <c r="A1355" s="6"/>
      <c r="B1355" s="6"/>
      <c r="C1355" s="6">
        <v>1348.0</v>
      </c>
      <c r="D1355" s="6"/>
      <c r="E1355" s="6">
        <v>7324675.830230252</v>
      </c>
      <c r="F1355" s="6">
        <v>462.1138114406692</v>
      </c>
      <c r="G1355" s="6">
        <v>5.50768899312339</v>
      </c>
      <c r="H1355" s="6">
        <v>7239973.280761179</v>
      </c>
      <c r="I1355" s="6">
        <v>458.1671820309541</v>
      </c>
      <c r="J1355" s="6">
        <v>4.263350487168912</v>
      </c>
      <c r="K1355" s="6"/>
      <c r="L1355" s="6"/>
      <c r="M1355" s="6"/>
      <c r="N1355" s="6">
        <f t="shared" ref="N1355:P1355" si="1358">IF(LEN($C1355)&gt;0,H1355-E1355,"")</f>
        <v>-84702.54947</v>
      </c>
      <c r="O1355" s="6">
        <f t="shared" si="1358"/>
        <v>-3.94662941</v>
      </c>
      <c r="P1355" s="6">
        <f t="shared" si="1358"/>
        <v>-1.244338506</v>
      </c>
      <c r="Q1355" s="6"/>
      <c r="R1355" s="6"/>
      <c r="S1355" s="6"/>
      <c r="T1355" s="6"/>
      <c r="U1355" s="6"/>
      <c r="V1355" s="6"/>
      <c r="W1355" s="6"/>
      <c r="X1355" s="6"/>
      <c r="Y1355" s="6"/>
      <c r="Z1355" s="6"/>
      <c r="AA1355" s="6"/>
      <c r="AB1355" s="6"/>
      <c r="AC1355" s="6"/>
      <c r="AD1355" s="6"/>
      <c r="AE1355" s="6"/>
      <c r="AF1355" s="6"/>
      <c r="AG1355" s="6"/>
    </row>
    <row r="1356" ht="14.25" customHeight="1">
      <c r="A1356" s="6"/>
      <c r="B1356" s="6"/>
      <c r="C1356" s="6">
        <v>1349.0</v>
      </c>
      <c r="D1356" s="6"/>
      <c r="E1356" s="6">
        <v>8093604.144293487</v>
      </c>
      <c r="F1356" s="6">
        <v>430.79521116173635</v>
      </c>
      <c r="G1356" s="6">
        <v>4.519050116363072</v>
      </c>
      <c r="H1356" s="6">
        <v>8015823.695667383</v>
      </c>
      <c r="I1356" s="6">
        <v>428.39618986441724</v>
      </c>
      <c r="J1356" s="6">
        <v>3.386866958712192</v>
      </c>
      <c r="K1356" s="6"/>
      <c r="L1356" s="6"/>
      <c r="M1356" s="6"/>
      <c r="N1356" s="6">
        <f t="shared" ref="N1356:P1356" si="1359">IF(LEN($C1356)&gt;0,H1356-E1356,"")</f>
        <v>-77780.44863</v>
      </c>
      <c r="O1356" s="6">
        <f t="shared" si="1359"/>
        <v>-2.399021297</v>
      </c>
      <c r="P1356" s="6">
        <f t="shared" si="1359"/>
        <v>-1.132183158</v>
      </c>
      <c r="Q1356" s="6"/>
      <c r="R1356" s="6"/>
      <c r="S1356" s="6"/>
      <c r="T1356" s="6"/>
      <c r="U1356" s="6"/>
      <c r="V1356" s="6"/>
      <c r="W1356" s="6"/>
      <c r="X1356" s="6"/>
      <c r="Y1356" s="6"/>
      <c r="Z1356" s="6"/>
      <c r="AA1356" s="6"/>
      <c r="AB1356" s="6"/>
      <c r="AC1356" s="6"/>
      <c r="AD1356" s="6"/>
      <c r="AE1356" s="6"/>
      <c r="AF1356" s="6"/>
      <c r="AG1356" s="6"/>
    </row>
    <row r="1357" ht="14.25" customHeight="1">
      <c r="A1357" s="6"/>
      <c r="B1357" s="6"/>
      <c r="C1357" s="6">
        <v>1350.0</v>
      </c>
      <c r="D1357" s="6"/>
      <c r="E1357" s="6">
        <v>6951910.192954948</v>
      </c>
      <c r="F1357" s="6">
        <v>448.97128101823245</v>
      </c>
      <c r="G1357" s="6">
        <v>4.7783609223289</v>
      </c>
      <c r="H1357" s="6">
        <v>6873879.90619189</v>
      </c>
      <c r="I1357" s="6">
        <v>445.53361947665866</v>
      </c>
      <c r="J1357" s="6">
        <v>3.6013819680478107</v>
      </c>
      <c r="K1357" s="6"/>
      <c r="L1357" s="6"/>
      <c r="M1357" s="6"/>
      <c r="N1357" s="6">
        <f t="shared" ref="N1357:P1357" si="1360">IF(LEN($C1357)&gt;0,H1357-E1357,"")</f>
        <v>-78030.28676</v>
      </c>
      <c r="O1357" s="6">
        <f t="shared" si="1360"/>
        <v>-3.437661542</v>
      </c>
      <c r="P1357" s="6">
        <f t="shared" si="1360"/>
        <v>-1.176978954</v>
      </c>
      <c r="Q1357" s="6"/>
      <c r="R1357" s="6"/>
      <c r="S1357" s="6"/>
      <c r="T1357" s="6"/>
      <c r="U1357" s="6"/>
      <c r="V1357" s="6"/>
      <c r="W1357" s="6"/>
      <c r="X1357" s="6"/>
      <c r="Y1357" s="6"/>
      <c r="Z1357" s="6"/>
      <c r="AA1357" s="6"/>
      <c r="AB1357" s="6"/>
      <c r="AC1357" s="6"/>
      <c r="AD1357" s="6"/>
      <c r="AE1357" s="6"/>
      <c r="AF1357" s="6"/>
      <c r="AG1357" s="6"/>
    </row>
    <row r="1358" ht="14.25" customHeight="1">
      <c r="A1358" s="6"/>
      <c r="B1358" s="6"/>
      <c r="C1358" s="6">
        <v>1351.0</v>
      </c>
      <c r="D1358" s="6"/>
      <c r="E1358" s="6">
        <v>4113216.294621825</v>
      </c>
      <c r="F1358" s="6">
        <v>462.6218530612438</v>
      </c>
      <c r="G1358" s="6">
        <v>4.305630861034777</v>
      </c>
      <c r="H1358" s="6">
        <v>4023401.046745322</v>
      </c>
      <c r="I1358" s="6">
        <v>459.7374206977581</v>
      </c>
      <c r="J1358" s="6">
        <v>3.2016963023001623</v>
      </c>
      <c r="K1358" s="6"/>
      <c r="L1358" s="6"/>
      <c r="M1358" s="6"/>
      <c r="N1358" s="6">
        <f t="shared" ref="N1358:P1358" si="1361">IF(LEN($C1358)&gt;0,H1358-E1358,"")</f>
        <v>-89815.24788</v>
      </c>
      <c r="O1358" s="6">
        <f t="shared" si="1361"/>
        <v>-2.884432363</v>
      </c>
      <c r="P1358" s="6">
        <f t="shared" si="1361"/>
        <v>-1.103934559</v>
      </c>
      <c r="Q1358" s="6"/>
      <c r="R1358" s="6"/>
      <c r="S1358" s="6"/>
      <c r="T1358" s="6"/>
      <c r="U1358" s="6"/>
      <c r="V1358" s="6"/>
      <c r="W1358" s="6"/>
      <c r="X1358" s="6"/>
      <c r="Y1358" s="6"/>
      <c r="Z1358" s="6"/>
      <c r="AA1358" s="6"/>
      <c r="AB1358" s="6"/>
      <c r="AC1358" s="6"/>
      <c r="AD1358" s="6"/>
      <c r="AE1358" s="6"/>
      <c r="AF1358" s="6"/>
      <c r="AG1358" s="6"/>
    </row>
    <row r="1359" ht="14.25" customHeight="1">
      <c r="A1359" s="6"/>
      <c r="B1359" s="6"/>
      <c r="C1359" s="6">
        <v>1352.0</v>
      </c>
      <c r="D1359" s="6"/>
      <c r="E1359" s="6">
        <v>4760625.909602597</v>
      </c>
      <c r="F1359" s="6">
        <v>473.5723512109904</v>
      </c>
      <c r="G1359" s="6">
        <v>5.424314064210408</v>
      </c>
      <c r="H1359" s="6">
        <v>4606963.869777112</v>
      </c>
      <c r="I1359" s="6">
        <v>465.90471241449904</v>
      </c>
      <c r="J1359" s="6">
        <v>3.952040357536096</v>
      </c>
      <c r="K1359" s="6"/>
      <c r="L1359" s="6"/>
      <c r="M1359" s="6"/>
      <c r="N1359" s="6">
        <f t="shared" ref="N1359:P1359" si="1362">IF(LEN($C1359)&gt;0,H1359-E1359,"")</f>
        <v>-153662.0398</v>
      </c>
      <c r="O1359" s="6">
        <f t="shared" si="1362"/>
        <v>-7.667638796</v>
      </c>
      <c r="P1359" s="6">
        <f t="shared" si="1362"/>
        <v>-1.472273707</v>
      </c>
      <c r="Q1359" s="6"/>
      <c r="R1359" s="6"/>
      <c r="S1359" s="6"/>
      <c r="T1359" s="6"/>
      <c r="U1359" s="6"/>
      <c r="V1359" s="6"/>
      <c r="W1359" s="6"/>
      <c r="X1359" s="6"/>
      <c r="Y1359" s="6"/>
      <c r="Z1359" s="6"/>
      <c r="AA1359" s="6"/>
      <c r="AB1359" s="6"/>
      <c r="AC1359" s="6"/>
      <c r="AD1359" s="6"/>
      <c r="AE1359" s="6"/>
      <c r="AF1359" s="6"/>
      <c r="AG1359" s="6"/>
    </row>
    <row r="1360" ht="14.25" customHeight="1">
      <c r="A1360" s="6"/>
      <c r="B1360" s="6"/>
      <c r="C1360" s="6">
        <v>1353.0</v>
      </c>
      <c r="D1360" s="6"/>
      <c r="E1360" s="6">
        <v>7689517.836844307</v>
      </c>
      <c r="F1360" s="6">
        <v>476.1259391702277</v>
      </c>
      <c r="G1360" s="6">
        <v>5.535235874736683</v>
      </c>
      <c r="H1360" s="6">
        <v>7533048.43106824</v>
      </c>
      <c r="I1360" s="6">
        <v>469.86127904594156</v>
      </c>
      <c r="J1360" s="6">
        <v>3.928500033903852</v>
      </c>
      <c r="K1360" s="6"/>
      <c r="L1360" s="6"/>
      <c r="M1360" s="6"/>
      <c r="N1360" s="6">
        <f t="shared" ref="N1360:P1360" si="1363">IF(LEN($C1360)&gt;0,H1360-E1360,"")</f>
        <v>-156469.4058</v>
      </c>
      <c r="O1360" s="6">
        <f t="shared" si="1363"/>
        <v>-6.264660124</v>
      </c>
      <c r="P1360" s="6">
        <f t="shared" si="1363"/>
        <v>-1.606735841</v>
      </c>
      <c r="Q1360" s="6"/>
      <c r="R1360" s="6"/>
      <c r="S1360" s="6"/>
      <c r="T1360" s="6"/>
      <c r="U1360" s="6"/>
      <c r="V1360" s="6"/>
      <c r="W1360" s="6"/>
      <c r="X1360" s="6"/>
      <c r="Y1360" s="6"/>
      <c r="Z1360" s="6"/>
      <c r="AA1360" s="6"/>
      <c r="AB1360" s="6"/>
      <c r="AC1360" s="6"/>
      <c r="AD1360" s="6"/>
      <c r="AE1360" s="6"/>
      <c r="AF1360" s="6"/>
      <c r="AG1360" s="6"/>
    </row>
    <row r="1361" ht="14.25" customHeight="1">
      <c r="A1361" s="6"/>
      <c r="B1361" s="6"/>
      <c r="C1361" s="6">
        <v>1354.0</v>
      </c>
      <c r="D1361" s="6"/>
      <c r="E1361" s="6">
        <v>8395303.438375408</v>
      </c>
      <c r="F1361" s="6">
        <v>437.47867539849767</v>
      </c>
      <c r="G1361" s="6">
        <v>4.009509786112423</v>
      </c>
      <c r="H1361" s="6">
        <v>8314351.18928673</v>
      </c>
      <c r="I1361" s="6">
        <v>433.58841101899293</v>
      </c>
      <c r="J1361" s="6">
        <v>2.8099670546212976</v>
      </c>
      <c r="K1361" s="6"/>
      <c r="L1361" s="6"/>
      <c r="M1361" s="6"/>
      <c r="N1361" s="6">
        <f t="shared" ref="N1361:P1361" si="1364">IF(LEN($C1361)&gt;0,H1361-E1361,"")</f>
        <v>-80952.24909</v>
      </c>
      <c r="O1361" s="6">
        <f t="shared" si="1364"/>
        <v>-3.89026438</v>
      </c>
      <c r="P1361" s="6">
        <f t="shared" si="1364"/>
        <v>-1.199542731</v>
      </c>
      <c r="Q1361" s="6"/>
      <c r="R1361" s="6"/>
      <c r="S1361" s="6"/>
      <c r="T1361" s="6"/>
      <c r="U1361" s="6"/>
      <c r="V1361" s="6"/>
      <c r="W1361" s="6"/>
      <c r="X1361" s="6"/>
      <c r="Y1361" s="6"/>
      <c r="Z1361" s="6"/>
      <c r="AA1361" s="6"/>
      <c r="AB1361" s="6"/>
      <c r="AC1361" s="6"/>
      <c r="AD1361" s="6"/>
      <c r="AE1361" s="6"/>
      <c r="AF1361" s="6"/>
      <c r="AG1361" s="6"/>
    </row>
    <row r="1362" ht="14.25" customHeight="1">
      <c r="A1362" s="6"/>
      <c r="B1362" s="6"/>
      <c r="C1362" s="6">
        <v>1355.0</v>
      </c>
      <c r="D1362" s="6"/>
      <c r="E1362" s="6">
        <v>7200284.722139491</v>
      </c>
      <c r="F1362" s="6">
        <v>482.58334790808027</v>
      </c>
      <c r="G1362" s="6">
        <v>5.277489966229027</v>
      </c>
      <c r="H1362" s="6">
        <v>7110156.44758824</v>
      </c>
      <c r="I1362" s="6">
        <v>479.57773624873533</v>
      </c>
      <c r="J1362" s="6">
        <v>3.9557123662378726</v>
      </c>
      <c r="K1362" s="6"/>
      <c r="L1362" s="6"/>
      <c r="M1362" s="6"/>
      <c r="N1362" s="6">
        <f t="shared" ref="N1362:P1362" si="1365">IF(LEN($C1362)&gt;0,H1362-E1362,"")</f>
        <v>-90128.27455</v>
      </c>
      <c r="O1362" s="6">
        <f t="shared" si="1365"/>
        <v>-3.005611659</v>
      </c>
      <c r="P1362" s="6">
        <f t="shared" si="1365"/>
        <v>-1.3217776</v>
      </c>
      <c r="Q1362" s="6"/>
      <c r="R1362" s="6"/>
      <c r="S1362" s="6"/>
      <c r="T1362" s="6"/>
      <c r="U1362" s="6"/>
      <c r="V1362" s="6"/>
      <c r="W1362" s="6"/>
      <c r="X1362" s="6"/>
      <c r="Y1362" s="6"/>
      <c r="Z1362" s="6"/>
      <c r="AA1362" s="6"/>
      <c r="AB1362" s="6"/>
      <c r="AC1362" s="6"/>
      <c r="AD1362" s="6"/>
      <c r="AE1362" s="6"/>
      <c r="AF1362" s="6"/>
      <c r="AG1362" s="6"/>
    </row>
    <row r="1363" ht="14.25" customHeight="1">
      <c r="A1363" s="6"/>
      <c r="B1363" s="6"/>
      <c r="C1363" s="6">
        <v>1356.0</v>
      </c>
      <c r="D1363" s="6"/>
      <c r="E1363" s="6">
        <v>5609963.058727273</v>
      </c>
      <c r="F1363" s="6">
        <v>479.41898127784395</v>
      </c>
      <c r="G1363" s="6">
        <v>5.251242031439772</v>
      </c>
      <c r="H1363" s="6">
        <v>5474682.516038587</v>
      </c>
      <c r="I1363" s="6">
        <v>474.93293531655337</v>
      </c>
      <c r="J1363" s="6">
        <v>3.6400843761711257</v>
      </c>
      <c r="K1363" s="6"/>
      <c r="L1363" s="6"/>
      <c r="M1363" s="6"/>
      <c r="N1363" s="6">
        <f t="shared" ref="N1363:P1363" si="1366">IF(LEN($C1363)&gt;0,H1363-E1363,"")</f>
        <v>-135280.5427</v>
      </c>
      <c r="O1363" s="6">
        <f t="shared" si="1366"/>
        <v>-4.486045961</v>
      </c>
      <c r="P1363" s="6">
        <f t="shared" si="1366"/>
        <v>-1.611157655</v>
      </c>
      <c r="Q1363" s="6"/>
      <c r="R1363" s="6"/>
      <c r="S1363" s="6"/>
      <c r="T1363" s="6"/>
      <c r="U1363" s="6"/>
      <c r="V1363" s="6"/>
      <c r="W1363" s="6"/>
      <c r="X1363" s="6"/>
      <c r="Y1363" s="6"/>
      <c r="Z1363" s="6"/>
      <c r="AA1363" s="6"/>
      <c r="AB1363" s="6"/>
      <c r="AC1363" s="6"/>
      <c r="AD1363" s="6"/>
      <c r="AE1363" s="6"/>
      <c r="AF1363" s="6"/>
      <c r="AG1363" s="6"/>
    </row>
    <row r="1364" ht="14.25" customHeight="1">
      <c r="A1364" s="6"/>
      <c r="B1364" s="6"/>
      <c r="C1364" s="6">
        <v>1357.0</v>
      </c>
      <c r="D1364" s="6"/>
      <c r="E1364" s="6">
        <v>7119377.299953795</v>
      </c>
      <c r="F1364" s="6">
        <v>485.1290146173552</v>
      </c>
      <c r="G1364" s="6">
        <v>3.882031795510209</v>
      </c>
      <c r="H1364" s="6">
        <v>6994711.880510071</v>
      </c>
      <c r="I1364" s="6">
        <v>478.858042907794</v>
      </c>
      <c r="J1364" s="6">
        <v>3.01145123478858</v>
      </c>
      <c r="K1364" s="6"/>
      <c r="L1364" s="6"/>
      <c r="M1364" s="6"/>
      <c r="N1364" s="6">
        <f t="shared" ref="N1364:P1364" si="1367">IF(LEN($C1364)&gt;0,H1364-E1364,"")</f>
        <v>-124665.4194</v>
      </c>
      <c r="O1364" s="6">
        <f t="shared" si="1367"/>
        <v>-6.27097171</v>
      </c>
      <c r="P1364" s="6">
        <f t="shared" si="1367"/>
        <v>-0.8705805607</v>
      </c>
      <c r="Q1364" s="6"/>
      <c r="R1364" s="6"/>
      <c r="S1364" s="6"/>
      <c r="T1364" s="6"/>
      <c r="U1364" s="6"/>
      <c r="V1364" s="6"/>
      <c r="W1364" s="6"/>
      <c r="X1364" s="6"/>
      <c r="Y1364" s="6"/>
      <c r="Z1364" s="6"/>
      <c r="AA1364" s="6"/>
      <c r="AB1364" s="6"/>
      <c r="AC1364" s="6"/>
      <c r="AD1364" s="6"/>
      <c r="AE1364" s="6"/>
      <c r="AF1364" s="6"/>
      <c r="AG1364" s="6"/>
    </row>
    <row r="1365" ht="14.25" customHeight="1">
      <c r="A1365" s="6"/>
      <c r="B1365" s="6"/>
      <c r="C1365" s="6">
        <v>1358.0</v>
      </c>
      <c r="D1365" s="6"/>
      <c r="E1365" s="6">
        <v>6783328.912496116</v>
      </c>
      <c r="F1365" s="6">
        <v>439.9555871967599</v>
      </c>
      <c r="G1365" s="6">
        <v>6.500061896457613</v>
      </c>
      <c r="H1365" s="6">
        <v>6733854.565442781</v>
      </c>
      <c r="I1365" s="6">
        <v>437.7763542189681</v>
      </c>
      <c r="J1365" s="6">
        <v>5.389535601463027</v>
      </c>
      <c r="K1365" s="6"/>
      <c r="L1365" s="6"/>
      <c r="M1365" s="6"/>
      <c r="N1365" s="6">
        <f t="shared" ref="N1365:P1365" si="1368">IF(LEN($C1365)&gt;0,H1365-E1365,"")</f>
        <v>-49474.34705</v>
      </c>
      <c r="O1365" s="6">
        <f t="shared" si="1368"/>
        <v>-2.179232978</v>
      </c>
      <c r="P1365" s="6">
        <f t="shared" si="1368"/>
        <v>-1.110526295</v>
      </c>
      <c r="Q1365" s="6"/>
      <c r="R1365" s="6"/>
      <c r="S1365" s="6"/>
      <c r="T1365" s="6"/>
      <c r="U1365" s="6"/>
      <c r="V1365" s="6"/>
      <c r="W1365" s="6"/>
      <c r="X1365" s="6"/>
      <c r="Y1365" s="6"/>
      <c r="Z1365" s="6"/>
      <c r="AA1365" s="6"/>
      <c r="AB1365" s="6"/>
      <c r="AC1365" s="6"/>
      <c r="AD1365" s="6"/>
      <c r="AE1365" s="6"/>
      <c r="AF1365" s="6"/>
      <c r="AG1365" s="6"/>
    </row>
    <row r="1366" ht="14.25" customHeight="1">
      <c r="A1366" s="6"/>
      <c r="B1366" s="6"/>
      <c r="C1366" s="6">
        <v>1359.0</v>
      </c>
      <c r="D1366" s="6"/>
      <c r="E1366" s="6">
        <v>8506108.263043381</v>
      </c>
      <c r="F1366" s="6">
        <v>442.30677746839325</v>
      </c>
      <c r="G1366" s="6">
        <v>5.225223821314963</v>
      </c>
      <c r="H1366" s="6">
        <v>8386081.875939083</v>
      </c>
      <c r="I1366" s="6">
        <v>438.45010407348514</v>
      </c>
      <c r="J1366" s="6">
        <v>3.810496697270213</v>
      </c>
      <c r="K1366" s="6"/>
      <c r="L1366" s="6"/>
      <c r="M1366" s="6"/>
      <c r="N1366" s="6">
        <f t="shared" ref="N1366:P1366" si="1369">IF(LEN($C1366)&gt;0,H1366-E1366,"")</f>
        <v>-120026.3871</v>
      </c>
      <c r="O1366" s="6">
        <f t="shared" si="1369"/>
        <v>-3.856673395</v>
      </c>
      <c r="P1366" s="6">
        <f t="shared" si="1369"/>
        <v>-1.414727124</v>
      </c>
      <c r="Q1366" s="6"/>
      <c r="R1366" s="6"/>
      <c r="S1366" s="6"/>
      <c r="T1366" s="6"/>
      <c r="U1366" s="6"/>
      <c r="V1366" s="6"/>
      <c r="W1366" s="6"/>
      <c r="X1366" s="6"/>
      <c r="Y1366" s="6"/>
      <c r="Z1366" s="6"/>
      <c r="AA1366" s="6"/>
      <c r="AB1366" s="6"/>
      <c r="AC1366" s="6"/>
      <c r="AD1366" s="6"/>
      <c r="AE1366" s="6"/>
      <c r="AF1366" s="6"/>
      <c r="AG1366" s="6"/>
    </row>
    <row r="1367" ht="14.25" customHeight="1">
      <c r="A1367" s="6"/>
      <c r="B1367" s="6"/>
      <c r="C1367" s="6">
        <v>1360.0</v>
      </c>
      <c r="D1367" s="6"/>
      <c r="E1367" s="6">
        <v>8546213.794534901</v>
      </c>
      <c r="F1367" s="6">
        <v>473.55849578347033</v>
      </c>
      <c r="G1367" s="6">
        <v>4.901799055343734</v>
      </c>
      <c r="H1367" s="6">
        <v>8505997.643448098</v>
      </c>
      <c r="I1367" s="6">
        <v>471.8087574448592</v>
      </c>
      <c r="J1367" s="6">
        <v>4.212681994697197</v>
      </c>
      <c r="K1367" s="6"/>
      <c r="L1367" s="6"/>
      <c r="M1367" s="6"/>
      <c r="N1367" s="6">
        <f t="shared" ref="N1367:P1367" si="1370">IF(LEN($C1367)&gt;0,H1367-E1367,"")</f>
        <v>-40216.15109</v>
      </c>
      <c r="O1367" s="6">
        <f t="shared" si="1370"/>
        <v>-1.749738339</v>
      </c>
      <c r="P1367" s="6">
        <f t="shared" si="1370"/>
        <v>-0.6891170606</v>
      </c>
      <c r="Q1367" s="6"/>
      <c r="R1367" s="6"/>
      <c r="S1367" s="6"/>
      <c r="T1367" s="6"/>
      <c r="U1367" s="6"/>
      <c r="V1367" s="6"/>
      <c r="W1367" s="6"/>
      <c r="X1367" s="6"/>
      <c r="Y1367" s="6"/>
      <c r="Z1367" s="6"/>
      <c r="AA1367" s="6"/>
      <c r="AB1367" s="6"/>
      <c r="AC1367" s="6"/>
      <c r="AD1367" s="6"/>
      <c r="AE1367" s="6"/>
      <c r="AF1367" s="6"/>
      <c r="AG1367" s="6"/>
    </row>
    <row r="1368" ht="14.25" customHeight="1">
      <c r="A1368" s="6"/>
      <c r="B1368" s="6"/>
      <c r="C1368" s="6">
        <v>1361.0</v>
      </c>
      <c r="D1368" s="6"/>
      <c r="E1368" s="6">
        <v>7447847.758038964</v>
      </c>
      <c r="F1368" s="6">
        <v>439.6793107374422</v>
      </c>
      <c r="G1368" s="6">
        <v>3.82487176831298</v>
      </c>
      <c r="H1368" s="6">
        <v>7312803.306798245</v>
      </c>
      <c r="I1368" s="6">
        <v>435.25255856849896</v>
      </c>
      <c r="J1368" s="6">
        <v>2.609250369375424</v>
      </c>
      <c r="K1368" s="6"/>
      <c r="L1368" s="6"/>
      <c r="M1368" s="6"/>
      <c r="N1368" s="6">
        <f t="shared" ref="N1368:P1368" si="1371">IF(LEN($C1368)&gt;0,H1368-E1368,"")</f>
        <v>-135044.4512</v>
      </c>
      <c r="O1368" s="6">
        <f t="shared" si="1371"/>
        <v>-4.426752169</v>
      </c>
      <c r="P1368" s="6">
        <f t="shared" si="1371"/>
        <v>-1.215621399</v>
      </c>
      <c r="Q1368" s="6"/>
      <c r="R1368" s="6"/>
      <c r="S1368" s="6"/>
      <c r="T1368" s="6"/>
      <c r="U1368" s="6"/>
      <c r="V1368" s="6"/>
      <c r="W1368" s="6"/>
      <c r="X1368" s="6"/>
      <c r="Y1368" s="6"/>
      <c r="Z1368" s="6"/>
      <c r="AA1368" s="6"/>
      <c r="AB1368" s="6"/>
      <c r="AC1368" s="6"/>
      <c r="AD1368" s="6"/>
      <c r="AE1368" s="6"/>
      <c r="AF1368" s="6"/>
      <c r="AG1368" s="6"/>
    </row>
    <row r="1369" ht="14.25" customHeight="1">
      <c r="A1369" s="6"/>
      <c r="B1369" s="6"/>
      <c r="C1369" s="6">
        <v>1362.0</v>
      </c>
      <c r="D1369" s="6"/>
      <c r="E1369" s="6">
        <v>6905877.718360198</v>
      </c>
      <c r="F1369" s="6">
        <v>439.6641512713719</v>
      </c>
      <c r="G1369" s="6">
        <v>4.219238379636314</v>
      </c>
      <c r="H1369" s="6">
        <v>6798208.901900246</v>
      </c>
      <c r="I1369" s="6">
        <v>435.97557260393575</v>
      </c>
      <c r="J1369" s="6">
        <v>3.142891324749065</v>
      </c>
      <c r="K1369" s="6"/>
      <c r="L1369" s="6"/>
      <c r="M1369" s="6"/>
      <c r="N1369" s="6">
        <f t="shared" ref="N1369:P1369" si="1372">IF(LEN($C1369)&gt;0,H1369-E1369,"")</f>
        <v>-107668.8165</v>
      </c>
      <c r="O1369" s="6">
        <f t="shared" si="1372"/>
        <v>-3.688578667</v>
      </c>
      <c r="P1369" s="6">
        <f t="shared" si="1372"/>
        <v>-1.076347055</v>
      </c>
      <c r="Q1369" s="6"/>
      <c r="R1369" s="6"/>
      <c r="S1369" s="6"/>
      <c r="T1369" s="6"/>
      <c r="U1369" s="6"/>
      <c r="V1369" s="6"/>
      <c r="W1369" s="6"/>
      <c r="X1369" s="6"/>
      <c r="Y1369" s="6"/>
      <c r="Z1369" s="6"/>
      <c r="AA1369" s="6"/>
      <c r="AB1369" s="6"/>
      <c r="AC1369" s="6"/>
      <c r="AD1369" s="6"/>
      <c r="AE1369" s="6"/>
      <c r="AF1369" s="6"/>
      <c r="AG1369" s="6"/>
    </row>
    <row r="1370" ht="14.25" customHeight="1">
      <c r="A1370" s="6"/>
      <c r="B1370" s="6"/>
      <c r="C1370" s="6">
        <v>1363.0</v>
      </c>
      <c r="D1370" s="6"/>
      <c r="E1370" s="6">
        <v>6621969.245794309</v>
      </c>
      <c r="F1370" s="6">
        <v>485.59697474014376</v>
      </c>
      <c r="G1370" s="6">
        <v>4.988893447357894</v>
      </c>
      <c r="H1370" s="6">
        <v>6501476.513243391</v>
      </c>
      <c r="I1370" s="6">
        <v>481.59529521799243</v>
      </c>
      <c r="J1370" s="6">
        <v>3.821337541232705</v>
      </c>
      <c r="K1370" s="6"/>
      <c r="L1370" s="6"/>
      <c r="M1370" s="6"/>
      <c r="N1370" s="6">
        <f t="shared" ref="N1370:P1370" si="1373">IF(LEN($C1370)&gt;0,H1370-E1370,"")</f>
        <v>-120492.7326</v>
      </c>
      <c r="O1370" s="6">
        <f t="shared" si="1373"/>
        <v>-4.001679522</v>
      </c>
      <c r="P1370" s="6">
        <f t="shared" si="1373"/>
        <v>-1.167555906</v>
      </c>
      <c r="Q1370" s="6"/>
      <c r="R1370" s="6"/>
      <c r="S1370" s="6"/>
      <c r="T1370" s="6"/>
      <c r="U1370" s="6"/>
      <c r="V1370" s="6"/>
      <c r="W1370" s="6"/>
      <c r="X1370" s="6"/>
      <c r="Y1370" s="6"/>
      <c r="Z1370" s="6"/>
      <c r="AA1370" s="6"/>
      <c r="AB1370" s="6"/>
      <c r="AC1370" s="6"/>
      <c r="AD1370" s="6"/>
      <c r="AE1370" s="6"/>
      <c r="AF1370" s="6"/>
      <c r="AG1370" s="6"/>
    </row>
    <row r="1371" ht="14.25" customHeight="1">
      <c r="A1371" s="6"/>
      <c r="B1371" s="6"/>
      <c r="C1371" s="6">
        <v>1364.0</v>
      </c>
      <c r="D1371" s="6"/>
      <c r="E1371" s="6">
        <v>8169994.941373634</v>
      </c>
      <c r="F1371" s="6">
        <v>479.65186820914</v>
      </c>
      <c r="G1371" s="6">
        <v>5.117424725792171</v>
      </c>
      <c r="H1371" s="6">
        <v>8079990.639712131</v>
      </c>
      <c r="I1371" s="6">
        <v>476.89746867144726</v>
      </c>
      <c r="J1371" s="6">
        <v>4.0101618230946965</v>
      </c>
      <c r="K1371" s="6"/>
      <c r="L1371" s="6"/>
      <c r="M1371" s="6"/>
      <c r="N1371" s="6">
        <f t="shared" ref="N1371:P1371" si="1374">IF(LEN($C1371)&gt;0,H1371-E1371,"")</f>
        <v>-90004.30166</v>
      </c>
      <c r="O1371" s="6">
        <f t="shared" si="1374"/>
        <v>-2.754399538</v>
      </c>
      <c r="P1371" s="6">
        <f t="shared" si="1374"/>
        <v>-1.107262903</v>
      </c>
      <c r="Q1371" s="6"/>
      <c r="R1371" s="6"/>
      <c r="S1371" s="6"/>
      <c r="T1371" s="6"/>
      <c r="U1371" s="6"/>
      <c r="V1371" s="6"/>
      <c r="W1371" s="6"/>
      <c r="X1371" s="6"/>
      <c r="Y1371" s="6"/>
      <c r="Z1371" s="6"/>
      <c r="AA1371" s="6"/>
      <c r="AB1371" s="6"/>
      <c r="AC1371" s="6"/>
      <c r="AD1371" s="6"/>
      <c r="AE1371" s="6"/>
      <c r="AF1371" s="6"/>
      <c r="AG1371" s="6"/>
    </row>
    <row r="1372" ht="14.25" customHeight="1">
      <c r="A1372" s="6"/>
      <c r="B1372" s="6"/>
      <c r="C1372" s="6">
        <v>1365.0</v>
      </c>
      <c r="D1372" s="6"/>
      <c r="E1372" s="6">
        <v>7815064.197086199</v>
      </c>
      <c r="F1372" s="6">
        <v>475.53852043007475</v>
      </c>
      <c r="G1372" s="6">
        <v>6.338330371360652</v>
      </c>
      <c r="H1372" s="6">
        <v>7668882.629850437</v>
      </c>
      <c r="I1372" s="6">
        <v>469.8019469098066</v>
      </c>
      <c r="J1372" s="6">
        <v>4.5521632650014805</v>
      </c>
      <c r="K1372" s="6"/>
      <c r="L1372" s="6"/>
      <c r="M1372" s="6"/>
      <c r="N1372" s="6">
        <f t="shared" ref="N1372:P1372" si="1375">IF(LEN($C1372)&gt;0,H1372-E1372,"")</f>
        <v>-146181.5672</v>
      </c>
      <c r="O1372" s="6">
        <f t="shared" si="1375"/>
        <v>-5.73657352</v>
      </c>
      <c r="P1372" s="6">
        <f t="shared" si="1375"/>
        <v>-1.786167106</v>
      </c>
      <c r="Q1372" s="6"/>
      <c r="R1372" s="6"/>
      <c r="S1372" s="6"/>
      <c r="T1372" s="6"/>
      <c r="U1372" s="6"/>
      <c r="V1372" s="6"/>
      <c r="W1372" s="6"/>
      <c r="X1372" s="6"/>
      <c r="Y1372" s="6"/>
      <c r="Z1372" s="6"/>
      <c r="AA1372" s="6"/>
      <c r="AB1372" s="6"/>
      <c r="AC1372" s="6"/>
      <c r="AD1372" s="6"/>
      <c r="AE1372" s="6"/>
      <c r="AF1372" s="6"/>
      <c r="AG1372" s="6"/>
    </row>
    <row r="1373" ht="14.25" customHeight="1">
      <c r="A1373" s="6"/>
      <c r="B1373" s="6"/>
      <c r="C1373" s="6">
        <v>1366.0</v>
      </c>
      <c r="D1373" s="6"/>
      <c r="E1373" s="6">
        <v>7351127.40532359</v>
      </c>
      <c r="F1373" s="6">
        <v>469.5958927715741</v>
      </c>
      <c r="G1373" s="6">
        <v>5.712722467070993</v>
      </c>
      <c r="H1373" s="6">
        <v>7232811.016453862</v>
      </c>
      <c r="I1373" s="6">
        <v>465.7128189940395</v>
      </c>
      <c r="J1373" s="6">
        <v>4.0593601622189714</v>
      </c>
      <c r="K1373" s="6"/>
      <c r="L1373" s="6"/>
      <c r="M1373" s="6"/>
      <c r="N1373" s="6">
        <f t="shared" ref="N1373:P1373" si="1376">IF(LEN($C1373)&gt;0,H1373-E1373,"")</f>
        <v>-118316.3889</v>
      </c>
      <c r="O1373" s="6">
        <f t="shared" si="1376"/>
        <v>-3.883073778</v>
      </c>
      <c r="P1373" s="6">
        <f t="shared" si="1376"/>
        <v>-1.653362305</v>
      </c>
      <c r="Q1373" s="6"/>
      <c r="R1373" s="6"/>
      <c r="S1373" s="6"/>
      <c r="T1373" s="6"/>
      <c r="U1373" s="6"/>
      <c r="V1373" s="6"/>
      <c r="W1373" s="6"/>
      <c r="X1373" s="6"/>
      <c r="Y1373" s="6"/>
      <c r="Z1373" s="6"/>
      <c r="AA1373" s="6"/>
      <c r="AB1373" s="6"/>
      <c r="AC1373" s="6"/>
      <c r="AD1373" s="6"/>
      <c r="AE1373" s="6"/>
      <c r="AF1373" s="6"/>
      <c r="AG1373" s="6"/>
    </row>
    <row r="1374" ht="14.25" customHeight="1">
      <c r="A1374" s="6"/>
      <c r="B1374" s="6"/>
      <c r="C1374" s="6">
        <v>1367.0</v>
      </c>
      <c r="D1374" s="6"/>
      <c r="E1374" s="6">
        <v>7502072.101605212</v>
      </c>
      <c r="F1374" s="6">
        <v>468.9472900378528</v>
      </c>
      <c r="G1374" s="6">
        <v>5.105847298332397</v>
      </c>
      <c r="H1374" s="6">
        <v>7331404.804066541</v>
      </c>
      <c r="I1374" s="6">
        <v>462.28503006989547</v>
      </c>
      <c r="J1374" s="6">
        <v>2.990384273480703</v>
      </c>
      <c r="K1374" s="6"/>
      <c r="L1374" s="6"/>
      <c r="M1374" s="6"/>
      <c r="N1374" s="6">
        <f t="shared" ref="N1374:P1374" si="1377">IF(LEN($C1374)&gt;0,H1374-E1374,"")</f>
        <v>-170667.2975</v>
      </c>
      <c r="O1374" s="6">
        <f t="shared" si="1377"/>
        <v>-6.662259968</v>
      </c>
      <c r="P1374" s="6">
        <f t="shared" si="1377"/>
        <v>-2.115463025</v>
      </c>
      <c r="Q1374" s="6"/>
      <c r="R1374" s="6"/>
      <c r="S1374" s="6"/>
      <c r="T1374" s="6"/>
      <c r="U1374" s="6"/>
      <c r="V1374" s="6"/>
      <c r="W1374" s="6"/>
      <c r="X1374" s="6"/>
      <c r="Y1374" s="6"/>
      <c r="Z1374" s="6"/>
      <c r="AA1374" s="6"/>
      <c r="AB1374" s="6"/>
      <c r="AC1374" s="6"/>
      <c r="AD1374" s="6"/>
      <c r="AE1374" s="6"/>
      <c r="AF1374" s="6"/>
      <c r="AG1374" s="6"/>
    </row>
    <row r="1375" ht="14.25" customHeight="1">
      <c r="A1375" s="6"/>
      <c r="B1375" s="6"/>
      <c r="C1375" s="6">
        <v>1368.0</v>
      </c>
      <c r="D1375" s="6"/>
      <c r="E1375" s="6">
        <v>6412376.055579643</v>
      </c>
      <c r="F1375" s="6">
        <v>470.64470243322125</v>
      </c>
      <c r="G1375" s="6">
        <v>6.897796145567984</v>
      </c>
      <c r="H1375" s="6">
        <v>6328981.287373536</v>
      </c>
      <c r="I1375" s="6">
        <v>467.33194168588443</v>
      </c>
      <c r="J1375" s="6">
        <v>5.676060889522315</v>
      </c>
      <c r="K1375" s="6"/>
      <c r="L1375" s="6"/>
      <c r="M1375" s="6"/>
      <c r="N1375" s="6">
        <f t="shared" ref="N1375:P1375" si="1378">IF(LEN($C1375)&gt;0,H1375-E1375,"")</f>
        <v>-83394.76821</v>
      </c>
      <c r="O1375" s="6">
        <f t="shared" si="1378"/>
        <v>-3.312760747</v>
      </c>
      <c r="P1375" s="6">
        <f t="shared" si="1378"/>
        <v>-1.221735256</v>
      </c>
      <c r="Q1375" s="6"/>
      <c r="R1375" s="6"/>
      <c r="S1375" s="6"/>
      <c r="T1375" s="6"/>
      <c r="U1375" s="6"/>
      <c r="V1375" s="6"/>
      <c r="W1375" s="6"/>
      <c r="X1375" s="6"/>
      <c r="Y1375" s="6"/>
      <c r="Z1375" s="6"/>
      <c r="AA1375" s="6"/>
      <c r="AB1375" s="6"/>
      <c r="AC1375" s="6"/>
      <c r="AD1375" s="6"/>
      <c r="AE1375" s="6"/>
      <c r="AF1375" s="6"/>
      <c r="AG1375" s="6"/>
    </row>
    <row r="1376" ht="14.25" customHeight="1">
      <c r="A1376" s="6"/>
      <c r="B1376" s="6"/>
      <c r="C1376" s="6">
        <v>1369.0</v>
      </c>
      <c r="D1376" s="6"/>
      <c r="E1376" s="6">
        <v>8054736.416242386</v>
      </c>
      <c r="F1376" s="6">
        <v>480.49751908455437</v>
      </c>
      <c r="G1376" s="6">
        <v>4.527254153790728</v>
      </c>
      <c r="H1376" s="6">
        <v>7934888.934313593</v>
      </c>
      <c r="I1376" s="6">
        <v>476.5115187039603</v>
      </c>
      <c r="J1376" s="6">
        <v>3.064940136903398</v>
      </c>
      <c r="K1376" s="6"/>
      <c r="L1376" s="6"/>
      <c r="M1376" s="6"/>
      <c r="N1376" s="6">
        <f t="shared" ref="N1376:P1376" si="1379">IF(LEN($C1376)&gt;0,H1376-E1376,"")</f>
        <v>-119847.4819</v>
      </c>
      <c r="O1376" s="6">
        <f t="shared" si="1379"/>
        <v>-3.986000381</v>
      </c>
      <c r="P1376" s="6">
        <f t="shared" si="1379"/>
        <v>-1.462314017</v>
      </c>
      <c r="Q1376" s="6"/>
      <c r="R1376" s="6"/>
      <c r="S1376" s="6"/>
      <c r="T1376" s="6"/>
      <c r="U1376" s="6"/>
      <c r="V1376" s="6"/>
      <c r="W1376" s="6"/>
      <c r="X1376" s="6"/>
      <c r="Y1376" s="6"/>
      <c r="Z1376" s="6"/>
      <c r="AA1376" s="6"/>
      <c r="AB1376" s="6"/>
      <c r="AC1376" s="6"/>
      <c r="AD1376" s="6"/>
      <c r="AE1376" s="6"/>
      <c r="AF1376" s="6"/>
      <c r="AG1376" s="6"/>
    </row>
    <row r="1377" ht="14.25" customHeight="1">
      <c r="A1377" s="6"/>
      <c r="B1377" s="6"/>
      <c r="C1377" s="6">
        <v>1370.0</v>
      </c>
      <c r="D1377" s="6"/>
      <c r="E1377" s="6">
        <v>6308814.453460544</v>
      </c>
      <c r="F1377" s="6">
        <v>461.3947111131987</v>
      </c>
      <c r="G1377" s="6">
        <v>4.73102259847423</v>
      </c>
      <c r="H1377" s="6">
        <v>6203979.41256934</v>
      </c>
      <c r="I1377" s="6">
        <v>456.88518743718686</v>
      </c>
      <c r="J1377" s="6">
        <v>3.6812075987157953</v>
      </c>
      <c r="K1377" s="6"/>
      <c r="L1377" s="6"/>
      <c r="M1377" s="6"/>
      <c r="N1377" s="6">
        <f t="shared" ref="N1377:P1377" si="1380">IF(LEN($C1377)&gt;0,H1377-E1377,"")</f>
        <v>-104835.0409</v>
      </c>
      <c r="O1377" s="6">
        <f t="shared" si="1380"/>
        <v>-4.509523676</v>
      </c>
      <c r="P1377" s="6">
        <f t="shared" si="1380"/>
        <v>-1.049815</v>
      </c>
      <c r="Q1377" s="6"/>
      <c r="R1377" s="6"/>
      <c r="S1377" s="6"/>
      <c r="T1377" s="6"/>
      <c r="U1377" s="6"/>
      <c r="V1377" s="6"/>
      <c r="W1377" s="6"/>
      <c r="X1377" s="6"/>
      <c r="Y1377" s="6"/>
      <c r="Z1377" s="6"/>
      <c r="AA1377" s="6"/>
      <c r="AB1377" s="6"/>
      <c r="AC1377" s="6"/>
      <c r="AD1377" s="6"/>
      <c r="AE1377" s="6"/>
      <c r="AF1377" s="6"/>
      <c r="AG1377" s="6"/>
    </row>
    <row r="1378" ht="14.25" customHeight="1">
      <c r="A1378" s="6"/>
      <c r="B1378" s="6"/>
      <c r="C1378" s="6">
        <v>1371.0</v>
      </c>
      <c r="D1378" s="6"/>
      <c r="E1378" s="6">
        <v>6920339.703495842</v>
      </c>
      <c r="F1378" s="6">
        <v>507.91155855635736</v>
      </c>
      <c r="G1378" s="6">
        <v>6.566687662728712</v>
      </c>
      <c r="H1378" s="6">
        <v>6736125.53111561</v>
      </c>
      <c r="I1378" s="6">
        <v>498.1289001449328</v>
      </c>
      <c r="J1378" s="6">
        <v>4.92062124050131</v>
      </c>
      <c r="K1378" s="6"/>
      <c r="L1378" s="6"/>
      <c r="M1378" s="6"/>
      <c r="N1378" s="6">
        <f t="shared" ref="N1378:P1378" si="1381">IF(LEN($C1378)&gt;0,H1378-E1378,"")</f>
        <v>-184214.1724</v>
      </c>
      <c r="O1378" s="6">
        <f t="shared" si="1381"/>
        <v>-9.782658411</v>
      </c>
      <c r="P1378" s="6">
        <f t="shared" si="1381"/>
        <v>-1.646066422</v>
      </c>
      <c r="Q1378" s="6"/>
      <c r="R1378" s="6"/>
      <c r="S1378" s="6"/>
      <c r="T1378" s="6"/>
      <c r="U1378" s="6"/>
      <c r="V1378" s="6"/>
      <c r="W1378" s="6"/>
      <c r="X1378" s="6"/>
      <c r="Y1378" s="6"/>
      <c r="Z1378" s="6"/>
      <c r="AA1378" s="6"/>
      <c r="AB1378" s="6"/>
      <c r="AC1378" s="6"/>
      <c r="AD1378" s="6"/>
      <c r="AE1378" s="6"/>
      <c r="AF1378" s="6"/>
      <c r="AG1378" s="6"/>
    </row>
    <row r="1379" ht="14.25" customHeight="1">
      <c r="A1379" s="6"/>
      <c r="B1379" s="6"/>
      <c r="C1379" s="6">
        <v>1372.0</v>
      </c>
      <c r="D1379" s="6"/>
      <c r="E1379" s="6">
        <v>5791897.266054496</v>
      </c>
      <c r="F1379" s="6">
        <v>436.24368958766854</v>
      </c>
      <c r="G1379" s="6">
        <v>5.045538263269036</v>
      </c>
      <c r="H1379" s="6">
        <v>5768809.211944304</v>
      </c>
      <c r="I1379" s="6">
        <v>435.5091215592375</v>
      </c>
      <c r="J1379" s="6">
        <v>4.553733268799825</v>
      </c>
      <c r="K1379" s="6"/>
      <c r="L1379" s="6"/>
      <c r="M1379" s="6"/>
      <c r="N1379" s="6">
        <f t="shared" ref="N1379:P1379" si="1382">IF(LEN($C1379)&gt;0,H1379-E1379,"")</f>
        <v>-23088.05411</v>
      </c>
      <c r="O1379" s="6">
        <f t="shared" si="1382"/>
        <v>-0.7345680284</v>
      </c>
      <c r="P1379" s="6">
        <f t="shared" si="1382"/>
        <v>-0.4918049945</v>
      </c>
      <c r="Q1379" s="6"/>
      <c r="R1379" s="6"/>
      <c r="S1379" s="6"/>
      <c r="T1379" s="6"/>
      <c r="U1379" s="6"/>
      <c r="V1379" s="6"/>
      <c r="W1379" s="6"/>
      <c r="X1379" s="6"/>
      <c r="Y1379" s="6"/>
      <c r="Z1379" s="6"/>
      <c r="AA1379" s="6"/>
      <c r="AB1379" s="6"/>
      <c r="AC1379" s="6"/>
      <c r="AD1379" s="6"/>
      <c r="AE1379" s="6"/>
      <c r="AF1379" s="6"/>
      <c r="AG1379" s="6"/>
    </row>
    <row r="1380" ht="14.25" customHeight="1">
      <c r="A1380" s="6"/>
      <c r="B1380" s="6"/>
      <c r="C1380" s="6">
        <v>1373.0</v>
      </c>
      <c r="D1380" s="6"/>
      <c r="E1380" s="6">
        <v>5652186.3496429585</v>
      </c>
      <c r="F1380" s="6">
        <v>436.71826716928433</v>
      </c>
      <c r="G1380" s="6">
        <v>6.346323369875836</v>
      </c>
      <c r="H1380" s="6">
        <v>5583000.156886913</v>
      </c>
      <c r="I1380" s="6">
        <v>434.37192522591425</v>
      </c>
      <c r="J1380" s="6">
        <v>4.931505302619209</v>
      </c>
      <c r="K1380" s="6"/>
      <c r="L1380" s="6"/>
      <c r="M1380" s="6"/>
      <c r="N1380" s="6">
        <f t="shared" ref="N1380:P1380" si="1383">IF(LEN($C1380)&gt;0,H1380-E1380,"")</f>
        <v>-69186.19276</v>
      </c>
      <c r="O1380" s="6">
        <f t="shared" si="1383"/>
        <v>-2.346341943</v>
      </c>
      <c r="P1380" s="6">
        <f t="shared" si="1383"/>
        <v>-1.414818067</v>
      </c>
      <c r="Q1380" s="6"/>
      <c r="R1380" s="6"/>
      <c r="S1380" s="6"/>
      <c r="T1380" s="6"/>
      <c r="U1380" s="6"/>
      <c r="V1380" s="6"/>
      <c r="W1380" s="6"/>
      <c r="X1380" s="6"/>
      <c r="Y1380" s="6"/>
      <c r="Z1380" s="6"/>
      <c r="AA1380" s="6"/>
      <c r="AB1380" s="6"/>
      <c r="AC1380" s="6"/>
      <c r="AD1380" s="6"/>
      <c r="AE1380" s="6"/>
      <c r="AF1380" s="6"/>
      <c r="AG1380" s="6"/>
    </row>
    <row r="1381" ht="14.25" customHeight="1">
      <c r="A1381" s="6"/>
      <c r="B1381" s="6"/>
      <c r="C1381" s="6">
        <v>1374.0</v>
      </c>
      <c r="D1381" s="6"/>
      <c r="E1381" s="6">
        <v>9429391.020035977</v>
      </c>
      <c r="F1381" s="6">
        <v>453.98594586971956</v>
      </c>
      <c r="G1381" s="6">
        <v>3.842638801316534</v>
      </c>
      <c r="H1381" s="6">
        <v>9313975.803171556</v>
      </c>
      <c r="I1381" s="6">
        <v>450.3601640637424</v>
      </c>
      <c r="J1381" s="6">
        <v>2.8337702421913185</v>
      </c>
      <c r="K1381" s="6"/>
      <c r="L1381" s="6"/>
      <c r="M1381" s="6"/>
      <c r="N1381" s="6">
        <f t="shared" ref="N1381:P1381" si="1384">IF(LEN($C1381)&gt;0,H1381-E1381,"")</f>
        <v>-115415.2169</v>
      </c>
      <c r="O1381" s="6">
        <f t="shared" si="1384"/>
        <v>-3.625781806</v>
      </c>
      <c r="P1381" s="6">
        <f t="shared" si="1384"/>
        <v>-1.008868559</v>
      </c>
      <c r="Q1381" s="6"/>
      <c r="R1381" s="6"/>
      <c r="S1381" s="6"/>
      <c r="T1381" s="6"/>
      <c r="U1381" s="6"/>
      <c r="V1381" s="6"/>
      <c r="W1381" s="6"/>
      <c r="X1381" s="6"/>
      <c r="Y1381" s="6"/>
      <c r="Z1381" s="6"/>
      <c r="AA1381" s="6"/>
      <c r="AB1381" s="6"/>
      <c r="AC1381" s="6"/>
      <c r="AD1381" s="6"/>
      <c r="AE1381" s="6"/>
      <c r="AF1381" s="6"/>
      <c r="AG1381" s="6"/>
    </row>
    <row r="1382" ht="14.25" customHeight="1">
      <c r="A1382" s="6"/>
      <c r="B1382" s="6"/>
      <c r="C1382" s="6">
        <v>1375.0</v>
      </c>
      <c r="D1382" s="6"/>
      <c r="E1382" s="6">
        <v>6928182.489507404</v>
      </c>
      <c r="F1382" s="6">
        <v>480.5968498287353</v>
      </c>
      <c r="G1382" s="6">
        <v>4.290838302246675</v>
      </c>
      <c r="H1382" s="6">
        <v>6836420.5777689135</v>
      </c>
      <c r="I1382" s="6">
        <v>476.78019633208623</v>
      </c>
      <c r="J1382" s="6">
        <v>3.181037914854971</v>
      </c>
      <c r="K1382" s="6"/>
      <c r="L1382" s="6"/>
      <c r="M1382" s="6"/>
      <c r="N1382" s="6">
        <f t="shared" ref="N1382:P1382" si="1385">IF(LEN($C1382)&gt;0,H1382-E1382,"")</f>
        <v>-91761.91174</v>
      </c>
      <c r="O1382" s="6">
        <f t="shared" si="1385"/>
        <v>-3.816653497</v>
      </c>
      <c r="P1382" s="6">
        <f t="shared" si="1385"/>
        <v>-1.109800387</v>
      </c>
      <c r="Q1382" s="6"/>
      <c r="R1382" s="6"/>
      <c r="S1382" s="6"/>
      <c r="T1382" s="6"/>
      <c r="U1382" s="6"/>
      <c r="V1382" s="6"/>
      <c r="W1382" s="6"/>
      <c r="X1382" s="6"/>
      <c r="Y1382" s="6"/>
      <c r="Z1382" s="6"/>
      <c r="AA1382" s="6"/>
      <c r="AB1382" s="6"/>
      <c r="AC1382" s="6"/>
      <c r="AD1382" s="6"/>
      <c r="AE1382" s="6"/>
      <c r="AF1382" s="6"/>
      <c r="AG1382" s="6"/>
    </row>
    <row r="1383" ht="14.25" customHeight="1">
      <c r="A1383" s="6"/>
      <c r="B1383" s="6"/>
      <c r="C1383" s="6">
        <v>1376.0</v>
      </c>
      <c r="D1383" s="6"/>
      <c r="E1383" s="6">
        <v>6283754.6041710405</v>
      </c>
      <c r="F1383" s="6">
        <v>468.6600638230656</v>
      </c>
      <c r="G1383" s="6">
        <v>5.102377599047632</v>
      </c>
      <c r="H1383" s="6">
        <v>6208175.675301553</v>
      </c>
      <c r="I1383" s="6">
        <v>466.1642787121868</v>
      </c>
      <c r="J1383" s="6">
        <v>4.205928766309377</v>
      </c>
      <c r="K1383" s="6"/>
      <c r="L1383" s="6"/>
      <c r="M1383" s="6"/>
      <c r="N1383" s="6">
        <f t="shared" ref="N1383:P1383" si="1386">IF(LEN($C1383)&gt;0,H1383-E1383,"")</f>
        <v>-75578.92887</v>
      </c>
      <c r="O1383" s="6">
        <f t="shared" si="1386"/>
        <v>-2.495785111</v>
      </c>
      <c r="P1383" s="6">
        <f t="shared" si="1386"/>
        <v>-0.8964488327</v>
      </c>
      <c r="Q1383" s="6"/>
      <c r="R1383" s="6"/>
      <c r="S1383" s="6"/>
      <c r="T1383" s="6"/>
      <c r="U1383" s="6"/>
      <c r="V1383" s="6"/>
      <c r="W1383" s="6"/>
      <c r="X1383" s="6"/>
      <c r="Y1383" s="6"/>
      <c r="Z1383" s="6"/>
      <c r="AA1383" s="6"/>
      <c r="AB1383" s="6"/>
      <c r="AC1383" s="6"/>
      <c r="AD1383" s="6"/>
      <c r="AE1383" s="6"/>
      <c r="AF1383" s="6"/>
      <c r="AG1383" s="6"/>
    </row>
    <row r="1384" ht="14.25" customHeight="1">
      <c r="A1384" s="6"/>
      <c r="B1384" s="6"/>
      <c r="C1384" s="6">
        <v>1377.0</v>
      </c>
      <c r="D1384" s="6"/>
      <c r="E1384" s="6">
        <v>8225409.180246985</v>
      </c>
      <c r="F1384" s="6">
        <v>470.5459519028609</v>
      </c>
      <c r="G1384" s="6">
        <v>4.938513811481249</v>
      </c>
      <c r="H1384" s="6">
        <v>8140089.557424033</v>
      </c>
      <c r="I1384" s="6">
        <v>467.42800611524433</v>
      </c>
      <c r="J1384" s="6">
        <v>3.622316245818565</v>
      </c>
      <c r="K1384" s="6"/>
      <c r="L1384" s="6"/>
      <c r="M1384" s="6"/>
      <c r="N1384" s="6">
        <f t="shared" ref="N1384:P1384" si="1387">IF(LEN($C1384)&gt;0,H1384-E1384,"")</f>
        <v>-85319.62282</v>
      </c>
      <c r="O1384" s="6">
        <f t="shared" si="1387"/>
        <v>-3.117945788</v>
      </c>
      <c r="P1384" s="6">
        <f t="shared" si="1387"/>
        <v>-1.316197566</v>
      </c>
      <c r="Q1384" s="6"/>
      <c r="R1384" s="6"/>
      <c r="S1384" s="6"/>
      <c r="T1384" s="6"/>
      <c r="U1384" s="6"/>
      <c r="V1384" s="6"/>
      <c r="W1384" s="6"/>
      <c r="X1384" s="6"/>
      <c r="Y1384" s="6"/>
      <c r="Z1384" s="6"/>
      <c r="AA1384" s="6"/>
      <c r="AB1384" s="6"/>
      <c r="AC1384" s="6"/>
      <c r="AD1384" s="6"/>
      <c r="AE1384" s="6"/>
      <c r="AF1384" s="6"/>
      <c r="AG1384" s="6"/>
    </row>
    <row r="1385" ht="14.25" customHeight="1">
      <c r="A1385" s="6"/>
      <c r="B1385" s="6"/>
      <c r="C1385" s="6">
        <v>1378.0</v>
      </c>
      <c r="D1385" s="6"/>
      <c r="E1385" s="6">
        <v>5382459.5755460765</v>
      </c>
      <c r="F1385" s="6">
        <v>484.5437571322075</v>
      </c>
      <c r="G1385" s="6">
        <v>7.6647388711932525</v>
      </c>
      <c r="H1385" s="6">
        <v>5253488.091148063</v>
      </c>
      <c r="I1385" s="6">
        <v>479.9229860641557</v>
      </c>
      <c r="J1385" s="6">
        <v>5.742128381680836</v>
      </c>
      <c r="K1385" s="6"/>
      <c r="L1385" s="6"/>
      <c r="M1385" s="6"/>
      <c r="N1385" s="6">
        <f t="shared" ref="N1385:P1385" si="1388">IF(LEN($C1385)&gt;0,H1385-E1385,"")</f>
        <v>-128971.4844</v>
      </c>
      <c r="O1385" s="6">
        <f t="shared" si="1388"/>
        <v>-4.620771068</v>
      </c>
      <c r="P1385" s="6">
        <f t="shared" si="1388"/>
        <v>-1.92261049</v>
      </c>
      <c r="Q1385" s="6"/>
      <c r="R1385" s="6"/>
      <c r="S1385" s="6"/>
      <c r="T1385" s="6"/>
      <c r="U1385" s="6"/>
      <c r="V1385" s="6"/>
      <c r="W1385" s="6"/>
      <c r="X1385" s="6"/>
      <c r="Y1385" s="6"/>
      <c r="Z1385" s="6"/>
      <c r="AA1385" s="6"/>
      <c r="AB1385" s="6"/>
      <c r="AC1385" s="6"/>
      <c r="AD1385" s="6"/>
      <c r="AE1385" s="6"/>
      <c r="AF1385" s="6"/>
      <c r="AG1385" s="6"/>
    </row>
    <row r="1386" ht="14.25" customHeight="1">
      <c r="A1386" s="6"/>
      <c r="B1386" s="6"/>
      <c r="C1386" s="6">
        <v>1379.0</v>
      </c>
      <c r="D1386" s="6"/>
      <c r="E1386" s="6">
        <v>8832584.03792935</v>
      </c>
      <c r="F1386" s="6">
        <v>445.5634009159859</v>
      </c>
      <c r="G1386" s="6">
        <v>5.776567321052381</v>
      </c>
      <c r="H1386" s="6">
        <v>8727159.279162154</v>
      </c>
      <c r="I1386" s="6">
        <v>441.22408057123556</v>
      </c>
      <c r="J1386" s="6">
        <v>4.214554301213095</v>
      </c>
      <c r="K1386" s="6"/>
      <c r="L1386" s="6"/>
      <c r="M1386" s="6"/>
      <c r="N1386" s="6">
        <f t="shared" ref="N1386:P1386" si="1389">IF(LEN($C1386)&gt;0,H1386-E1386,"")</f>
        <v>-105424.7588</v>
      </c>
      <c r="O1386" s="6">
        <f t="shared" si="1389"/>
        <v>-4.339320345</v>
      </c>
      <c r="P1386" s="6">
        <f t="shared" si="1389"/>
        <v>-1.56201302</v>
      </c>
      <c r="Q1386" s="6"/>
      <c r="R1386" s="6"/>
      <c r="S1386" s="6"/>
      <c r="T1386" s="6"/>
      <c r="U1386" s="6"/>
      <c r="V1386" s="6"/>
      <c r="W1386" s="6"/>
      <c r="X1386" s="6"/>
      <c r="Y1386" s="6"/>
      <c r="Z1386" s="6"/>
      <c r="AA1386" s="6"/>
      <c r="AB1386" s="6"/>
      <c r="AC1386" s="6"/>
      <c r="AD1386" s="6"/>
      <c r="AE1386" s="6"/>
      <c r="AF1386" s="6"/>
      <c r="AG1386" s="6"/>
    </row>
    <row r="1387" ht="14.25" customHeight="1">
      <c r="A1387" s="6"/>
      <c r="B1387" s="6"/>
      <c r="C1387" s="6">
        <v>1380.0</v>
      </c>
      <c r="D1387" s="6"/>
      <c r="E1387" s="6">
        <v>7520356.87927369</v>
      </c>
      <c r="F1387" s="6">
        <v>445.91506079172143</v>
      </c>
      <c r="G1387" s="6">
        <v>4.211331604700537</v>
      </c>
      <c r="H1387" s="6">
        <v>7422952.88728568</v>
      </c>
      <c r="I1387" s="6">
        <v>443.8392498285065</v>
      </c>
      <c r="J1387" s="6">
        <v>3.254516549101843</v>
      </c>
      <c r="K1387" s="6"/>
      <c r="L1387" s="6"/>
      <c r="M1387" s="6"/>
      <c r="N1387" s="6">
        <f t="shared" ref="N1387:P1387" si="1390">IF(LEN($C1387)&gt;0,H1387-E1387,"")</f>
        <v>-97403.99199</v>
      </c>
      <c r="O1387" s="6">
        <f t="shared" si="1390"/>
        <v>-2.075810963</v>
      </c>
      <c r="P1387" s="6">
        <f t="shared" si="1390"/>
        <v>-0.9568150556</v>
      </c>
      <c r="Q1387" s="6"/>
      <c r="R1387" s="6"/>
      <c r="S1387" s="6"/>
      <c r="T1387" s="6"/>
      <c r="U1387" s="6"/>
      <c r="V1387" s="6"/>
      <c r="W1387" s="6"/>
      <c r="X1387" s="6"/>
      <c r="Y1387" s="6"/>
      <c r="Z1387" s="6"/>
      <c r="AA1387" s="6"/>
      <c r="AB1387" s="6"/>
      <c r="AC1387" s="6"/>
      <c r="AD1387" s="6"/>
      <c r="AE1387" s="6"/>
      <c r="AF1387" s="6"/>
      <c r="AG1387" s="6"/>
    </row>
    <row r="1388" ht="14.25" customHeight="1">
      <c r="A1388" s="6"/>
      <c r="B1388" s="6"/>
      <c r="C1388" s="6">
        <v>1381.0</v>
      </c>
      <c r="D1388" s="6"/>
      <c r="E1388" s="6">
        <v>8478231.951476157</v>
      </c>
      <c r="F1388" s="6">
        <v>447.64290300760854</v>
      </c>
      <c r="G1388" s="6">
        <v>5.615457768470802</v>
      </c>
      <c r="H1388" s="6">
        <v>8268407.351186695</v>
      </c>
      <c r="I1388" s="6">
        <v>440.4993260730195</v>
      </c>
      <c r="J1388" s="6">
        <v>3.4219573681788167</v>
      </c>
      <c r="K1388" s="6"/>
      <c r="L1388" s="6"/>
      <c r="M1388" s="6"/>
      <c r="N1388" s="6">
        <f t="shared" ref="N1388:P1388" si="1391">IF(LEN($C1388)&gt;0,H1388-E1388,"")</f>
        <v>-209824.6003</v>
      </c>
      <c r="O1388" s="6">
        <f t="shared" si="1391"/>
        <v>-7.143576935</v>
      </c>
      <c r="P1388" s="6">
        <f t="shared" si="1391"/>
        <v>-2.1935004</v>
      </c>
      <c r="Q1388" s="6"/>
      <c r="R1388" s="6"/>
      <c r="S1388" s="6"/>
      <c r="T1388" s="6"/>
      <c r="U1388" s="6"/>
      <c r="V1388" s="6"/>
      <c r="W1388" s="6"/>
      <c r="X1388" s="6"/>
      <c r="Y1388" s="6"/>
      <c r="Z1388" s="6"/>
      <c r="AA1388" s="6"/>
      <c r="AB1388" s="6"/>
      <c r="AC1388" s="6"/>
      <c r="AD1388" s="6"/>
      <c r="AE1388" s="6"/>
      <c r="AF1388" s="6"/>
      <c r="AG1388" s="6"/>
    </row>
    <row r="1389" ht="14.25" customHeight="1">
      <c r="A1389" s="6"/>
      <c r="B1389" s="6"/>
      <c r="C1389" s="6">
        <v>1382.0</v>
      </c>
      <c r="D1389" s="6"/>
      <c r="E1389" s="6">
        <v>7698226.046375366</v>
      </c>
      <c r="F1389" s="6">
        <v>432.53928719752867</v>
      </c>
      <c r="G1389" s="6">
        <v>3.7423379453261942</v>
      </c>
      <c r="H1389" s="6">
        <v>7622718.287315387</v>
      </c>
      <c r="I1389" s="6">
        <v>429.6489767129864</v>
      </c>
      <c r="J1389" s="6">
        <v>2.5262263229163797</v>
      </c>
      <c r="K1389" s="6"/>
      <c r="L1389" s="6"/>
      <c r="M1389" s="6"/>
      <c r="N1389" s="6">
        <f t="shared" ref="N1389:P1389" si="1392">IF(LEN($C1389)&gt;0,H1389-E1389,"")</f>
        <v>-75507.75906</v>
      </c>
      <c r="O1389" s="6">
        <f t="shared" si="1392"/>
        <v>-2.890310485</v>
      </c>
      <c r="P1389" s="6">
        <f t="shared" si="1392"/>
        <v>-1.216111622</v>
      </c>
      <c r="Q1389" s="6"/>
      <c r="R1389" s="6"/>
      <c r="S1389" s="6"/>
      <c r="T1389" s="6"/>
      <c r="U1389" s="6"/>
      <c r="V1389" s="6"/>
      <c r="W1389" s="6"/>
      <c r="X1389" s="6"/>
      <c r="Y1389" s="6"/>
      <c r="Z1389" s="6"/>
      <c r="AA1389" s="6"/>
      <c r="AB1389" s="6"/>
      <c r="AC1389" s="6"/>
      <c r="AD1389" s="6"/>
      <c r="AE1389" s="6"/>
      <c r="AF1389" s="6"/>
      <c r="AG1389" s="6"/>
    </row>
    <row r="1390" ht="14.25" customHeight="1">
      <c r="A1390" s="6"/>
      <c r="B1390" s="6"/>
      <c r="C1390" s="6">
        <v>1383.0</v>
      </c>
      <c r="D1390" s="6"/>
      <c r="E1390" s="6">
        <v>7584219.100773496</v>
      </c>
      <c r="F1390" s="6">
        <v>484.59276765132984</v>
      </c>
      <c r="G1390" s="6">
        <v>5.517123561159375</v>
      </c>
      <c r="H1390" s="6">
        <v>7402724.013771818</v>
      </c>
      <c r="I1390" s="6">
        <v>476.3059062331992</v>
      </c>
      <c r="J1390" s="6">
        <v>3.6682837320922985</v>
      </c>
      <c r="K1390" s="6"/>
      <c r="L1390" s="6"/>
      <c r="M1390" s="6"/>
      <c r="N1390" s="6">
        <f t="shared" ref="N1390:P1390" si="1393">IF(LEN($C1390)&gt;0,H1390-E1390,"")</f>
        <v>-181495.087</v>
      </c>
      <c r="O1390" s="6">
        <f t="shared" si="1393"/>
        <v>-8.286861418</v>
      </c>
      <c r="P1390" s="6">
        <f t="shared" si="1393"/>
        <v>-1.848839829</v>
      </c>
      <c r="Q1390" s="6"/>
      <c r="R1390" s="6"/>
      <c r="S1390" s="6"/>
      <c r="T1390" s="6"/>
      <c r="U1390" s="6"/>
      <c r="V1390" s="6"/>
      <c r="W1390" s="6"/>
      <c r="X1390" s="6"/>
      <c r="Y1390" s="6"/>
      <c r="Z1390" s="6"/>
      <c r="AA1390" s="6"/>
      <c r="AB1390" s="6"/>
      <c r="AC1390" s="6"/>
      <c r="AD1390" s="6"/>
      <c r="AE1390" s="6"/>
      <c r="AF1390" s="6"/>
      <c r="AG1390" s="6"/>
    </row>
    <row r="1391" ht="14.25" customHeight="1">
      <c r="A1391" s="6"/>
      <c r="B1391" s="6"/>
      <c r="C1391" s="6">
        <v>1384.0</v>
      </c>
      <c r="D1391" s="6"/>
      <c r="E1391" s="6">
        <v>8116762.662841814</v>
      </c>
      <c r="F1391" s="6">
        <v>484.58540663290887</v>
      </c>
      <c r="G1391" s="6">
        <v>3.6331153763171042</v>
      </c>
      <c r="H1391" s="6">
        <v>8042459.453392429</v>
      </c>
      <c r="I1391" s="6">
        <v>481.74783135116695</v>
      </c>
      <c r="J1391" s="6">
        <v>2.819561421273042</v>
      </c>
      <c r="K1391" s="6"/>
      <c r="L1391" s="6"/>
      <c r="M1391" s="6"/>
      <c r="N1391" s="6">
        <f t="shared" ref="N1391:P1391" si="1394">IF(LEN($C1391)&gt;0,H1391-E1391,"")</f>
        <v>-74303.20945</v>
      </c>
      <c r="O1391" s="6">
        <f t="shared" si="1394"/>
        <v>-2.837575282</v>
      </c>
      <c r="P1391" s="6">
        <f t="shared" si="1394"/>
        <v>-0.813553955</v>
      </c>
      <c r="Q1391" s="6"/>
      <c r="R1391" s="6"/>
      <c r="S1391" s="6"/>
      <c r="T1391" s="6"/>
      <c r="U1391" s="6"/>
      <c r="V1391" s="6"/>
      <c r="W1391" s="6"/>
      <c r="X1391" s="6"/>
      <c r="Y1391" s="6"/>
      <c r="Z1391" s="6"/>
      <c r="AA1391" s="6"/>
      <c r="AB1391" s="6"/>
      <c r="AC1391" s="6"/>
      <c r="AD1391" s="6"/>
      <c r="AE1391" s="6"/>
      <c r="AF1391" s="6"/>
      <c r="AG1391" s="6"/>
    </row>
    <row r="1392" ht="14.25" customHeight="1">
      <c r="A1392" s="6"/>
      <c r="B1392" s="6"/>
      <c r="C1392" s="6">
        <v>1385.0</v>
      </c>
      <c r="D1392" s="6"/>
      <c r="E1392" s="6">
        <v>5389269.833502625</v>
      </c>
      <c r="F1392" s="6">
        <v>483.9795736201924</v>
      </c>
      <c r="G1392" s="6">
        <v>4.588562073405598</v>
      </c>
      <c r="H1392" s="6">
        <v>5296186.439812141</v>
      </c>
      <c r="I1392" s="6">
        <v>480.57583447417977</v>
      </c>
      <c r="J1392" s="6">
        <v>3.2604388814014396</v>
      </c>
      <c r="K1392" s="6"/>
      <c r="L1392" s="6"/>
      <c r="M1392" s="6"/>
      <c r="N1392" s="6">
        <f t="shared" ref="N1392:P1392" si="1395">IF(LEN($C1392)&gt;0,H1392-E1392,"")</f>
        <v>-93083.39369</v>
      </c>
      <c r="O1392" s="6">
        <f t="shared" si="1395"/>
        <v>-3.403739146</v>
      </c>
      <c r="P1392" s="6">
        <f t="shared" si="1395"/>
        <v>-1.328123192</v>
      </c>
      <c r="Q1392" s="6"/>
      <c r="R1392" s="6"/>
      <c r="S1392" s="6"/>
      <c r="T1392" s="6"/>
      <c r="U1392" s="6"/>
      <c r="V1392" s="6"/>
      <c r="W1392" s="6"/>
      <c r="X1392" s="6"/>
      <c r="Y1392" s="6"/>
      <c r="Z1392" s="6"/>
      <c r="AA1392" s="6"/>
      <c r="AB1392" s="6"/>
      <c r="AC1392" s="6"/>
      <c r="AD1392" s="6"/>
      <c r="AE1392" s="6"/>
      <c r="AF1392" s="6"/>
      <c r="AG1392" s="6"/>
    </row>
    <row r="1393" ht="14.25" customHeight="1">
      <c r="A1393" s="6"/>
      <c r="B1393" s="6"/>
      <c r="C1393" s="6">
        <v>1386.0</v>
      </c>
      <c r="D1393" s="6"/>
      <c r="E1393" s="6">
        <v>8910913.01387315</v>
      </c>
      <c r="F1393" s="6">
        <v>504.16390571935824</v>
      </c>
      <c r="G1393" s="6">
        <v>4.7546760377132085</v>
      </c>
      <c r="H1393" s="6">
        <v>8816200.453004153</v>
      </c>
      <c r="I1393" s="6">
        <v>500.3074135140034</v>
      </c>
      <c r="J1393" s="6">
        <v>3.714786766063363</v>
      </c>
      <c r="K1393" s="6"/>
      <c r="L1393" s="6"/>
      <c r="M1393" s="6"/>
      <c r="N1393" s="6">
        <f t="shared" ref="N1393:P1393" si="1396">IF(LEN($C1393)&gt;0,H1393-E1393,"")</f>
        <v>-94712.56087</v>
      </c>
      <c r="O1393" s="6">
        <f t="shared" si="1396"/>
        <v>-3.856492205</v>
      </c>
      <c r="P1393" s="6">
        <f t="shared" si="1396"/>
        <v>-1.039889272</v>
      </c>
      <c r="Q1393" s="6"/>
      <c r="R1393" s="6"/>
      <c r="S1393" s="6"/>
      <c r="T1393" s="6"/>
      <c r="U1393" s="6"/>
      <c r="V1393" s="6"/>
      <c r="W1393" s="6"/>
      <c r="X1393" s="6"/>
      <c r="Y1393" s="6"/>
      <c r="Z1393" s="6"/>
      <c r="AA1393" s="6"/>
      <c r="AB1393" s="6"/>
      <c r="AC1393" s="6"/>
      <c r="AD1393" s="6"/>
      <c r="AE1393" s="6"/>
      <c r="AF1393" s="6"/>
      <c r="AG1393" s="6"/>
    </row>
    <row r="1394" ht="14.25" customHeight="1">
      <c r="A1394" s="6"/>
      <c r="B1394" s="6"/>
      <c r="C1394" s="6">
        <v>1387.0</v>
      </c>
      <c r="D1394" s="6"/>
      <c r="E1394" s="6">
        <v>6944645.913619149</v>
      </c>
      <c r="F1394" s="6">
        <v>435.6178730011493</v>
      </c>
      <c r="G1394" s="6">
        <v>4.270506315446945</v>
      </c>
      <c r="H1394" s="6">
        <v>6855655.488013688</v>
      </c>
      <c r="I1394" s="6">
        <v>433.21739556780346</v>
      </c>
      <c r="J1394" s="6">
        <v>3.1934906869203994</v>
      </c>
      <c r="K1394" s="6"/>
      <c r="L1394" s="6"/>
      <c r="M1394" s="6"/>
      <c r="N1394" s="6">
        <f t="shared" ref="N1394:P1394" si="1397">IF(LEN($C1394)&gt;0,H1394-E1394,"")</f>
        <v>-88990.42561</v>
      </c>
      <c r="O1394" s="6">
        <f t="shared" si="1397"/>
        <v>-2.400477433</v>
      </c>
      <c r="P1394" s="6">
        <f t="shared" si="1397"/>
        <v>-1.077015629</v>
      </c>
      <c r="Q1394" s="6"/>
      <c r="R1394" s="6"/>
      <c r="S1394" s="6"/>
      <c r="T1394" s="6"/>
      <c r="U1394" s="6"/>
      <c r="V1394" s="6"/>
      <c r="W1394" s="6"/>
      <c r="X1394" s="6"/>
      <c r="Y1394" s="6"/>
      <c r="Z1394" s="6"/>
      <c r="AA1394" s="6"/>
      <c r="AB1394" s="6"/>
      <c r="AC1394" s="6"/>
      <c r="AD1394" s="6"/>
      <c r="AE1394" s="6"/>
      <c r="AF1394" s="6"/>
      <c r="AG1394" s="6"/>
    </row>
    <row r="1395" ht="14.25" customHeight="1">
      <c r="A1395" s="6"/>
      <c r="B1395" s="6"/>
      <c r="C1395" s="6">
        <v>1388.0</v>
      </c>
      <c r="D1395" s="6"/>
      <c r="E1395" s="6">
        <v>7655236.20258129</v>
      </c>
      <c r="F1395" s="6">
        <v>509.4893830032605</v>
      </c>
      <c r="G1395" s="6">
        <v>5.217845983319108</v>
      </c>
      <c r="H1395" s="6">
        <v>7545621.7209349</v>
      </c>
      <c r="I1395" s="6">
        <v>502.47259342337094</v>
      </c>
      <c r="J1395" s="6">
        <v>3.909743242845722</v>
      </c>
      <c r="K1395" s="6"/>
      <c r="L1395" s="6"/>
      <c r="M1395" s="6"/>
      <c r="N1395" s="6">
        <f t="shared" ref="N1395:P1395" si="1398">IF(LEN($C1395)&gt;0,H1395-E1395,"")</f>
        <v>-109614.4816</v>
      </c>
      <c r="O1395" s="6">
        <f t="shared" si="1398"/>
        <v>-7.01678958</v>
      </c>
      <c r="P1395" s="6">
        <f t="shared" si="1398"/>
        <v>-1.30810274</v>
      </c>
      <c r="Q1395" s="6"/>
      <c r="R1395" s="6"/>
      <c r="S1395" s="6"/>
      <c r="T1395" s="6"/>
      <c r="U1395" s="6"/>
      <c r="V1395" s="6"/>
      <c r="W1395" s="6"/>
      <c r="X1395" s="6"/>
      <c r="Y1395" s="6"/>
      <c r="Z1395" s="6"/>
      <c r="AA1395" s="6"/>
      <c r="AB1395" s="6"/>
      <c r="AC1395" s="6"/>
      <c r="AD1395" s="6"/>
      <c r="AE1395" s="6"/>
      <c r="AF1395" s="6"/>
      <c r="AG1395" s="6"/>
    </row>
    <row r="1396" ht="14.25" customHeight="1">
      <c r="A1396" s="6"/>
      <c r="B1396" s="6"/>
      <c r="C1396" s="6">
        <v>1389.0</v>
      </c>
      <c r="D1396" s="6"/>
      <c r="E1396" s="6">
        <v>7978237.443532199</v>
      </c>
      <c r="F1396" s="6">
        <v>481.0394404858636</v>
      </c>
      <c r="G1396" s="6">
        <v>4.998830524535973</v>
      </c>
      <c r="H1396" s="6">
        <v>7863930.790680702</v>
      </c>
      <c r="I1396" s="6">
        <v>475.33396138585806</v>
      </c>
      <c r="J1396" s="6">
        <v>3.691517437031607</v>
      </c>
      <c r="K1396" s="6"/>
      <c r="L1396" s="6"/>
      <c r="M1396" s="6"/>
      <c r="N1396" s="6">
        <f t="shared" ref="N1396:P1396" si="1399">IF(LEN($C1396)&gt;0,H1396-E1396,"")</f>
        <v>-114306.6529</v>
      </c>
      <c r="O1396" s="6">
        <f t="shared" si="1399"/>
        <v>-5.7054791</v>
      </c>
      <c r="P1396" s="6">
        <f t="shared" si="1399"/>
        <v>-1.307313088</v>
      </c>
      <c r="Q1396" s="6"/>
      <c r="R1396" s="6"/>
      <c r="S1396" s="6"/>
      <c r="T1396" s="6"/>
      <c r="U1396" s="6"/>
      <c r="V1396" s="6"/>
      <c r="W1396" s="6"/>
      <c r="X1396" s="6"/>
      <c r="Y1396" s="6"/>
      <c r="Z1396" s="6"/>
      <c r="AA1396" s="6"/>
      <c r="AB1396" s="6"/>
      <c r="AC1396" s="6"/>
      <c r="AD1396" s="6"/>
      <c r="AE1396" s="6"/>
      <c r="AF1396" s="6"/>
      <c r="AG1396" s="6"/>
    </row>
    <row r="1397" ht="14.25" customHeight="1">
      <c r="A1397" s="6"/>
      <c r="B1397" s="6"/>
      <c r="C1397" s="6">
        <v>1390.0</v>
      </c>
      <c r="D1397" s="6"/>
      <c r="E1397" s="6">
        <v>6845291.607499324</v>
      </c>
      <c r="F1397" s="6">
        <v>436.2181103067944</v>
      </c>
      <c r="G1397" s="6">
        <v>5.361150367410962</v>
      </c>
      <c r="H1397" s="6">
        <v>6677037.640449187</v>
      </c>
      <c r="I1397" s="6">
        <v>431.5996656354852</v>
      </c>
      <c r="J1397" s="6">
        <v>3.3174683407916645</v>
      </c>
      <c r="K1397" s="6"/>
      <c r="L1397" s="6"/>
      <c r="M1397" s="6"/>
      <c r="N1397" s="6">
        <f t="shared" ref="N1397:P1397" si="1400">IF(LEN($C1397)&gt;0,H1397-E1397,"")</f>
        <v>-168253.9671</v>
      </c>
      <c r="O1397" s="6">
        <f t="shared" si="1400"/>
        <v>-4.618444671</v>
      </c>
      <c r="P1397" s="6">
        <f t="shared" si="1400"/>
        <v>-2.043682027</v>
      </c>
      <c r="Q1397" s="6"/>
      <c r="R1397" s="6"/>
      <c r="S1397" s="6"/>
      <c r="T1397" s="6"/>
      <c r="U1397" s="6"/>
      <c r="V1397" s="6"/>
      <c r="W1397" s="6"/>
      <c r="X1397" s="6"/>
      <c r="Y1397" s="6"/>
      <c r="Z1397" s="6"/>
      <c r="AA1397" s="6"/>
      <c r="AB1397" s="6"/>
      <c r="AC1397" s="6"/>
      <c r="AD1397" s="6"/>
      <c r="AE1397" s="6"/>
      <c r="AF1397" s="6"/>
      <c r="AG1397" s="6"/>
    </row>
    <row r="1398" ht="14.25" customHeight="1">
      <c r="A1398" s="6"/>
      <c r="B1398" s="6"/>
      <c r="C1398" s="6">
        <v>1391.0</v>
      </c>
      <c r="D1398" s="6"/>
      <c r="E1398" s="6">
        <v>9568869.448778626</v>
      </c>
      <c r="F1398" s="6">
        <v>495.34162300653514</v>
      </c>
      <c r="G1398" s="6">
        <v>5.379235950343629</v>
      </c>
      <c r="H1398" s="6">
        <v>9304124.58212831</v>
      </c>
      <c r="I1398" s="6">
        <v>486.34048957427865</v>
      </c>
      <c r="J1398" s="6">
        <v>3.4251564320782064</v>
      </c>
      <c r="K1398" s="6"/>
      <c r="L1398" s="6"/>
      <c r="M1398" s="6"/>
      <c r="N1398" s="6">
        <f t="shared" ref="N1398:P1398" si="1401">IF(LEN($C1398)&gt;0,H1398-E1398,"")</f>
        <v>-264744.8667</v>
      </c>
      <c r="O1398" s="6">
        <f t="shared" si="1401"/>
        <v>-9.001133432</v>
      </c>
      <c r="P1398" s="6">
        <f t="shared" si="1401"/>
        <v>-1.954079518</v>
      </c>
      <c r="Q1398" s="6"/>
      <c r="R1398" s="6"/>
      <c r="S1398" s="6"/>
      <c r="T1398" s="6"/>
      <c r="U1398" s="6"/>
      <c r="V1398" s="6"/>
      <c r="W1398" s="6"/>
      <c r="X1398" s="6"/>
      <c r="Y1398" s="6"/>
      <c r="Z1398" s="6"/>
      <c r="AA1398" s="6"/>
      <c r="AB1398" s="6"/>
      <c r="AC1398" s="6"/>
      <c r="AD1398" s="6"/>
      <c r="AE1398" s="6"/>
      <c r="AF1398" s="6"/>
      <c r="AG1398" s="6"/>
    </row>
    <row r="1399" ht="14.25" customHeight="1">
      <c r="A1399" s="6"/>
      <c r="B1399" s="6"/>
      <c r="C1399" s="6">
        <v>1392.0</v>
      </c>
      <c r="D1399" s="6"/>
      <c r="E1399" s="6">
        <v>1.0164414534448106E7</v>
      </c>
      <c r="F1399" s="6">
        <v>470.9691539606766</v>
      </c>
      <c r="G1399" s="6">
        <v>4.356128816920803</v>
      </c>
      <c r="H1399" s="6">
        <v>1.0031012687256021E7</v>
      </c>
      <c r="I1399" s="6">
        <v>465.9145033536261</v>
      </c>
      <c r="J1399" s="6">
        <v>2.7606579519023757</v>
      </c>
      <c r="K1399" s="6"/>
      <c r="L1399" s="6"/>
      <c r="M1399" s="6"/>
      <c r="N1399" s="6">
        <f t="shared" ref="N1399:P1399" si="1402">IF(LEN($C1399)&gt;0,H1399-E1399,"")</f>
        <v>-133401.8472</v>
      </c>
      <c r="O1399" s="6">
        <f t="shared" si="1402"/>
        <v>-5.054650607</v>
      </c>
      <c r="P1399" s="6">
        <f t="shared" si="1402"/>
        <v>-1.595470865</v>
      </c>
      <c r="Q1399" s="6"/>
      <c r="R1399" s="6"/>
      <c r="S1399" s="6"/>
      <c r="T1399" s="6"/>
      <c r="U1399" s="6"/>
      <c r="V1399" s="6"/>
      <c r="W1399" s="6"/>
      <c r="X1399" s="6"/>
      <c r="Y1399" s="6"/>
      <c r="Z1399" s="6"/>
      <c r="AA1399" s="6"/>
      <c r="AB1399" s="6"/>
      <c r="AC1399" s="6"/>
      <c r="AD1399" s="6"/>
      <c r="AE1399" s="6"/>
      <c r="AF1399" s="6"/>
      <c r="AG1399" s="6"/>
    </row>
    <row r="1400" ht="14.25" customHeight="1">
      <c r="A1400" s="6"/>
      <c r="B1400" s="6"/>
      <c r="C1400" s="6">
        <v>1393.0</v>
      </c>
      <c r="D1400" s="6"/>
      <c r="E1400" s="6">
        <v>5703945.322463461</v>
      </c>
      <c r="F1400" s="6">
        <v>458.0213894379668</v>
      </c>
      <c r="G1400" s="6">
        <v>5.847969124497327</v>
      </c>
      <c r="H1400" s="6">
        <v>5657446.587551022</v>
      </c>
      <c r="I1400" s="6">
        <v>455.47703656914916</v>
      </c>
      <c r="J1400" s="6">
        <v>4.888360601509108</v>
      </c>
      <c r="K1400" s="6"/>
      <c r="L1400" s="6"/>
      <c r="M1400" s="6"/>
      <c r="N1400" s="6">
        <f t="shared" ref="N1400:P1400" si="1403">IF(LEN($C1400)&gt;0,H1400-E1400,"")</f>
        <v>-46498.73491</v>
      </c>
      <c r="O1400" s="6">
        <f t="shared" si="1403"/>
        <v>-2.544352869</v>
      </c>
      <c r="P1400" s="6">
        <f t="shared" si="1403"/>
        <v>-0.959608523</v>
      </c>
      <c r="Q1400" s="6"/>
      <c r="R1400" s="6"/>
      <c r="S1400" s="6"/>
      <c r="T1400" s="6"/>
      <c r="U1400" s="6"/>
      <c r="V1400" s="6"/>
      <c r="W1400" s="6"/>
      <c r="X1400" s="6"/>
      <c r="Y1400" s="6"/>
      <c r="Z1400" s="6"/>
      <c r="AA1400" s="6"/>
      <c r="AB1400" s="6"/>
      <c r="AC1400" s="6"/>
      <c r="AD1400" s="6"/>
      <c r="AE1400" s="6"/>
      <c r="AF1400" s="6"/>
      <c r="AG1400" s="6"/>
    </row>
    <row r="1401" ht="14.25" customHeight="1">
      <c r="A1401" s="6"/>
      <c r="B1401" s="6"/>
      <c r="C1401" s="6">
        <v>1394.0</v>
      </c>
      <c r="D1401" s="6"/>
      <c r="E1401" s="6">
        <v>7058081.081545008</v>
      </c>
      <c r="F1401" s="6">
        <v>449.27141135373193</v>
      </c>
      <c r="G1401" s="6">
        <v>4.487549771296879</v>
      </c>
      <c r="H1401" s="6">
        <v>7021608.168634392</v>
      </c>
      <c r="I1401" s="6">
        <v>447.1780314581481</v>
      </c>
      <c r="J1401" s="6">
        <v>3.960380235069363</v>
      </c>
      <c r="K1401" s="6"/>
      <c r="L1401" s="6"/>
      <c r="M1401" s="6"/>
      <c r="N1401" s="6">
        <f t="shared" ref="N1401:P1401" si="1404">IF(LEN($C1401)&gt;0,H1401-E1401,"")</f>
        <v>-36472.91291</v>
      </c>
      <c r="O1401" s="6">
        <f t="shared" si="1404"/>
        <v>-2.093379896</v>
      </c>
      <c r="P1401" s="6">
        <f t="shared" si="1404"/>
        <v>-0.5271695362</v>
      </c>
      <c r="Q1401" s="6"/>
      <c r="R1401" s="6"/>
      <c r="S1401" s="6"/>
      <c r="T1401" s="6"/>
      <c r="U1401" s="6"/>
      <c r="V1401" s="6"/>
      <c r="W1401" s="6"/>
      <c r="X1401" s="6"/>
      <c r="Y1401" s="6"/>
      <c r="Z1401" s="6"/>
      <c r="AA1401" s="6"/>
      <c r="AB1401" s="6"/>
      <c r="AC1401" s="6"/>
      <c r="AD1401" s="6"/>
      <c r="AE1401" s="6"/>
      <c r="AF1401" s="6"/>
      <c r="AG1401" s="6"/>
    </row>
    <row r="1402" ht="14.25" customHeight="1">
      <c r="A1402" s="6"/>
      <c r="B1402" s="6"/>
      <c r="C1402" s="6">
        <v>1395.0</v>
      </c>
      <c r="D1402" s="6"/>
      <c r="E1402" s="6">
        <v>7653765.541572749</v>
      </c>
      <c r="F1402" s="6">
        <v>461.344526469577</v>
      </c>
      <c r="G1402" s="6">
        <v>5.699375917127533</v>
      </c>
      <c r="H1402" s="6">
        <v>7507077.517128466</v>
      </c>
      <c r="I1402" s="6">
        <v>455.33787729854976</v>
      </c>
      <c r="J1402" s="6">
        <v>3.8016184791236833</v>
      </c>
      <c r="K1402" s="6"/>
      <c r="L1402" s="6"/>
      <c r="M1402" s="6"/>
      <c r="N1402" s="6">
        <f t="shared" ref="N1402:P1402" si="1405">IF(LEN($C1402)&gt;0,H1402-E1402,"")</f>
        <v>-146688.0244</v>
      </c>
      <c r="O1402" s="6">
        <f t="shared" si="1405"/>
        <v>-6.006649171</v>
      </c>
      <c r="P1402" s="6">
        <f t="shared" si="1405"/>
        <v>-1.897757438</v>
      </c>
      <c r="Q1402" s="6"/>
      <c r="R1402" s="6"/>
      <c r="S1402" s="6"/>
      <c r="T1402" s="6"/>
      <c r="U1402" s="6"/>
      <c r="V1402" s="6"/>
      <c r="W1402" s="6"/>
      <c r="X1402" s="6"/>
      <c r="Y1402" s="6"/>
      <c r="Z1402" s="6"/>
      <c r="AA1402" s="6"/>
      <c r="AB1402" s="6"/>
      <c r="AC1402" s="6"/>
      <c r="AD1402" s="6"/>
      <c r="AE1402" s="6"/>
      <c r="AF1402" s="6"/>
      <c r="AG1402" s="6"/>
    </row>
    <row r="1403" ht="14.25" customHeight="1">
      <c r="A1403" s="6"/>
      <c r="B1403" s="6"/>
      <c r="C1403" s="6">
        <v>1396.0</v>
      </c>
      <c r="D1403" s="6"/>
      <c r="E1403" s="6">
        <v>5130485.24978301</v>
      </c>
      <c r="F1403" s="6">
        <v>475.08411850920555</v>
      </c>
      <c r="G1403" s="6">
        <v>4.937830257579817</v>
      </c>
      <c r="H1403" s="6">
        <v>5042797.326735319</v>
      </c>
      <c r="I1403" s="6">
        <v>473.18828678425524</v>
      </c>
      <c r="J1403" s="6">
        <v>3.481488995511351</v>
      </c>
      <c r="K1403" s="6"/>
      <c r="L1403" s="6"/>
      <c r="M1403" s="6"/>
      <c r="N1403" s="6">
        <f t="shared" ref="N1403:P1403" si="1406">IF(LEN($C1403)&gt;0,H1403-E1403,"")</f>
        <v>-87687.92305</v>
      </c>
      <c r="O1403" s="6">
        <f t="shared" si="1406"/>
        <v>-1.895831725</v>
      </c>
      <c r="P1403" s="6">
        <f t="shared" si="1406"/>
        <v>-1.456341262</v>
      </c>
      <c r="Q1403" s="6"/>
      <c r="R1403" s="6"/>
      <c r="S1403" s="6"/>
      <c r="T1403" s="6"/>
      <c r="U1403" s="6"/>
      <c r="V1403" s="6"/>
      <c r="W1403" s="6"/>
      <c r="X1403" s="6"/>
      <c r="Y1403" s="6"/>
      <c r="Z1403" s="6"/>
      <c r="AA1403" s="6"/>
      <c r="AB1403" s="6"/>
      <c r="AC1403" s="6"/>
      <c r="AD1403" s="6"/>
      <c r="AE1403" s="6"/>
      <c r="AF1403" s="6"/>
      <c r="AG1403" s="6"/>
    </row>
    <row r="1404" ht="14.25" customHeight="1">
      <c r="A1404" s="6"/>
      <c r="B1404" s="6"/>
      <c r="C1404" s="6">
        <v>1397.0</v>
      </c>
      <c r="D1404" s="6"/>
      <c r="E1404" s="6">
        <v>6949793.876398949</v>
      </c>
      <c r="F1404" s="6">
        <v>461.9351059240927</v>
      </c>
      <c r="G1404" s="6">
        <v>5.11734606561555</v>
      </c>
      <c r="H1404" s="6">
        <v>6818565.443123261</v>
      </c>
      <c r="I1404" s="6">
        <v>456.9500555285136</v>
      </c>
      <c r="J1404" s="6">
        <v>3.641030328780987</v>
      </c>
      <c r="K1404" s="6"/>
      <c r="L1404" s="6"/>
      <c r="M1404" s="6"/>
      <c r="N1404" s="6">
        <f t="shared" ref="N1404:P1404" si="1407">IF(LEN($C1404)&gt;0,H1404-E1404,"")</f>
        <v>-131228.4333</v>
      </c>
      <c r="O1404" s="6">
        <f t="shared" si="1407"/>
        <v>-4.985050396</v>
      </c>
      <c r="P1404" s="6">
        <f t="shared" si="1407"/>
        <v>-1.476315737</v>
      </c>
      <c r="Q1404" s="6"/>
      <c r="R1404" s="6"/>
      <c r="S1404" s="6"/>
      <c r="T1404" s="6"/>
      <c r="U1404" s="6"/>
      <c r="V1404" s="6"/>
      <c r="W1404" s="6"/>
      <c r="X1404" s="6"/>
      <c r="Y1404" s="6"/>
      <c r="Z1404" s="6"/>
      <c r="AA1404" s="6"/>
      <c r="AB1404" s="6"/>
      <c r="AC1404" s="6"/>
      <c r="AD1404" s="6"/>
      <c r="AE1404" s="6"/>
      <c r="AF1404" s="6"/>
      <c r="AG1404" s="6"/>
    </row>
    <row r="1405" ht="14.25" customHeight="1">
      <c r="A1405" s="6"/>
      <c r="B1405" s="6"/>
      <c r="C1405" s="6">
        <v>1398.0</v>
      </c>
      <c r="D1405" s="6"/>
      <c r="E1405" s="6">
        <v>7945551.5525641665</v>
      </c>
      <c r="F1405" s="6">
        <v>467.7407270935441</v>
      </c>
      <c r="G1405" s="6">
        <v>5.174752027698274</v>
      </c>
      <c r="H1405" s="6">
        <v>7858555.463149485</v>
      </c>
      <c r="I1405" s="6">
        <v>464.2006907683314</v>
      </c>
      <c r="J1405" s="6">
        <v>4.166414938639312</v>
      </c>
      <c r="K1405" s="6"/>
      <c r="L1405" s="6"/>
      <c r="M1405" s="6"/>
      <c r="N1405" s="6">
        <f t="shared" ref="N1405:P1405" si="1408">IF(LEN($C1405)&gt;0,H1405-E1405,"")</f>
        <v>-86996.08941</v>
      </c>
      <c r="O1405" s="6">
        <f t="shared" si="1408"/>
        <v>-3.540036325</v>
      </c>
      <c r="P1405" s="6">
        <f t="shared" si="1408"/>
        <v>-1.008337089</v>
      </c>
      <c r="Q1405" s="6"/>
      <c r="R1405" s="6"/>
      <c r="S1405" s="6"/>
      <c r="T1405" s="6"/>
      <c r="U1405" s="6"/>
      <c r="V1405" s="6"/>
      <c r="W1405" s="6"/>
      <c r="X1405" s="6"/>
      <c r="Y1405" s="6"/>
      <c r="Z1405" s="6"/>
      <c r="AA1405" s="6"/>
      <c r="AB1405" s="6"/>
      <c r="AC1405" s="6"/>
      <c r="AD1405" s="6"/>
      <c r="AE1405" s="6"/>
      <c r="AF1405" s="6"/>
      <c r="AG1405" s="6"/>
    </row>
    <row r="1406" ht="14.25" customHeight="1">
      <c r="A1406" s="6"/>
      <c r="B1406" s="6"/>
      <c r="C1406" s="6">
        <v>1399.0</v>
      </c>
      <c r="D1406" s="6"/>
      <c r="E1406" s="6">
        <v>9482364.596500367</v>
      </c>
      <c r="F1406" s="6">
        <v>478.9910330487448</v>
      </c>
      <c r="G1406" s="6">
        <v>5.03428799112997</v>
      </c>
      <c r="H1406" s="6">
        <v>9375017.138375593</v>
      </c>
      <c r="I1406" s="6">
        <v>473.4747959334513</v>
      </c>
      <c r="J1406" s="6">
        <v>3.764558129296132</v>
      </c>
      <c r="K1406" s="6"/>
      <c r="L1406" s="6"/>
      <c r="M1406" s="6"/>
      <c r="N1406" s="6">
        <f t="shared" ref="N1406:P1406" si="1409">IF(LEN($C1406)&gt;0,H1406-E1406,"")</f>
        <v>-107347.4581</v>
      </c>
      <c r="O1406" s="6">
        <f t="shared" si="1409"/>
        <v>-5.516237115</v>
      </c>
      <c r="P1406" s="6">
        <f t="shared" si="1409"/>
        <v>-1.269729862</v>
      </c>
      <c r="Q1406" s="6"/>
      <c r="R1406" s="6"/>
      <c r="S1406" s="6"/>
      <c r="T1406" s="6"/>
      <c r="U1406" s="6"/>
      <c r="V1406" s="6"/>
      <c r="W1406" s="6"/>
      <c r="X1406" s="6"/>
      <c r="Y1406" s="6"/>
      <c r="Z1406" s="6"/>
      <c r="AA1406" s="6"/>
      <c r="AB1406" s="6"/>
      <c r="AC1406" s="6"/>
      <c r="AD1406" s="6"/>
      <c r="AE1406" s="6"/>
      <c r="AF1406" s="6"/>
      <c r="AG1406" s="6"/>
    </row>
    <row r="1407" ht="14.25" customHeight="1">
      <c r="A1407" s="6"/>
      <c r="B1407" s="6"/>
      <c r="C1407" s="6">
        <v>1400.0</v>
      </c>
      <c r="D1407" s="6"/>
      <c r="E1407" s="6">
        <v>5921160.869636891</v>
      </c>
      <c r="F1407" s="6">
        <v>436.274473925221</v>
      </c>
      <c r="G1407" s="6">
        <v>5.1838278608905375</v>
      </c>
      <c r="H1407" s="6">
        <v>5842967.342290843</v>
      </c>
      <c r="I1407" s="6">
        <v>433.05864778255784</v>
      </c>
      <c r="J1407" s="6">
        <v>3.9289553738717693</v>
      </c>
      <c r="K1407" s="6"/>
      <c r="L1407" s="6"/>
      <c r="M1407" s="6"/>
      <c r="N1407" s="6">
        <f t="shared" ref="N1407:P1407" si="1410">IF(LEN($C1407)&gt;0,H1407-E1407,"")</f>
        <v>-78193.52735</v>
      </c>
      <c r="O1407" s="6">
        <f t="shared" si="1410"/>
        <v>-3.215826143</v>
      </c>
      <c r="P1407" s="6">
        <f t="shared" si="1410"/>
        <v>-1.254872487</v>
      </c>
      <c r="Q1407" s="6"/>
      <c r="R1407" s="6"/>
      <c r="S1407" s="6"/>
      <c r="T1407" s="6"/>
      <c r="U1407" s="6"/>
      <c r="V1407" s="6"/>
      <c r="W1407" s="6"/>
      <c r="X1407" s="6"/>
      <c r="Y1407" s="6"/>
      <c r="Z1407" s="6"/>
      <c r="AA1407" s="6"/>
      <c r="AB1407" s="6"/>
      <c r="AC1407" s="6"/>
      <c r="AD1407" s="6"/>
      <c r="AE1407" s="6"/>
      <c r="AF1407" s="6"/>
      <c r="AG1407" s="6"/>
    </row>
    <row r="1408" ht="14.25" customHeight="1">
      <c r="A1408" s="6"/>
      <c r="B1408" s="6"/>
      <c r="C1408" s="6">
        <v>1401.0</v>
      </c>
      <c r="D1408" s="6"/>
      <c r="E1408" s="6">
        <v>4548344.420107428</v>
      </c>
      <c r="F1408" s="6">
        <v>454.39735859209065</v>
      </c>
      <c r="G1408" s="6">
        <v>5.017295070135097</v>
      </c>
      <c r="H1408" s="6">
        <v>4477908.632975047</v>
      </c>
      <c r="I1408" s="6">
        <v>451.0796737989522</v>
      </c>
      <c r="J1408" s="6">
        <v>3.74632275273145</v>
      </c>
      <c r="K1408" s="6"/>
      <c r="L1408" s="6"/>
      <c r="M1408" s="6"/>
      <c r="N1408" s="6">
        <f t="shared" ref="N1408:P1408" si="1411">IF(LEN($C1408)&gt;0,H1408-E1408,"")</f>
        <v>-70435.78713</v>
      </c>
      <c r="O1408" s="6">
        <f t="shared" si="1411"/>
        <v>-3.317684793</v>
      </c>
      <c r="P1408" s="6">
        <f t="shared" si="1411"/>
        <v>-1.270972317</v>
      </c>
      <c r="Q1408" s="6"/>
      <c r="R1408" s="6"/>
      <c r="S1408" s="6"/>
      <c r="T1408" s="6"/>
      <c r="U1408" s="6"/>
      <c r="V1408" s="6"/>
      <c r="W1408" s="6"/>
      <c r="X1408" s="6"/>
      <c r="Y1408" s="6"/>
      <c r="Z1408" s="6"/>
      <c r="AA1408" s="6"/>
      <c r="AB1408" s="6"/>
      <c r="AC1408" s="6"/>
      <c r="AD1408" s="6"/>
      <c r="AE1408" s="6"/>
      <c r="AF1408" s="6"/>
      <c r="AG1408" s="6"/>
    </row>
    <row r="1409" ht="14.25" customHeight="1">
      <c r="A1409" s="6"/>
      <c r="B1409" s="6"/>
      <c r="C1409" s="6">
        <v>1402.0</v>
      </c>
      <c r="D1409" s="6"/>
      <c r="E1409" s="6">
        <v>6745992.599877767</v>
      </c>
      <c r="F1409" s="6">
        <v>466.92367719315786</v>
      </c>
      <c r="G1409" s="6">
        <v>5.376707794302523</v>
      </c>
      <c r="H1409" s="6">
        <v>6605446.416189589</v>
      </c>
      <c r="I1409" s="6">
        <v>461.6922736591</v>
      </c>
      <c r="J1409" s="6">
        <v>3.4202357002783916</v>
      </c>
      <c r="K1409" s="6"/>
      <c r="L1409" s="6"/>
      <c r="M1409" s="6"/>
      <c r="N1409" s="6">
        <f t="shared" ref="N1409:P1409" si="1412">IF(LEN($C1409)&gt;0,H1409-E1409,"")</f>
        <v>-140546.1837</v>
      </c>
      <c r="O1409" s="6">
        <f t="shared" si="1412"/>
        <v>-5.231403534</v>
      </c>
      <c r="P1409" s="6">
        <f t="shared" si="1412"/>
        <v>-1.956472094</v>
      </c>
      <c r="Q1409" s="6"/>
      <c r="R1409" s="6"/>
      <c r="S1409" s="6"/>
      <c r="T1409" s="6"/>
      <c r="U1409" s="6"/>
      <c r="V1409" s="6"/>
      <c r="W1409" s="6"/>
      <c r="X1409" s="6"/>
      <c r="Y1409" s="6"/>
      <c r="Z1409" s="6"/>
      <c r="AA1409" s="6"/>
      <c r="AB1409" s="6"/>
      <c r="AC1409" s="6"/>
      <c r="AD1409" s="6"/>
      <c r="AE1409" s="6"/>
      <c r="AF1409" s="6"/>
      <c r="AG1409" s="6"/>
    </row>
    <row r="1410" ht="14.25" customHeight="1">
      <c r="A1410" s="6"/>
      <c r="B1410" s="6"/>
      <c r="C1410" s="6">
        <v>1403.0</v>
      </c>
      <c r="D1410" s="6"/>
      <c r="E1410" s="6">
        <v>5894459.19068952</v>
      </c>
      <c r="F1410" s="6">
        <v>478.83454520461714</v>
      </c>
      <c r="G1410" s="6">
        <v>5.2700751397470205</v>
      </c>
      <c r="H1410" s="6">
        <v>5763040.198739057</v>
      </c>
      <c r="I1410" s="6">
        <v>472.02220936716174</v>
      </c>
      <c r="J1410" s="6">
        <v>3.776712463263852</v>
      </c>
      <c r="K1410" s="6"/>
      <c r="L1410" s="6"/>
      <c r="M1410" s="6"/>
      <c r="N1410" s="6">
        <f t="shared" ref="N1410:P1410" si="1413">IF(LEN($C1410)&gt;0,H1410-E1410,"")</f>
        <v>-131418.992</v>
      </c>
      <c r="O1410" s="6">
        <f t="shared" si="1413"/>
        <v>-6.812335837</v>
      </c>
      <c r="P1410" s="6">
        <f t="shared" si="1413"/>
        <v>-1.493362676</v>
      </c>
      <c r="Q1410" s="6"/>
      <c r="R1410" s="6"/>
      <c r="S1410" s="6"/>
      <c r="T1410" s="6"/>
      <c r="U1410" s="6"/>
      <c r="V1410" s="6"/>
      <c r="W1410" s="6"/>
      <c r="X1410" s="6"/>
      <c r="Y1410" s="6"/>
      <c r="Z1410" s="6"/>
      <c r="AA1410" s="6"/>
      <c r="AB1410" s="6"/>
      <c r="AC1410" s="6"/>
      <c r="AD1410" s="6"/>
      <c r="AE1410" s="6"/>
      <c r="AF1410" s="6"/>
      <c r="AG1410" s="6"/>
    </row>
    <row r="1411" ht="14.25" customHeight="1">
      <c r="A1411" s="6"/>
      <c r="B1411" s="6"/>
      <c r="C1411" s="6">
        <v>1404.0</v>
      </c>
      <c r="D1411" s="6"/>
      <c r="E1411" s="6">
        <v>6753923.913391133</v>
      </c>
      <c r="F1411" s="6">
        <v>441.2008246043906</v>
      </c>
      <c r="G1411" s="6">
        <v>4.422344070977159</v>
      </c>
      <c r="H1411" s="6">
        <v>6657792.614146532</v>
      </c>
      <c r="I1411" s="6">
        <v>436.6685153022682</v>
      </c>
      <c r="J1411" s="6">
        <v>3.357438105465657</v>
      </c>
      <c r="K1411" s="6"/>
      <c r="L1411" s="6"/>
      <c r="M1411" s="6"/>
      <c r="N1411" s="6">
        <f t="shared" ref="N1411:P1411" si="1414">IF(LEN($C1411)&gt;0,H1411-E1411,"")</f>
        <v>-96131.29924</v>
      </c>
      <c r="O1411" s="6">
        <f t="shared" si="1414"/>
        <v>-4.532309302</v>
      </c>
      <c r="P1411" s="6">
        <f t="shared" si="1414"/>
        <v>-1.064905966</v>
      </c>
      <c r="Q1411" s="6"/>
      <c r="R1411" s="6"/>
      <c r="S1411" s="6"/>
      <c r="T1411" s="6"/>
      <c r="U1411" s="6"/>
      <c r="V1411" s="6"/>
      <c r="W1411" s="6"/>
      <c r="X1411" s="6"/>
      <c r="Y1411" s="6"/>
      <c r="Z1411" s="6"/>
      <c r="AA1411" s="6"/>
      <c r="AB1411" s="6"/>
      <c r="AC1411" s="6"/>
      <c r="AD1411" s="6"/>
      <c r="AE1411" s="6"/>
      <c r="AF1411" s="6"/>
      <c r="AG1411" s="6"/>
    </row>
    <row r="1412" ht="14.25" customHeight="1">
      <c r="A1412" s="6"/>
      <c r="B1412" s="6"/>
      <c r="C1412" s="6">
        <v>1405.0</v>
      </c>
      <c r="D1412" s="6"/>
      <c r="E1412" s="6">
        <v>6652580.523343503</v>
      </c>
      <c r="F1412" s="6">
        <v>460.57571802026337</v>
      </c>
      <c r="G1412" s="6">
        <v>6.526272877985158</v>
      </c>
      <c r="H1412" s="6">
        <v>6564965.448761966</v>
      </c>
      <c r="I1412" s="6">
        <v>456.6176285590762</v>
      </c>
      <c r="J1412" s="6">
        <v>5.1104434792692786</v>
      </c>
      <c r="K1412" s="6"/>
      <c r="L1412" s="6"/>
      <c r="M1412" s="6"/>
      <c r="N1412" s="6">
        <f t="shared" ref="N1412:P1412" si="1415">IF(LEN($C1412)&gt;0,H1412-E1412,"")</f>
        <v>-87615.07458</v>
      </c>
      <c r="O1412" s="6">
        <f t="shared" si="1415"/>
        <v>-3.958089461</v>
      </c>
      <c r="P1412" s="6">
        <f t="shared" si="1415"/>
        <v>-1.415829399</v>
      </c>
      <c r="Q1412" s="6"/>
      <c r="R1412" s="6"/>
      <c r="S1412" s="6"/>
      <c r="T1412" s="6"/>
      <c r="U1412" s="6"/>
      <c r="V1412" s="6"/>
      <c r="W1412" s="6"/>
      <c r="X1412" s="6"/>
      <c r="Y1412" s="6"/>
      <c r="Z1412" s="6"/>
      <c r="AA1412" s="6"/>
      <c r="AB1412" s="6"/>
      <c r="AC1412" s="6"/>
      <c r="AD1412" s="6"/>
      <c r="AE1412" s="6"/>
      <c r="AF1412" s="6"/>
      <c r="AG1412" s="6"/>
    </row>
    <row r="1413" ht="14.25" customHeight="1">
      <c r="A1413" s="6"/>
      <c r="B1413" s="6"/>
      <c r="C1413" s="6">
        <v>1406.0</v>
      </c>
      <c r="D1413" s="6"/>
      <c r="E1413" s="6">
        <v>6131366.328090677</v>
      </c>
      <c r="F1413" s="6">
        <v>481.6728561947965</v>
      </c>
      <c r="G1413" s="6">
        <v>4.511914792450707</v>
      </c>
      <c r="H1413" s="6">
        <v>5990577.066631182</v>
      </c>
      <c r="I1413" s="6">
        <v>474.88338964231957</v>
      </c>
      <c r="J1413" s="6">
        <v>3.206320654154823</v>
      </c>
      <c r="K1413" s="6"/>
      <c r="L1413" s="6"/>
      <c r="M1413" s="6"/>
      <c r="N1413" s="6">
        <f t="shared" ref="N1413:P1413" si="1416">IF(LEN($C1413)&gt;0,H1413-E1413,"")</f>
        <v>-140789.2615</v>
      </c>
      <c r="O1413" s="6">
        <f t="shared" si="1416"/>
        <v>-6.789466552</v>
      </c>
      <c r="P1413" s="6">
        <f t="shared" si="1416"/>
        <v>-1.305594138</v>
      </c>
      <c r="Q1413" s="6"/>
      <c r="R1413" s="6"/>
      <c r="S1413" s="6"/>
      <c r="T1413" s="6"/>
      <c r="U1413" s="6"/>
      <c r="V1413" s="6"/>
      <c r="W1413" s="6"/>
      <c r="X1413" s="6"/>
      <c r="Y1413" s="6"/>
      <c r="Z1413" s="6"/>
      <c r="AA1413" s="6"/>
      <c r="AB1413" s="6"/>
      <c r="AC1413" s="6"/>
      <c r="AD1413" s="6"/>
      <c r="AE1413" s="6"/>
      <c r="AF1413" s="6"/>
      <c r="AG1413" s="6"/>
    </row>
    <row r="1414" ht="14.25" customHeight="1">
      <c r="A1414" s="6"/>
      <c r="B1414" s="6"/>
      <c r="C1414" s="6">
        <v>1407.0</v>
      </c>
      <c r="D1414" s="6"/>
      <c r="E1414" s="6">
        <v>5986621.817362923</v>
      </c>
      <c r="F1414" s="6">
        <v>422.0149108033948</v>
      </c>
      <c r="G1414" s="6">
        <v>4.371305309139808</v>
      </c>
      <c r="H1414" s="6">
        <v>5937983.095502658</v>
      </c>
      <c r="I1414" s="6">
        <v>420.3160366567548</v>
      </c>
      <c r="J1414" s="6">
        <v>3.474560165239514</v>
      </c>
      <c r="K1414" s="6"/>
      <c r="L1414" s="6"/>
      <c r="M1414" s="6"/>
      <c r="N1414" s="6">
        <f t="shared" ref="N1414:P1414" si="1417">IF(LEN($C1414)&gt;0,H1414-E1414,"")</f>
        <v>-48638.72186</v>
      </c>
      <c r="O1414" s="6">
        <f t="shared" si="1417"/>
        <v>-1.698874147</v>
      </c>
      <c r="P1414" s="6">
        <f t="shared" si="1417"/>
        <v>-0.8967451439</v>
      </c>
      <c r="Q1414" s="6"/>
      <c r="R1414" s="6"/>
      <c r="S1414" s="6"/>
      <c r="T1414" s="6"/>
      <c r="U1414" s="6"/>
      <c r="V1414" s="6"/>
      <c r="W1414" s="6"/>
      <c r="X1414" s="6"/>
      <c r="Y1414" s="6"/>
      <c r="Z1414" s="6"/>
      <c r="AA1414" s="6"/>
      <c r="AB1414" s="6"/>
      <c r="AC1414" s="6"/>
      <c r="AD1414" s="6"/>
      <c r="AE1414" s="6"/>
      <c r="AF1414" s="6"/>
      <c r="AG1414" s="6"/>
    </row>
    <row r="1415" ht="14.25" customHeight="1">
      <c r="A1415" s="6"/>
      <c r="B1415" s="6"/>
      <c r="C1415" s="6">
        <v>1408.0</v>
      </c>
      <c r="D1415" s="6"/>
      <c r="E1415" s="6">
        <v>8700542.629588407</v>
      </c>
      <c r="F1415" s="6">
        <v>454.41668052501063</v>
      </c>
      <c r="G1415" s="6">
        <v>5.032058396317739</v>
      </c>
      <c r="H1415" s="6">
        <v>8575360.082590919</v>
      </c>
      <c r="I1415" s="6">
        <v>450.71964873506283</v>
      </c>
      <c r="J1415" s="6">
        <v>3.386441193699474</v>
      </c>
      <c r="K1415" s="6"/>
      <c r="L1415" s="6"/>
      <c r="M1415" s="6"/>
      <c r="N1415" s="6">
        <f t="shared" ref="N1415:P1415" si="1418">IF(LEN($C1415)&gt;0,H1415-E1415,"")</f>
        <v>-125182.547</v>
      </c>
      <c r="O1415" s="6">
        <f t="shared" si="1418"/>
        <v>-3.69703179</v>
      </c>
      <c r="P1415" s="6">
        <f t="shared" si="1418"/>
        <v>-1.645617203</v>
      </c>
      <c r="Q1415" s="6"/>
      <c r="R1415" s="6"/>
      <c r="S1415" s="6"/>
      <c r="T1415" s="6"/>
      <c r="U1415" s="6"/>
      <c r="V1415" s="6"/>
      <c r="W1415" s="6"/>
      <c r="X1415" s="6"/>
      <c r="Y1415" s="6"/>
      <c r="Z1415" s="6"/>
      <c r="AA1415" s="6"/>
      <c r="AB1415" s="6"/>
      <c r="AC1415" s="6"/>
      <c r="AD1415" s="6"/>
      <c r="AE1415" s="6"/>
      <c r="AF1415" s="6"/>
      <c r="AG1415" s="6"/>
    </row>
    <row r="1416" ht="14.25" customHeight="1">
      <c r="A1416" s="6"/>
      <c r="B1416" s="6"/>
      <c r="C1416" s="6">
        <v>1409.0</v>
      </c>
      <c r="D1416" s="6"/>
      <c r="E1416" s="6">
        <v>7657259.53995644</v>
      </c>
      <c r="F1416" s="6">
        <v>493.56499419488057</v>
      </c>
      <c r="G1416" s="6">
        <v>6.059260707668008</v>
      </c>
      <c r="H1416" s="6">
        <v>7536292.2365022525</v>
      </c>
      <c r="I1416" s="6">
        <v>489.0198420858471</v>
      </c>
      <c r="J1416" s="6">
        <v>4.346729103993956</v>
      </c>
      <c r="K1416" s="6"/>
      <c r="L1416" s="6"/>
      <c r="M1416" s="6"/>
      <c r="N1416" s="6">
        <f t="shared" ref="N1416:P1416" si="1419">IF(LEN($C1416)&gt;0,H1416-E1416,"")</f>
        <v>-120967.3035</v>
      </c>
      <c r="O1416" s="6">
        <f t="shared" si="1419"/>
        <v>-4.545152109</v>
      </c>
      <c r="P1416" s="6">
        <f t="shared" si="1419"/>
        <v>-1.712531604</v>
      </c>
      <c r="Q1416" s="6"/>
      <c r="R1416" s="6"/>
      <c r="S1416" s="6"/>
      <c r="T1416" s="6"/>
      <c r="U1416" s="6"/>
      <c r="V1416" s="6"/>
      <c r="W1416" s="6"/>
      <c r="X1416" s="6"/>
      <c r="Y1416" s="6"/>
      <c r="Z1416" s="6"/>
      <c r="AA1416" s="6"/>
      <c r="AB1416" s="6"/>
      <c r="AC1416" s="6"/>
      <c r="AD1416" s="6"/>
      <c r="AE1416" s="6"/>
      <c r="AF1416" s="6"/>
      <c r="AG1416" s="6"/>
    </row>
    <row r="1417" ht="14.25" customHeight="1">
      <c r="A1417" s="6"/>
      <c r="B1417" s="6"/>
      <c r="C1417" s="6">
        <v>1410.0</v>
      </c>
      <c r="D1417" s="6"/>
      <c r="E1417" s="6">
        <v>5881560.60065772</v>
      </c>
      <c r="F1417" s="6">
        <v>446.97589274094344</v>
      </c>
      <c r="G1417" s="6">
        <v>3.797537243898265</v>
      </c>
      <c r="H1417" s="6">
        <v>5804523.191669722</v>
      </c>
      <c r="I1417" s="6">
        <v>443.3461447962598</v>
      </c>
      <c r="J1417" s="6">
        <v>2.876891568028588</v>
      </c>
      <c r="K1417" s="6"/>
      <c r="L1417" s="6"/>
      <c r="M1417" s="6"/>
      <c r="N1417" s="6">
        <f t="shared" ref="N1417:P1417" si="1420">IF(LEN($C1417)&gt;0,H1417-E1417,"")</f>
        <v>-77037.40899</v>
      </c>
      <c r="O1417" s="6">
        <f t="shared" si="1420"/>
        <v>-3.629747945</v>
      </c>
      <c r="P1417" s="6">
        <f t="shared" si="1420"/>
        <v>-0.9206456759</v>
      </c>
      <c r="Q1417" s="6"/>
      <c r="R1417" s="6"/>
      <c r="S1417" s="6"/>
      <c r="T1417" s="6"/>
      <c r="U1417" s="6"/>
      <c r="V1417" s="6"/>
      <c r="W1417" s="6"/>
      <c r="X1417" s="6"/>
      <c r="Y1417" s="6"/>
      <c r="Z1417" s="6"/>
      <c r="AA1417" s="6"/>
      <c r="AB1417" s="6"/>
      <c r="AC1417" s="6"/>
      <c r="AD1417" s="6"/>
      <c r="AE1417" s="6"/>
      <c r="AF1417" s="6"/>
      <c r="AG1417" s="6"/>
    </row>
    <row r="1418" ht="14.25" customHeight="1">
      <c r="A1418" s="6"/>
      <c r="B1418" s="6"/>
      <c r="C1418" s="6">
        <v>1411.0</v>
      </c>
      <c r="D1418" s="6"/>
      <c r="E1418" s="6">
        <v>7346474.351660309</v>
      </c>
      <c r="F1418" s="6">
        <v>441.85005273397707</v>
      </c>
      <c r="G1418" s="6">
        <v>5.1959324443998005</v>
      </c>
      <c r="H1418" s="6">
        <v>7234958.783531778</v>
      </c>
      <c r="I1418" s="6">
        <v>438.1026103344271</v>
      </c>
      <c r="J1418" s="6">
        <v>3.811538605808783</v>
      </c>
      <c r="K1418" s="6"/>
      <c r="L1418" s="6"/>
      <c r="M1418" s="6"/>
      <c r="N1418" s="6">
        <f t="shared" ref="N1418:P1418" si="1421">IF(LEN($C1418)&gt;0,H1418-E1418,"")</f>
        <v>-111515.5681</v>
      </c>
      <c r="O1418" s="6">
        <f t="shared" si="1421"/>
        <v>-3.7474424</v>
      </c>
      <c r="P1418" s="6">
        <f t="shared" si="1421"/>
        <v>-1.384393839</v>
      </c>
      <c r="Q1418" s="6"/>
      <c r="R1418" s="6"/>
      <c r="S1418" s="6"/>
      <c r="T1418" s="6"/>
      <c r="U1418" s="6"/>
      <c r="V1418" s="6"/>
      <c r="W1418" s="6"/>
      <c r="X1418" s="6"/>
      <c r="Y1418" s="6"/>
      <c r="Z1418" s="6"/>
      <c r="AA1418" s="6"/>
      <c r="AB1418" s="6"/>
      <c r="AC1418" s="6"/>
      <c r="AD1418" s="6"/>
      <c r="AE1418" s="6"/>
      <c r="AF1418" s="6"/>
      <c r="AG1418" s="6"/>
    </row>
    <row r="1419" ht="14.25" customHeight="1">
      <c r="A1419" s="6"/>
      <c r="B1419" s="6"/>
      <c r="C1419" s="6">
        <v>1412.0</v>
      </c>
      <c r="D1419" s="6"/>
      <c r="E1419" s="6">
        <v>7263092.816910383</v>
      </c>
      <c r="F1419" s="6">
        <v>472.8687403244987</v>
      </c>
      <c r="G1419" s="6">
        <v>5.289036403834506</v>
      </c>
      <c r="H1419" s="6">
        <v>7118196.640399767</v>
      </c>
      <c r="I1419" s="6">
        <v>467.54982652036495</v>
      </c>
      <c r="J1419" s="6">
        <v>3.71227312387054</v>
      </c>
      <c r="K1419" s="6"/>
      <c r="L1419" s="6"/>
      <c r="M1419" s="6"/>
      <c r="N1419" s="6">
        <f t="shared" ref="N1419:P1419" si="1422">IF(LEN($C1419)&gt;0,H1419-E1419,"")</f>
        <v>-144896.1765</v>
      </c>
      <c r="O1419" s="6">
        <f t="shared" si="1422"/>
        <v>-5.318913804</v>
      </c>
      <c r="P1419" s="6">
        <f t="shared" si="1422"/>
        <v>-1.57676328</v>
      </c>
      <c r="Q1419" s="6"/>
      <c r="R1419" s="6"/>
      <c r="S1419" s="6"/>
      <c r="T1419" s="6"/>
      <c r="U1419" s="6"/>
      <c r="V1419" s="6"/>
      <c r="W1419" s="6"/>
      <c r="X1419" s="6"/>
      <c r="Y1419" s="6"/>
      <c r="Z1419" s="6"/>
      <c r="AA1419" s="6"/>
      <c r="AB1419" s="6"/>
      <c r="AC1419" s="6"/>
      <c r="AD1419" s="6"/>
      <c r="AE1419" s="6"/>
      <c r="AF1419" s="6"/>
      <c r="AG1419" s="6"/>
    </row>
    <row r="1420" ht="14.25" customHeight="1">
      <c r="A1420" s="6"/>
      <c r="B1420" s="6"/>
      <c r="C1420" s="6">
        <v>1413.0</v>
      </c>
      <c r="D1420" s="6"/>
      <c r="E1420" s="6">
        <v>7912275.673365462</v>
      </c>
      <c r="F1420" s="6">
        <v>472.1808735183374</v>
      </c>
      <c r="G1420" s="6">
        <v>4.260619276879391</v>
      </c>
      <c r="H1420" s="6">
        <v>7866359.386310115</v>
      </c>
      <c r="I1420" s="6">
        <v>470.80173379182605</v>
      </c>
      <c r="J1420" s="6">
        <v>3.7339597495714263</v>
      </c>
      <c r="K1420" s="6"/>
      <c r="L1420" s="6"/>
      <c r="M1420" s="6"/>
      <c r="N1420" s="6">
        <f t="shared" ref="N1420:P1420" si="1423">IF(LEN($C1420)&gt;0,H1420-E1420,"")</f>
        <v>-45916.28706</v>
      </c>
      <c r="O1420" s="6">
        <f t="shared" si="1423"/>
        <v>-1.379139727</v>
      </c>
      <c r="P1420" s="6">
        <f t="shared" si="1423"/>
        <v>-0.5266595273</v>
      </c>
      <c r="Q1420" s="6"/>
      <c r="R1420" s="6"/>
      <c r="S1420" s="6"/>
      <c r="T1420" s="6"/>
      <c r="U1420" s="6"/>
      <c r="V1420" s="6"/>
      <c r="W1420" s="6"/>
      <c r="X1420" s="6"/>
      <c r="Y1420" s="6"/>
      <c r="Z1420" s="6"/>
      <c r="AA1420" s="6"/>
      <c r="AB1420" s="6"/>
      <c r="AC1420" s="6"/>
      <c r="AD1420" s="6"/>
      <c r="AE1420" s="6"/>
      <c r="AF1420" s="6"/>
      <c r="AG1420" s="6"/>
    </row>
    <row r="1421" ht="14.25" customHeight="1">
      <c r="A1421" s="6"/>
      <c r="B1421" s="6"/>
      <c r="C1421" s="6">
        <v>1414.0</v>
      </c>
      <c r="D1421" s="6"/>
      <c r="E1421" s="6">
        <v>9408378.082725367</v>
      </c>
      <c r="F1421" s="6">
        <v>493.28716948001653</v>
      </c>
      <c r="G1421" s="6">
        <v>3.644671432673798</v>
      </c>
      <c r="H1421" s="6">
        <v>9253982.20993151</v>
      </c>
      <c r="I1421" s="6">
        <v>486.145934500251</v>
      </c>
      <c r="J1421" s="6">
        <v>2.4720394859138857</v>
      </c>
      <c r="K1421" s="6"/>
      <c r="L1421" s="6"/>
      <c r="M1421" s="6"/>
      <c r="N1421" s="6">
        <f t="shared" ref="N1421:P1421" si="1424">IF(LEN($C1421)&gt;0,H1421-E1421,"")</f>
        <v>-154395.8728</v>
      </c>
      <c r="O1421" s="6">
        <f t="shared" si="1424"/>
        <v>-7.14123498</v>
      </c>
      <c r="P1421" s="6">
        <f t="shared" si="1424"/>
        <v>-1.172631947</v>
      </c>
      <c r="Q1421" s="6"/>
      <c r="R1421" s="6"/>
      <c r="S1421" s="6"/>
      <c r="T1421" s="6"/>
      <c r="U1421" s="6"/>
      <c r="V1421" s="6"/>
      <c r="W1421" s="6"/>
      <c r="X1421" s="6"/>
      <c r="Y1421" s="6"/>
      <c r="Z1421" s="6"/>
      <c r="AA1421" s="6"/>
      <c r="AB1421" s="6"/>
      <c r="AC1421" s="6"/>
      <c r="AD1421" s="6"/>
      <c r="AE1421" s="6"/>
      <c r="AF1421" s="6"/>
      <c r="AG1421" s="6"/>
    </row>
    <row r="1422" ht="14.25" customHeight="1">
      <c r="A1422" s="6"/>
      <c r="B1422" s="6"/>
      <c r="C1422" s="6">
        <v>1415.0</v>
      </c>
      <c r="D1422" s="6"/>
      <c r="E1422" s="6">
        <v>7426912.162967455</v>
      </c>
      <c r="F1422" s="6">
        <v>455.274619484409</v>
      </c>
      <c r="G1422" s="6">
        <v>6.388527371688168</v>
      </c>
      <c r="H1422" s="6">
        <v>7277932.333233087</v>
      </c>
      <c r="I1422" s="6">
        <v>447.75961005867697</v>
      </c>
      <c r="J1422" s="6">
        <v>4.149273186434488</v>
      </c>
      <c r="K1422" s="6"/>
      <c r="L1422" s="6"/>
      <c r="M1422" s="6"/>
      <c r="N1422" s="6">
        <f t="shared" ref="N1422:P1422" si="1425">IF(LEN($C1422)&gt;0,H1422-E1422,"")</f>
        <v>-148979.8297</v>
      </c>
      <c r="O1422" s="6">
        <f t="shared" si="1425"/>
        <v>-7.515009426</v>
      </c>
      <c r="P1422" s="6">
        <f t="shared" si="1425"/>
        <v>-2.239254185</v>
      </c>
      <c r="Q1422" s="6"/>
      <c r="R1422" s="6"/>
      <c r="S1422" s="6"/>
      <c r="T1422" s="6"/>
      <c r="U1422" s="6"/>
      <c r="V1422" s="6"/>
      <c r="W1422" s="6"/>
      <c r="X1422" s="6"/>
      <c r="Y1422" s="6"/>
      <c r="Z1422" s="6"/>
      <c r="AA1422" s="6"/>
      <c r="AB1422" s="6"/>
      <c r="AC1422" s="6"/>
      <c r="AD1422" s="6"/>
      <c r="AE1422" s="6"/>
      <c r="AF1422" s="6"/>
      <c r="AG1422" s="6"/>
    </row>
    <row r="1423" ht="14.25" customHeight="1">
      <c r="A1423" s="6"/>
      <c r="B1423" s="6"/>
      <c r="C1423" s="6">
        <v>1416.0</v>
      </c>
      <c r="D1423" s="6"/>
      <c r="E1423" s="6">
        <v>7729556.0875796685</v>
      </c>
      <c r="F1423" s="6">
        <v>442.7766569071041</v>
      </c>
      <c r="G1423" s="6">
        <v>3.3775950539999355</v>
      </c>
      <c r="H1423" s="6">
        <v>7666726.961327678</v>
      </c>
      <c r="I1423" s="6">
        <v>439.5989907976848</v>
      </c>
      <c r="J1423" s="6">
        <v>2.409658253887648</v>
      </c>
      <c r="K1423" s="6"/>
      <c r="L1423" s="6"/>
      <c r="M1423" s="6"/>
      <c r="N1423" s="6">
        <f t="shared" ref="N1423:P1423" si="1426">IF(LEN($C1423)&gt;0,H1423-E1423,"")</f>
        <v>-62829.12625</v>
      </c>
      <c r="O1423" s="6">
        <f t="shared" si="1426"/>
        <v>-3.177666109</v>
      </c>
      <c r="P1423" s="6">
        <f t="shared" si="1426"/>
        <v>-0.9679368001</v>
      </c>
      <c r="Q1423" s="6"/>
      <c r="R1423" s="6"/>
      <c r="S1423" s="6"/>
      <c r="T1423" s="6"/>
      <c r="U1423" s="6"/>
      <c r="V1423" s="6"/>
      <c r="W1423" s="6"/>
      <c r="X1423" s="6"/>
      <c r="Y1423" s="6"/>
      <c r="Z1423" s="6"/>
      <c r="AA1423" s="6"/>
      <c r="AB1423" s="6"/>
      <c r="AC1423" s="6"/>
      <c r="AD1423" s="6"/>
      <c r="AE1423" s="6"/>
      <c r="AF1423" s="6"/>
      <c r="AG1423" s="6"/>
    </row>
    <row r="1424" ht="14.25" customHeight="1">
      <c r="A1424" s="6"/>
      <c r="B1424" s="6"/>
      <c r="C1424" s="6">
        <v>1417.0</v>
      </c>
      <c r="D1424" s="6"/>
      <c r="E1424" s="6">
        <v>8209277.856210731</v>
      </c>
      <c r="F1424" s="6">
        <v>449.34546189525105</v>
      </c>
      <c r="G1424" s="6">
        <v>4.540366330683449</v>
      </c>
      <c r="H1424" s="6">
        <v>8110342.5415539555</v>
      </c>
      <c r="I1424" s="6">
        <v>443.9965248788717</v>
      </c>
      <c r="J1424" s="6">
        <v>3.417076271952086</v>
      </c>
      <c r="K1424" s="6"/>
      <c r="L1424" s="6"/>
      <c r="M1424" s="6"/>
      <c r="N1424" s="6">
        <f t="shared" ref="N1424:P1424" si="1427">IF(LEN($C1424)&gt;0,H1424-E1424,"")</f>
        <v>-98935.31466</v>
      </c>
      <c r="O1424" s="6">
        <f t="shared" si="1427"/>
        <v>-5.348937016</v>
      </c>
      <c r="P1424" s="6">
        <f t="shared" si="1427"/>
        <v>-1.123290059</v>
      </c>
      <c r="Q1424" s="6"/>
      <c r="R1424" s="6"/>
      <c r="S1424" s="6"/>
      <c r="T1424" s="6"/>
      <c r="U1424" s="6"/>
      <c r="V1424" s="6"/>
      <c r="W1424" s="6"/>
      <c r="X1424" s="6"/>
      <c r="Y1424" s="6"/>
      <c r="Z1424" s="6"/>
      <c r="AA1424" s="6"/>
      <c r="AB1424" s="6"/>
      <c r="AC1424" s="6"/>
      <c r="AD1424" s="6"/>
      <c r="AE1424" s="6"/>
      <c r="AF1424" s="6"/>
      <c r="AG1424" s="6"/>
    </row>
    <row r="1425" ht="14.25" customHeight="1">
      <c r="A1425" s="6"/>
      <c r="B1425" s="6"/>
      <c r="C1425" s="6">
        <v>1418.0</v>
      </c>
      <c r="D1425" s="6"/>
      <c r="E1425" s="6">
        <v>7007240.816129762</v>
      </c>
      <c r="F1425" s="6">
        <v>451.6956535542835</v>
      </c>
      <c r="G1425" s="6">
        <v>5.975838461397247</v>
      </c>
      <c r="H1425" s="6">
        <v>6884694.884996042</v>
      </c>
      <c r="I1425" s="6">
        <v>445.663227020179</v>
      </c>
      <c r="J1425" s="6">
        <v>4.339217638893759</v>
      </c>
      <c r="K1425" s="6"/>
      <c r="L1425" s="6"/>
      <c r="M1425" s="6"/>
      <c r="N1425" s="6">
        <f t="shared" ref="N1425:P1425" si="1428">IF(LEN($C1425)&gt;0,H1425-E1425,"")</f>
        <v>-122545.9311</v>
      </c>
      <c r="O1425" s="6">
        <f t="shared" si="1428"/>
        <v>-6.032426534</v>
      </c>
      <c r="P1425" s="6">
        <f t="shared" si="1428"/>
        <v>-1.636620823</v>
      </c>
      <c r="Q1425" s="6"/>
      <c r="R1425" s="6"/>
      <c r="S1425" s="6"/>
      <c r="T1425" s="6"/>
      <c r="U1425" s="6"/>
      <c r="V1425" s="6"/>
      <c r="W1425" s="6"/>
      <c r="X1425" s="6"/>
      <c r="Y1425" s="6"/>
      <c r="Z1425" s="6"/>
      <c r="AA1425" s="6"/>
      <c r="AB1425" s="6"/>
      <c r="AC1425" s="6"/>
      <c r="AD1425" s="6"/>
      <c r="AE1425" s="6"/>
      <c r="AF1425" s="6"/>
      <c r="AG1425" s="6"/>
    </row>
    <row r="1426" ht="14.25" customHeight="1">
      <c r="A1426" s="6"/>
      <c r="B1426" s="6"/>
      <c r="C1426" s="6">
        <v>1419.0</v>
      </c>
      <c r="D1426" s="6"/>
      <c r="E1426" s="6">
        <v>7279966.962045643</v>
      </c>
      <c r="F1426" s="6">
        <v>478.2544773327691</v>
      </c>
      <c r="G1426" s="6">
        <v>4.016485278514952</v>
      </c>
      <c r="H1426" s="6">
        <v>7197131.235267838</v>
      </c>
      <c r="I1426" s="6">
        <v>472.8011680580221</v>
      </c>
      <c r="J1426" s="6">
        <v>3.085923852835113</v>
      </c>
      <c r="K1426" s="6"/>
      <c r="L1426" s="6"/>
      <c r="M1426" s="6"/>
      <c r="N1426" s="6">
        <f t="shared" ref="N1426:P1426" si="1429">IF(LEN($C1426)&gt;0,H1426-E1426,"")</f>
        <v>-82835.72678</v>
      </c>
      <c r="O1426" s="6">
        <f t="shared" si="1429"/>
        <v>-5.453309275</v>
      </c>
      <c r="P1426" s="6">
        <f t="shared" si="1429"/>
        <v>-0.9305614257</v>
      </c>
      <c r="Q1426" s="6"/>
      <c r="R1426" s="6"/>
      <c r="S1426" s="6"/>
      <c r="T1426" s="6"/>
      <c r="U1426" s="6"/>
      <c r="V1426" s="6"/>
      <c r="W1426" s="6"/>
      <c r="X1426" s="6"/>
      <c r="Y1426" s="6"/>
      <c r="Z1426" s="6"/>
      <c r="AA1426" s="6"/>
      <c r="AB1426" s="6"/>
      <c r="AC1426" s="6"/>
      <c r="AD1426" s="6"/>
      <c r="AE1426" s="6"/>
      <c r="AF1426" s="6"/>
      <c r="AG1426" s="6"/>
    </row>
    <row r="1427" ht="14.25" customHeight="1">
      <c r="A1427" s="6"/>
      <c r="B1427" s="6"/>
      <c r="C1427" s="6">
        <v>1420.0</v>
      </c>
      <c r="D1427" s="6"/>
      <c r="E1427" s="6">
        <v>8970579.184004236</v>
      </c>
      <c r="F1427" s="6">
        <v>449.18020562436095</v>
      </c>
      <c r="G1427" s="6">
        <v>5.116485036343284</v>
      </c>
      <c r="H1427" s="6">
        <v>8894482.272225315</v>
      </c>
      <c r="I1427" s="6">
        <v>445.7693840919908</v>
      </c>
      <c r="J1427" s="6">
        <v>4.3180938622388</v>
      </c>
      <c r="K1427" s="6"/>
      <c r="L1427" s="6"/>
      <c r="M1427" s="6"/>
      <c r="N1427" s="6">
        <f t="shared" ref="N1427:P1427" si="1430">IF(LEN($C1427)&gt;0,H1427-E1427,"")</f>
        <v>-76096.91178</v>
      </c>
      <c r="O1427" s="6">
        <f t="shared" si="1430"/>
        <v>-3.410821532</v>
      </c>
      <c r="P1427" s="6">
        <f t="shared" si="1430"/>
        <v>-0.7983911741</v>
      </c>
      <c r="Q1427" s="6"/>
      <c r="R1427" s="6"/>
      <c r="S1427" s="6"/>
      <c r="T1427" s="6"/>
      <c r="U1427" s="6"/>
      <c r="V1427" s="6"/>
      <c r="W1427" s="6"/>
      <c r="X1427" s="6"/>
      <c r="Y1427" s="6"/>
      <c r="Z1427" s="6"/>
      <c r="AA1427" s="6"/>
      <c r="AB1427" s="6"/>
      <c r="AC1427" s="6"/>
      <c r="AD1427" s="6"/>
      <c r="AE1427" s="6"/>
      <c r="AF1427" s="6"/>
      <c r="AG1427" s="6"/>
    </row>
    <row r="1428" ht="14.25" customHeight="1">
      <c r="A1428" s="6"/>
      <c r="B1428" s="6"/>
      <c r="C1428" s="6">
        <v>1421.0</v>
      </c>
      <c r="D1428" s="6"/>
      <c r="E1428" s="6">
        <v>7034893.884452122</v>
      </c>
      <c r="F1428" s="6">
        <v>493.2013652965725</v>
      </c>
      <c r="G1428" s="6">
        <v>4.305013865235784</v>
      </c>
      <c r="H1428" s="6">
        <v>6895862.7788462145</v>
      </c>
      <c r="I1428" s="6">
        <v>487.1393799712533</v>
      </c>
      <c r="J1428" s="6">
        <v>3.0199642173720815</v>
      </c>
      <c r="K1428" s="6"/>
      <c r="L1428" s="6"/>
      <c r="M1428" s="6"/>
      <c r="N1428" s="6">
        <f t="shared" ref="N1428:P1428" si="1431">IF(LEN($C1428)&gt;0,H1428-E1428,"")</f>
        <v>-139031.1056</v>
      </c>
      <c r="O1428" s="6">
        <f t="shared" si="1431"/>
        <v>-6.061985325</v>
      </c>
      <c r="P1428" s="6">
        <f t="shared" si="1431"/>
        <v>-1.285049648</v>
      </c>
      <c r="Q1428" s="6"/>
      <c r="R1428" s="6"/>
      <c r="S1428" s="6"/>
      <c r="T1428" s="6"/>
      <c r="U1428" s="6"/>
      <c r="V1428" s="6"/>
      <c r="W1428" s="6"/>
      <c r="X1428" s="6"/>
      <c r="Y1428" s="6"/>
      <c r="Z1428" s="6"/>
      <c r="AA1428" s="6"/>
      <c r="AB1428" s="6"/>
      <c r="AC1428" s="6"/>
      <c r="AD1428" s="6"/>
      <c r="AE1428" s="6"/>
      <c r="AF1428" s="6"/>
      <c r="AG1428" s="6"/>
    </row>
    <row r="1429" ht="14.25" customHeight="1">
      <c r="A1429" s="6"/>
      <c r="B1429" s="6"/>
      <c r="C1429" s="6">
        <v>1422.0</v>
      </c>
      <c r="D1429" s="6"/>
      <c r="E1429" s="6">
        <v>8575967.896164246</v>
      </c>
      <c r="F1429" s="6">
        <v>486.5239364279792</v>
      </c>
      <c r="G1429" s="6">
        <v>5.391755168688021</v>
      </c>
      <c r="H1429" s="6">
        <v>8413625.041348308</v>
      </c>
      <c r="I1429" s="6">
        <v>480.9471597900696</v>
      </c>
      <c r="J1429" s="6">
        <v>3.5350687870083393</v>
      </c>
      <c r="K1429" s="6"/>
      <c r="L1429" s="6"/>
      <c r="M1429" s="6"/>
      <c r="N1429" s="6">
        <f t="shared" ref="N1429:P1429" si="1432">IF(LEN($C1429)&gt;0,H1429-E1429,"")</f>
        <v>-162342.8548</v>
      </c>
      <c r="O1429" s="6">
        <f t="shared" si="1432"/>
        <v>-5.576776638</v>
      </c>
      <c r="P1429" s="6">
        <f t="shared" si="1432"/>
        <v>-1.856686382</v>
      </c>
      <c r="Q1429" s="6"/>
      <c r="R1429" s="6"/>
      <c r="S1429" s="6"/>
      <c r="T1429" s="6"/>
      <c r="U1429" s="6"/>
      <c r="V1429" s="6"/>
      <c r="W1429" s="6"/>
      <c r="X1429" s="6"/>
      <c r="Y1429" s="6"/>
      <c r="Z1429" s="6"/>
      <c r="AA1429" s="6"/>
      <c r="AB1429" s="6"/>
      <c r="AC1429" s="6"/>
      <c r="AD1429" s="6"/>
      <c r="AE1429" s="6"/>
      <c r="AF1429" s="6"/>
      <c r="AG1429" s="6"/>
    </row>
    <row r="1430" ht="14.25" customHeight="1">
      <c r="A1430" s="6"/>
      <c r="B1430" s="6"/>
      <c r="C1430" s="6">
        <v>1423.0</v>
      </c>
      <c r="D1430" s="6"/>
      <c r="E1430" s="6">
        <v>6921462.05959005</v>
      </c>
      <c r="F1430" s="6">
        <v>445.38840792203666</v>
      </c>
      <c r="G1430" s="6">
        <v>5.18213886281</v>
      </c>
      <c r="H1430" s="6">
        <v>6839180.4895488</v>
      </c>
      <c r="I1430" s="6">
        <v>441.15341104039686</v>
      </c>
      <c r="J1430" s="6">
        <v>3.867935669520068</v>
      </c>
      <c r="K1430" s="6"/>
      <c r="L1430" s="6"/>
      <c r="M1430" s="6"/>
      <c r="N1430" s="6">
        <f t="shared" ref="N1430:P1430" si="1433">IF(LEN($C1430)&gt;0,H1430-E1430,"")</f>
        <v>-82281.57004</v>
      </c>
      <c r="O1430" s="6">
        <f t="shared" si="1433"/>
        <v>-4.234996882</v>
      </c>
      <c r="P1430" s="6">
        <f t="shared" si="1433"/>
        <v>-1.314203193</v>
      </c>
      <c r="Q1430" s="6"/>
      <c r="R1430" s="6"/>
      <c r="S1430" s="6"/>
      <c r="T1430" s="6"/>
      <c r="U1430" s="6"/>
      <c r="V1430" s="6"/>
      <c r="W1430" s="6"/>
      <c r="X1430" s="6"/>
      <c r="Y1430" s="6"/>
      <c r="Z1430" s="6"/>
      <c r="AA1430" s="6"/>
      <c r="AB1430" s="6"/>
      <c r="AC1430" s="6"/>
      <c r="AD1430" s="6"/>
      <c r="AE1430" s="6"/>
      <c r="AF1430" s="6"/>
      <c r="AG1430" s="6"/>
    </row>
    <row r="1431" ht="14.25" customHeight="1">
      <c r="A1431" s="6"/>
      <c r="B1431" s="6"/>
      <c r="C1431" s="6">
        <v>1424.0</v>
      </c>
      <c r="D1431" s="6"/>
      <c r="E1431" s="6">
        <v>7259903.121015596</v>
      </c>
      <c r="F1431" s="6">
        <v>439.184473793034</v>
      </c>
      <c r="G1431" s="6">
        <v>3.6794041396137804</v>
      </c>
      <c r="H1431" s="6">
        <v>7210908.353191557</v>
      </c>
      <c r="I1431" s="6">
        <v>437.1817069826174</v>
      </c>
      <c r="J1431" s="6">
        <v>3.073626552498435</v>
      </c>
      <c r="K1431" s="6"/>
      <c r="L1431" s="6"/>
      <c r="M1431" s="6"/>
      <c r="N1431" s="6">
        <f t="shared" ref="N1431:P1431" si="1434">IF(LEN($C1431)&gt;0,H1431-E1431,"")</f>
        <v>-48994.76782</v>
      </c>
      <c r="O1431" s="6">
        <f t="shared" si="1434"/>
        <v>-2.00276681</v>
      </c>
      <c r="P1431" s="6">
        <f t="shared" si="1434"/>
        <v>-0.6057775871</v>
      </c>
      <c r="Q1431" s="6"/>
      <c r="R1431" s="6"/>
      <c r="S1431" s="6"/>
      <c r="T1431" s="6"/>
      <c r="U1431" s="6"/>
      <c r="V1431" s="6"/>
      <c r="W1431" s="6"/>
      <c r="X1431" s="6"/>
      <c r="Y1431" s="6"/>
      <c r="Z1431" s="6"/>
      <c r="AA1431" s="6"/>
      <c r="AB1431" s="6"/>
      <c r="AC1431" s="6"/>
      <c r="AD1431" s="6"/>
      <c r="AE1431" s="6"/>
      <c r="AF1431" s="6"/>
      <c r="AG1431" s="6"/>
    </row>
    <row r="1432" ht="14.25" customHeight="1">
      <c r="A1432" s="6"/>
      <c r="B1432" s="6"/>
      <c r="C1432" s="6">
        <v>1425.0</v>
      </c>
      <c r="D1432" s="6"/>
      <c r="E1432" s="6">
        <v>7509572.55224142</v>
      </c>
      <c r="F1432" s="6">
        <v>434.37230193620644</v>
      </c>
      <c r="G1432" s="6">
        <v>3.9367781351033764</v>
      </c>
      <c r="H1432" s="6">
        <v>7437206.609941598</v>
      </c>
      <c r="I1432" s="6">
        <v>431.6275242764037</v>
      </c>
      <c r="J1432" s="6">
        <v>2.8793078780463954</v>
      </c>
      <c r="K1432" s="6"/>
      <c r="L1432" s="6"/>
      <c r="M1432" s="6"/>
      <c r="N1432" s="6">
        <f t="shared" ref="N1432:P1432" si="1435">IF(LEN($C1432)&gt;0,H1432-E1432,"")</f>
        <v>-72365.9423</v>
      </c>
      <c r="O1432" s="6">
        <f t="shared" si="1435"/>
        <v>-2.74477766</v>
      </c>
      <c r="P1432" s="6">
        <f t="shared" si="1435"/>
        <v>-1.057470257</v>
      </c>
      <c r="Q1432" s="6"/>
      <c r="R1432" s="6"/>
      <c r="S1432" s="6"/>
      <c r="T1432" s="6"/>
      <c r="U1432" s="6"/>
      <c r="V1432" s="6"/>
      <c r="W1432" s="6"/>
      <c r="X1432" s="6"/>
      <c r="Y1432" s="6"/>
      <c r="Z1432" s="6"/>
      <c r="AA1432" s="6"/>
      <c r="AB1432" s="6"/>
      <c r="AC1432" s="6"/>
      <c r="AD1432" s="6"/>
      <c r="AE1432" s="6"/>
      <c r="AF1432" s="6"/>
      <c r="AG1432" s="6"/>
    </row>
    <row r="1433" ht="14.25" customHeight="1">
      <c r="A1433" s="6"/>
      <c r="B1433" s="6"/>
      <c r="C1433" s="6">
        <v>1426.0</v>
      </c>
      <c r="D1433" s="6"/>
      <c r="E1433" s="6">
        <v>6061900.616108125</v>
      </c>
      <c r="F1433" s="6">
        <v>473.2054952342692</v>
      </c>
      <c r="G1433" s="6">
        <v>4.933996785855113</v>
      </c>
      <c r="H1433" s="6">
        <v>5942838.143610599</v>
      </c>
      <c r="I1433" s="6">
        <v>468.3906162438665</v>
      </c>
      <c r="J1433" s="6">
        <v>3.3361091104925857</v>
      </c>
      <c r="K1433" s="6"/>
      <c r="L1433" s="6"/>
      <c r="M1433" s="6"/>
      <c r="N1433" s="6">
        <f t="shared" ref="N1433:P1433" si="1436">IF(LEN($C1433)&gt;0,H1433-E1433,"")</f>
        <v>-119062.4725</v>
      </c>
      <c r="O1433" s="6">
        <f t="shared" si="1436"/>
        <v>-4.81487899</v>
      </c>
      <c r="P1433" s="6">
        <f t="shared" si="1436"/>
        <v>-1.597887675</v>
      </c>
      <c r="Q1433" s="6"/>
      <c r="R1433" s="6"/>
      <c r="S1433" s="6"/>
      <c r="T1433" s="6"/>
      <c r="U1433" s="6"/>
      <c r="V1433" s="6"/>
      <c r="W1433" s="6"/>
      <c r="X1433" s="6"/>
      <c r="Y1433" s="6"/>
      <c r="Z1433" s="6"/>
      <c r="AA1433" s="6"/>
      <c r="AB1433" s="6"/>
      <c r="AC1433" s="6"/>
      <c r="AD1433" s="6"/>
      <c r="AE1433" s="6"/>
      <c r="AF1433" s="6"/>
      <c r="AG1433" s="6"/>
    </row>
    <row r="1434" ht="14.25" customHeight="1">
      <c r="A1434" s="6"/>
      <c r="B1434" s="6"/>
      <c r="C1434" s="6">
        <v>1427.0</v>
      </c>
      <c r="D1434" s="6"/>
      <c r="E1434" s="6">
        <v>7126230.406185615</v>
      </c>
      <c r="F1434" s="6">
        <v>447.33200158170945</v>
      </c>
      <c r="G1434" s="6">
        <v>4.183928521586099</v>
      </c>
      <c r="H1434" s="6">
        <v>6988517.868926241</v>
      </c>
      <c r="I1434" s="6">
        <v>440.05823855351093</v>
      </c>
      <c r="J1434" s="6">
        <v>2.8879872571377847</v>
      </c>
      <c r="K1434" s="6"/>
      <c r="L1434" s="6"/>
      <c r="M1434" s="6"/>
      <c r="N1434" s="6">
        <f t="shared" ref="N1434:P1434" si="1437">IF(LEN($C1434)&gt;0,H1434-E1434,"")</f>
        <v>-137712.5373</v>
      </c>
      <c r="O1434" s="6">
        <f t="shared" si="1437"/>
        <v>-7.273763028</v>
      </c>
      <c r="P1434" s="6">
        <f t="shared" si="1437"/>
        <v>-1.295941264</v>
      </c>
      <c r="Q1434" s="6"/>
      <c r="R1434" s="6"/>
      <c r="S1434" s="6"/>
      <c r="T1434" s="6"/>
      <c r="U1434" s="6"/>
      <c r="V1434" s="6"/>
      <c r="W1434" s="6"/>
      <c r="X1434" s="6"/>
      <c r="Y1434" s="6"/>
      <c r="Z1434" s="6"/>
      <c r="AA1434" s="6"/>
      <c r="AB1434" s="6"/>
      <c r="AC1434" s="6"/>
      <c r="AD1434" s="6"/>
      <c r="AE1434" s="6"/>
      <c r="AF1434" s="6"/>
      <c r="AG1434" s="6"/>
    </row>
    <row r="1435" ht="14.25" customHeight="1">
      <c r="A1435" s="6"/>
      <c r="B1435" s="6"/>
      <c r="C1435" s="6">
        <v>1428.0</v>
      </c>
      <c r="D1435" s="6"/>
      <c r="E1435" s="6">
        <v>5753412.569090128</v>
      </c>
      <c r="F1435" s="6">
        <v>423.62519736180656</v>
      </c>
      <c r="G1435" s="6">
        <v>3.674158886053763</v>
      </c>
      <c r="H1435" s="6">
        <v>5692679.268694427</v>
      </c>
      <c r="I1435" s="6">
        <v>422.07650407384324</v>
      </c>
      <c r="J1435" s="6">
        <v>2.6487400919880404</v>
      </c>
      <c r="K1435" s="6"/>
      <c r="L1435" s="6"/>
      <c r="M1435" s="6"/>
      <c r="N1435" s="6">
        <f t="shared" ref="N1435:P1435" si="1438">IF(LEN($C1435)&gt;0,H1435-E1435,"")</f>
        <v>-60733.3004</v>
      </c>
      <c r="O1435" s="6">
        <f t="shared" si="1438"/>
        <v>-1.548693288</v>
      </c>
      <c r="P1435" s="6">
        <f t="shared" si="1438"/>
        <v>-1.025418794</v>
      </c>
      <c r="Q1435" s="6"/>
      <c r="R1435" s="6"/>
      <c r="S1435" s="6"/>
      <c r="T1435" s="6"/>
      <c r="U1435" s="6"/>
      <c r="V1435" s="6"/>
      <c r="W1435" s="6"/>
      <c r="X1435" s="6"/>
      <c r="Y1435" s="6"/>
      <c r="Z1435" s="6"/>
      <c r="AA1435" s="6"/>
      <c r="AB1435" s="6"/>
      <c r="AC1435" s="6"/>
      <c r="AD1435" s="6"/>
      <c r="AE1435" s="6"/>
      <c r="AF1435" s="6"/>
      <c r="AG1435" s="6"/>
    </row>
    <row r="1436" ht="14.25" customHeight="1">
      <c r="A1436" s="6"/>
      <c r="B1436" s="6"/>
      <c r="C1436" s="6">
        <v>1429.0</v>
      </c>
      <c r="D1436" s="6"/>
      <c r="E1436" s="6">
        <v>7071743.816892856</v>
      </c>
      <c r="F1436" s="6">
        <v>466.0342491559269</v>
      </c>
      <c r="G1436" s="6">
        <v>5.556763282314562</v>
      </c>
      <c r="H1436" s="6">
        <v>7004887.595885199</v>
      </c>
      <c r="I1436" s="6">
        <v>463.65848813425225</v>
      </c>
      <c r="J1436" s="6">
        <v>4.393681835951909</v>
      </c>
      <c r="K1436" s="6"/>
      <c r="L1436" s="6"/>
      <c r="M1436" s="6"/>
      <c r="N1436" s="6">
        <f t="shared" ref="N1436:P1436" si="1439">IF(LEN($C1436)&gt;0,H1436-E1436,"")</f>
        <v>-66856.22101</v>
      </c>
      <c r="O1436" s="6">
        <f t="shared" si="1439"/>
        <v>-2.375761022</v>
      </c>
      <c r="P1436" s="6">
        <f t="shared" si="1439"/>
        <v>-1.163081446</v>
      </c>
      <c r="Q1436" s="6"/>
      <c r="R1436" s="6"/>
      <c r="S1436" s="6"/>
      <c r="T1436" s="6"/>
      <c r="U1436" s="6"/>
      <c r="V1436" s="6"/>
      <c r="W1436" s="6"/>
      <c r="X1436" s="6"/>
      <c r="Y1436" s="6"/>
      <c r="Z1436" s="6"/>
      <c r="AA1436" s="6"/>
      <c r="AB1436" s="6"/>
      <c r="AC1436" s="6"/>
      <c r="AD1436" s="6"/>
      <c r="AE1436" s="6"/>
      <c r="AF1436" s="6"/>
      <c r="AG1436" s="6"/>
    </row>
    <row r="1437" ht="14.25" customHeight="1">
      <c r="A1437" s="6"/>
      <c r="B1437" s="6"/>
      <c r="C1437" s="6">
        <v>1430.0</v>
      </c>
      <c r="D1437" s="6"/>
      <c r="E1437" s="6">
        <v>5995943.443086684</v>
      </c>
      <c r="F1437" s="6">
        <v>441.8674062967792</v>
      </c>
      <c r="G1437" s="6">
        <v>5.279275819726765</v>
      </c>
      <c r="H1437" s="6">
        <v>5942725.567315414</v>
      </c>
      <c r="I1437" s="6">
        <v>439.4503380299761</v>
      </c>
      <c r="J1437" s="6">
        <v>4.213780500846746</v>
      </c>
      <c r="K1437" s="6"/>
      <c r="L1437" s="6"/>
      <c r="M1437" s="6"/>
      <c r="N1437" s="6">
        <f t="shared" ref="N1437:P1437" si="1440">IF(LEN($C1437)&gt;0,H1437-E1437,"")</f>
        <v>-53217.87577</v>
      </c>
      <c r="O1437" s="6">
        <f t="shared" si="1440"/>
        <v>-2.417068267</v>
      </c>
      <c r="P1437" s="6">
        <f t="shared" si="1440"/>
        <v>-1.065495319</v>
      </c>
      <c r="Q1437" s="6"/>
      <c r="R1437" s="6"/>
      <c r="S1437" s="6"/>
      <c r="T1437" s="6"/>
      <c r="U1437" s="6"/>
      <c r="V1437" s="6"/>
      <c r="W1437" s="6"/>
      <c r="X1437" s="6"/>
      <c r="Y1437" s="6"/>
      <c r="Z1437" s="6"/>
      <c r="AA1437" s="6"/>
      <c r="AB1437" s="6"/>
      <c r="AC1437" s="6"/>
      <c r="AD1437" s="6"/>
      <c r="AE1437" s="6"/>
      <c r="AF1437" s="6"/>
      <c r="AG1437" s="6"/>
    </row>
    <row r="1438" ht="14.25" customHeight="1">
      <c r="A1438" s="6"/>
      <c r="B1438" s="6"/>
      <c r="C1438" s="6">
        <v>1431.0</v>
      </c>
      <c r="D1438" s="6"/>
      <c r="E1438" s="6">
        <v>7246267.619325325</v>
      </c>
      <c r="F1438" s="6">
        <v>436.6993606087946</v>
      </c>
      <c r="G1438" s="6">
        <v>4.503036356311423</v>
      </c>
      <c r="H1438" s="6">
        <v>7170916.808511325</v>
      </c>
      <c r="I1438" s="6">
        <v>434.0057181368207</v>
      </c>
      <c r="J1438" s="6">
        <v>3.2913595871709704</v>
      </c>
      <c r="K1438" s="6"/>
      <c r="L1438" s="6"/>
      <c r="M1438" s="6"/>
      <c r="N1438" s="6">
        <f t="shared" ref="N1438:P1438" si="1441">IF(LEN($C1438)&gt;0,H1438-E1438,"")</f>
        <v>-75350.81081</v>
      </c>
      <c r="O1438" s="6">
        <f t="shared" si="1441"/>
        <v>-2.693642472</v>
      </c>
      <c r="P1438" s="6">
        <f t="shared" si="1441"/>
        <v>-1.211676769</v>
      </c>
      <c r="Q1438" s="6"/>
      <c r="R1438" s="6"/>
      <c r="S1438" s="6"/>
      <c r="T1438" s="6"/>
      <c r="U1438" s="6"/>
      <c r="V1438" s="6"/>
      <c r="W1438" s="6"/>
      <c r="X1438" s="6"/>
      <c r="Y1438" s="6"/>
      <c r="Z1438" s="6"/>
      <c r="AA1438" s="6"/>
      <c r="AB1438" s="6"/>
      <c r="AC1438" s="6"/>
      <c r="AD1438" s="6"/>
      <c r="AE1438" s="6"/>
      <c r="AF1438" s="6"/>
      <c r="AG1438" s="6"/>
    </row>
    <row r="1439" ht="14.25" customHeight="1">
      <c r="A1439" s="6"/>
      <c r="B1439" s="6"/>
      <c r="C1439" s="6">
        <v>1432.0</v>
      </c>
      <c r="D1439" s="6"/>
      <c r="E1439" s="6">
        <v>7274149.579872638</v>
      </c>
      <c r="F1439" s="6">
        <v>484.44537752609625</v>
      </c>
      <c r="G1439" s="6">
        <v>4.639676962339429</v>
      </c>
      <c r="H1439" s="6">
        <v>7191402.292278998</v>
      </c>
      <c r="I1439" s="6">
        <v>480.64133570832433</v>
      </c>
      <c r="J1439" s="6">
        <v>3.5460379363653294</v>
      </c>
      <c r="K1439" s="6"/>
      <c r="L1439" s="6"/>
      <c r="M1439" s="6"/>
      <c r="N1439" s="6">
        <f t="shared" ref="N1439:P1439" si="1442">IF(LEN($C1439)&gt;0,H1439-E1439,"")</f>
        <v>-82747.28759</v>
      </c>
      <c r="O1439" s="6">
        <f t="shared" si="1442"/>
        <v>-3.804041818</v>
      </c>
      <c r="P1439" s="6">
        <f t="shared" si="1442"/>
        <v>-1.093639026</v>
      </c>
      <c r="Q1439" s="6"/>
      <c r="R1439" s="6"/>
      <c r="S1439" s="6"/>
      <c r="T1439" s="6"/>
      <c r="U1439" s="6"/>
      <c r="V1439" s="6"/>
      <c r="W1439" s="6"/>
      <c r="X1439" s="6"/>
      <c r="Y1439" s="6"/>
      <c r="Z1439" s="6"/>
      <c r="AA1439" s="6"/>
      <c r="AB1439" s="6"/>
      <c r="AC1439" s="6"/>
      <c r="AD1439" s="6"/>
      <c r="AE1439" s="6"/>
      <c r="AF1439" s="6"/>
      <c r="AG1439" s="6"/>
    </row>
    <row r="1440" ht="14.25" customHeight="1">
      <c r="A1440" s="6"/>
      <c r="B1440" s="6"/>
      <c r="C1440" s="6">
        <v>1433.0</v>
      </c>
      <c r="D1440" s="6"/>
      <c r="E1440" s="6">
        <v>8845202.467526212</v>
      </c>
      <c r="F1440" s="6">
        <v>516.358284832435</v>
      </c>
      <c r="G1440" s="6">
        <v>3.868975922581819</v>
      </c>
      <c r="H1440" s="6">
        <v>8658266.67847579</v>
      </c>
      <c r="I1440" s="6">
        <v>507.0047369465212</v>
      </c>
      <c r="J1440" s="6">
        <v>2.6495432947164708</v>
      </c>
      <c r="K1440" s="6"/>
      <c r="L1440" s="6"/>
      <c r="M1440" s="6"/>
      <c r="N1440" s="6">
        <f t="shared" ref="N1440:P1440" si="1443">IF(LEN($C1440)&gt;0,H1440-E1440,"")</f>
        <v>-186935.7891</v>
      </c>
      <c r="O1440" s="6">
        <f t="shared" si="1443"/>
        <v>-9.353547886</v>
      </c>
      <c r="P1440" s="6">
        <f t="shared" si="1443"/>
        <v>-1.219432628</v>
      </c>
      <c r="Q1440" s="6"/>
      <c r="R1440" s="6"/>
      <c r="S1440" s="6"/>
      <c r="T1440" s="6"/>
      <c r="U1440" s="6"/>
      <c r="V1440" s="6"/>
      <c r="W1440" s="6"/>
      <c r="X1440" s="6"/>
      <c r="Y1440" s="6"/>
      <c r="Z1440" s="6"/>
      <c r="AA1440" s="6"/>
      <c r="AB1440" s="6"/>
      <c r="AC1440" s="6"/>
      <c r="AD1440" s="6"/>
      <c r="AE1440" s="6"/>
      <c r="AF1440" s="6"/>
      <c r="AG1440" s="6"/>
    </row>
    <row r="1441" ht="14.25" customHeight="1">
      <c r="A1441" s="6"/>
      <c r="B1441" s="6"/>
      <c r="C1441" s="6">
        <v>1434.0</v>
      </c>
      <c r="D1441" s="6"/>
      <c r="E1441" s="6">
        <v>7921217.345588265</v>
      </c>
      <c r="F1441" s="6">
        <v>450.504286501926</v>
      </c>
      <c r="G1441" s="6">
        <v>5.03808517491568</v>
      </c>
      <c r="H1441" s="6">
        <v>7842033.301203748</v>
      </c>
      <c r="I1441" s="6">
        <v>447.3473802870646</v>
      </c>
      <c r="J1441" s="6">
        <v>3.7742931010391656</v>
      </c>
      <c r="K1441" s="6"/>
      <c r="L1441" s="6"/>
      <c r="M1441" s="6"/>
      <c r="N1441" s="6">
        <f t="shared" ref="N1441:P1441" si="1444">IF(LEN($C1441)&gt;0,H1441-E1441,"")</f>
        <v>-79184.04438</v>
      </c>
      <c r="O1441" s="6">
        <f t="shared" si="1444"/>
        <v>-3.156906215</v>
      </c>
      <c r="P1441" s="6">
        <f t="shared" si="1444"/>
        <v>-1.263792074</v>
      </c>
      <c r="Q1441" s="6"/>
      <c r="R1441" s="6"/>
      <c r="S1441" s="6"/>
      <c r="T1441" s="6"/>
      <c r="U1441" s="6"/>
      <c r="V1441" s="6"/>
      <c r="W1441" s="6"/>
      <c r="X1441" s="6"/>
      <c r="Y1441" s="6"/>
      <c r="Z1441" s="6"/>
      <c r="AA1441" s="6"/>
      <c r="AB1441" s="6"/>
      <c r="AC1441" s="6"/>
      <c r="AD1441" s="6"/>
      <c r="AE1441" s="6"/>
      <c r="AF1441" s="6"/>
      <c r="AG1441" s="6"/>
    </row>
    <row r="1442" ht="14.25" customHeight="1">
      <c r="A1442" s="6"/>
      <c r="B1442" s="6"/>
      <c r="C1442" s="6">
        <v>1435.0</v>
      </c>
      <c r="D1442" s="6"/>
      <c r="E1442" s="6">
        <v>6250413.649365936</v>
      </c>
      <c r="F1442" s="6">
        <v>457.8779975540573</v>
      </c>
      <c r="G1442" s="6">
        <v>5.280274960028098</v>
      </c>
      <c r="H1442" s="6">
        <v>6139939.003074383</v>
      </c>
      <c r="I1442" s="6">
        <v>454.70272987846823</v>
      </c>
      <c r="J1442" s="6">
        <v>3.7163743311656323</v>
      </c>
      <c r="K1442" s="6"/>
      <c r="L1442" s="6"/>
      <c r="M1442" s="6"/>
      <c r="N1442" s="6">
        <f t="shared" ref="N1442:P1442" si="1445">IF(LEN($C1442)&gt;0,H1442-E1442,"")</f>
        <v>-110474.6463</v>
      </c>
      <c r="O1442" s="6">
        <f t="shared" si="1445"/>
        <v>-3.175267676</v>
      </c>
      <c r="P1442" s="6">
        <f t="shared" si="1445"/>
        <v>-1.563900629</v>
      </c>
      <c r="Q1442" s="6"/>
      <c r="R1442" s="6"/>
      <c r="S1442" s="6"/>
      <c r="T1442" s="6"/>
      <c r="U1442" s="6"/>
      <c r="V1442" s="6"/>
      <c r="W1442" s="6"/>
      <c r="X1442" s="6"/>
      <c r="Y1442" s="6"/>
      <c r="Z1442" s="6"/>
      <c r="AA1442" s="6"/>
      <c r="AB1442" s="6"/>
      <c r="AC1442" s="6"/>
      <c r="AD1442" s="6"/>
      <c r="AE1442" s="6"/>
      <c r="AF1442" s="6"/>
      <c r="AG1442" s="6"/>
    </row>
    <row r="1443" ht="14.25" customHeight="1">
      <c r="A1443" s="6"/>
      <c r="B1443" s="6"/>
      <c r="C1443" s="6">
        <v>1436.0</v>
      </c>
      <c r="D1443" s="6"/>
      <c r="E1443" s="6">
        <v>7869326.546817262</v>
      </c>
      <c r="F1443" s="6">
        <v>503.2230843908716</v>
      </c>
      <c r="G1443" s="6">
        <v>4.520034567350161</v>
      </c>
      <c r="H1443" s="6">
        <v>7747391.76246195</v>
      </c>
      <c r="I1443" s="6">
        <v>496.9738112430392</v>
      </c>
      <c r="J1443" s="6">
        <v>3.200056732413597</v>
      </c>
      <c r="K1443" s="6"/>
      <c r="L1443" s="6"/>
      <c r="M1443" s="6"/>
      <c r="N1443" s="6">
        <f t="shared" ref="N1443:P1443" si="1446">IF(LEN($C1443)&gt;0,H1443-E1443,"")</f>
        <v>-121934.7844</v>
      </c>
      <c r="O1443" s="6">
        <f t="shared" si="1446"/>
        <v>-6.249273148</v>
      </c>
      <c r="P1443" s="6">
        <f t="shared" si="1446"/>
        <v>-1.319977835</v>
      </c>
      <c r="Q1443" s="6"/>
      <c r="R1443" s="6"/>
      <c r="S1443" s="6"/>
      <c r="T1443" s="6"/>
      <c r="U1443" s="6"/>
      <c r="V1443" s="6"/>
      <c r="W1443" s="6"/>
      <c r="X1443" s="6"/>
      <c r="Y1443" s="6"/>
      <c r="Z1443" s="6"/>
      <c r="AA1443" s="6"/>
      <c r="AB1443" s="6"/>
      <c r="AC1443" s="6"/>
      <c r="AD1443" s="6"/>
      <c r="AE1443" s="6"/>
      <c r="AF1443" s="6"/>
      <c r="AG1443" s="6"/>
    </row>
    <row r="1444" ht="14.25" customHeight="1">
      <c r="A1444" s="6"/>
      <c r="B1444" s="6"/>
      <c r="C1444" s="6">
        <v>1437.0</v>
      </c>
      <c r="D1444" s="6"/>
      <c r="E1444" s="6">
        <v>5407194.133944917</v>
      </c>
      <c r="F1444" s="6">
        <v>478.17888294911876</v>
      </c>
      <c r="G1444" s="6">
        <v>5.9953243563519</v>
      </c>
      <c r="H1444" s="6">
        <v>5341033.817976659</v>
      </c>
      <c r="I1444" s="6">
        <v>475.3417243140745</v>
      </c>
      <c r="J1444" s="6">
        <v>4.736495416786415</v>
      </c>
      <c r="K1444" s="6"/>
      <c r="L1444" s="6"/>
      <c r="M1444" s="6"/>
      <c r="N1444" s="6">
        <f t="shared" ref="N1444:P1444" si="1447">IF(LEN($C1444)&gt;0,H1444-E1444,"")</f>
        <v>-66160.31597</v>
      </c>
      <c r="O1444" s="6">
        <f t="shared" si="1447"/>
        <v>-2.837158635</v>
      </c>
      <c r="P1444" s="6">
        <f t="shared" si="1447"/>
        <v>-1.25882894</v>
      </c>
      <c r="Q1444" s="6"/>
      <c r="R1444" s="6"/>
      <c r="S1444" s="6"/>
      <c r="T1444" s="6"/>
      <c r="U1444" s="6"/>
      <c r="V1444" s="6"/>
      <c r="W1444" s="6"/>
      <c r="X1444" s="6"/>
      <c r="Y1444" s="6"/>
      <c r="Z1444" s="6"/>
      <c r="AA1444" s="6"/>
      <c r="AB1444" s="6"/>
      <c r="AC1444" s="6"/>
      <c r="AD1444" s="6"/>
      <c r="AE1444" s="6"/>
      <c r="AF1444" s="6"/>
      <c r="AG1444" s="6"/>
    </row>
    <row r="1445" ht="14.25" customHeight="1">
      <c r="A1445" s="6"/>
      <c r="B1445" s="6"/>
      <c r="C1445" s="6">
        <v>1438.0</v>
      </c>
      <c r="D1445" s="6"/>
      <c r="E1445" s="6">
        <v>6924773.359836115</v>
      </c>
      <c r="F1445" s="6">
        <v>486.01834935857903</v>
      </c>
      <c r="G1445" s="6">
        <v>6.177733468773018</v>
      </c>
      <c r="H1445" s="6">
        <v>6716306.03568691</v>
      </c>
      <c r="I1445" s="6">
        <v>477.9732211274549</v>
      </c>
      <c r="J1445" s="6">
        <v>4.0593173785446925</v>
      </c>
      <c r="K1445" s="6"/>
      <c r="L1445" s="6"/>
      <c r="M1445" s="6"/>
      <c r="N1445" s="6">
        <f t="shared" ref="N1445:P1445" si="1448">IF(LEN($C1445)&gt;0,H1445-E1445,"")</f>
        <v>-208467.3241</v>
      </c>
      <c r="O1445" s="6">
        <f t="shared" si="1448"/>
        <v>-8.045128231</v>
      </c>
      <c r="P1445" s="6">
        <f t="shared" si="1448"/>
        <v>-2.11841609</v>
      </c>
      <c r="Q1445" s="6"/>
      <c r="R1445" s="6"/>
      <c r="S1445" s="6"/>
      <c r="T1445" s="6"/>
      <c r="U1445" s="6"/>
      <c r="V1445" s="6"/>
      <c r="W1445" s="6"/>
      <c r="X1445" s="6"/>
      <c r="Y1445" s="6"/>
      <c r="Z1445" s="6"/>
      <c r="AA1445" s="6"/>
      <c r="AB1445" s="6"/>
      <c r="AC1445" s="6"/>
      <c r="AD1445" s="6"/>
      <c r="AE1445" s="6"/>
      <c r="AF1445" s="6"/>
      <c r="AG1445" s="6"/>
    </row>
    <row r="1446" ht="14.25" customHeight="1">
      <c r="A1446" s="6"/>
      <c r="B1446" s="6"/>
      <c r="C1446" s="6">
        <v>1439.0</v>
      </c>
      <c r="D1446" s="6"/>
      <c r="E1446" s="6">
        <v>7440865.963123526</v>
      </c>
      <c r="F1446" s="6">
        <v>459.7244687884659</v>
      </c>
      <c r="G1446" s="6">
        <v>4.8552001891051875</v>
      </c>
      <c r="H1446" s="6">
        <v>7365338.623890141</v>
      </c>
      <c r="I1446" s="6">
        <v>455.6209113171904</v>
      </c>
      <c r="J1446" s="6">
        <v>4.273994811147081</v>
      </c>
      <c r="K1446" s="6"/>
      <c r="L1446" s="6"/>
      <c r="M1446" s="6"/>
      <c r="N1446" s="6">
        <f t="shared" ref="N1446:P1446" si="1449">IF(LEN($C1446)&gt;0,H1446-E1446,"")</f>
        <v>-75527.33923</v>
      </c>
      <c r="O1446" s="6">
        <f t="shared" si="1449"/>
        <v>-4.103557471</v>
      </c>
      <c r="P1446" s="6">
        <f t="shared" si="1449"/>
        <v>-0.581205378</v>
      </c>
      <c r="Q1446" s="6"/>
      <c r="R1446" s="6"/>
      <c r="S1446" s="6"/>
      <c r="T1446" s="6"/>
      <c r="U1446" s="6"/>
      <c r="V1446" s="6"/>
      <c r="W1446" s="6"/>
      <c r="X1446" s="6"/>
      <c r="Y1446" s="6"/>
      <c r="Z1446" s="6"/>
      <c r="AA1446" s="6"/>
      <c r="AB1446" s="6"/>
      <c r="AC1446" s="6"/>
      <c r="AD1446" s="6"/>
      <c r="AE1446" s="6"/>
      <c r="AF1446" s="6"/>
      <c r="AG1446" s="6"/>
    </row>
    <row r="1447" ht="14.25" customHeight="1">
      <c r="A1447" s="6"/>
      <c r="B1447" s="6"/>
      <c r="C1447" s="6">
        <v>1440.0</v>
      </c>
      <c r="D1447" s="6"/>
      <c r="E1447" s="6">
        <v>9610667.782501888</v>
      </c>
      <c r="F1447" s="6">
        <v>492.6915930182116</v>
      </c>
      <c r="G1447" s="6">
        <v>4.368111599135541</v>
      </c>
      <c r="H1447" s="6">
        <v>9468767.69846467</v>
      </c>
      <c r="I1447" s="6">
        <v>486.4725540500579</v>
      </c>
      <c r="J1447" s="6">
        <v>2.992783188041459</v>
      </c>
      <c r="K1447" s="6"/>
      <c r="L1447" s="6"/>
      <c r="M1447" s="6"/>
      <c r="N1447" s="6">
        <f t="shared" ref="N1447:P1447" si="1450">IF(LEN($C1447)&gt;0,H1447-E1447,"")</f>
        <v>-141900.084</v>
      </c>
      <c r="O1447" s="6">
        <f t="shared" si="1450"/>
        <v>-6.219038968</v>
      </c>
      <c r="P1447" s="6">
        <f t="shared" si="1450"/>
        <v>-1.375328411</v>
      </c>
      <c r="Q1447" s="6"/>
      <c r="R1447" s="6"/>
      <c r="S1447" s="6"/>
      <c r="T1447" s="6"/>
      <c r="U1447" s="6"/>
      <c r="V1447" s="6"/>
      <c r="W1447" s="6"/>
      <c r="X1447" s="6"/>
      <c r="Y1447" s="6"/>
      <c r="Z1447" s="6"/>
      <c r="AA1447" s="6"/>
      <c r="AB1447" s="6"/>
      <c r="AC1447" s="6"/>
      <c r="AD1447" s="6"/>
      <c r="AE1447" s="6"/>
      <c r="AF1447" s="6"/>
      <c r="AG1447" s="6"/>
    </row>
    <row r="1448" ht="14.25" customHeight="1">
      <c r="A1448" s="6"/>
      <c r="B1448" s="6"/>
      <c r="C1448" s="6">
        <v>1441.0</v>
      </c>
      <c r="D1448" s="6"/>
      <c r="E1448" s="6">
        <v>6850371.825932334</v>
      </c>
      <c r="F1448" s="6">
        <v>489.78819003403055</v>
      </c>
      <c r="G1448" s="6">
        <v>6.320800614061163</v>
      </c>
      <c r="H1448" s="6">
        <v>6777804.795589132</v>
      </c>
      <c r="I1448" s="6">
        <v>486.5060309451833</v>
      </c>
      <c r="J1448" s="6">
        <v>5.5395970282015465</v>
      </c>
      <c r="K1448" s="6"/>
      <c r="L1448" s="6"/>
      <c r="M1448" s="6"/>
      <c r="N1448" s="6">
        <f t="shared" ref="N1448:P1448" si="1451">IF(LEN($C1448)&gt;0,H1448-E1448,"")</f>
        <v>-72567.03034</v>
      </c>
      <c r="O1448" s="6">
        <f t="shared" si="1451"/>
        <v>-3.282159089</v>
      </c>
      <c r="P1448" s="6">
        <f t="shared" si="1451"/>
        <v>-0.7812035859</v>
      </c>
      <c r="Q1448" s="6"/>
      <c r="R1448" s="6"/>
      <c r="S1448" s="6"/>
      <c r="T1448" s="6"/>
      <c r="U1448" s="6"/>
      <c r="V1448" s="6"/>
      <c r="W1448" s="6"/>
      <c r="X1448" s="6"/>
      <c r="Y1448" s="6"/>
      <c r="Z1448" s="6"/>
      <c r="AA1448" s="6"/>
      <c r="AB1448" s="6"/>
      <c r="AC1448" s="6"/>
      <c r="AD1448" s="6"/>
      <c r="AE1448" s="6"/>
      <c r="AF1448" s="6"/>
      <c r="AG1448" s="6"/>
    </row>
    <row r="1449" ht="14.25" customHeight="1">
      <c r="A1449" s="6"/>
      <c r="B1449" s="6"/>
      <c r="C1449" s="6">
        <v>1442.0</v>
      </c>
      <c r="D1449" s="6"/>
      <c r="E1449" s="6">
        <v>7386047.631508843</v>
      </c>
      <c r="F1449" s="6">
        <v>491.73843751814104</v>
      </c>
      <c r="G1449" s="6">
        <v>4.566875376119716</v>
      </c>
      <c r="H1449" s="6">
        <v>7284566.898413849</v>
      </c>
      <c r="I1449" s="6">
        <v>485.90241612317726</v>
      </c>
      <c r="J1449" s="6">
        <v>3.2808448455598347</v>
      </c>
      <c r="K1449" s="6"/>
      <c r="L1449" s="6"/>
      <c r="M1449" s="6"/>
      <c r="N1449" s="6">
        <f t="shared" ref="N1449:P1449" si="1452">IF(LEN($C1449)&gt;0,H1449-E1449,"")</f>
        <v>-101480.7331</v>
      </c>
      <c r="O1449" s="6">
        <f t="shared" si="1452"/>
        <v>-5.836021395</v>
      </c>
      <c r="P1449" s="6">
        <f t="shared" si="1452"/>
        <v>-1.286030531</v>
      </c>
      <c r="Q1449" s="6"/>
      <c r="R1449" s="6"/>
      <c r="S1449" s="6"/>
      <c r="T1449" s="6"/>
      <c r="U1449" s="6"/>
      <c r="V1449" s="6"/>
      <c r="W1449" s="6"/>
      <c r="X1449" s="6"/>
      <c r="Y1449" s="6"/>
      <c r="Z1449" s="6"/>
      <c r="AA1449" s="6"/>
      <c r="AB1449" s="6"/>
      <c r="AC1449" s="6"/>
      <c r="AD1449" s="6"/>
      <c r="AE1449" s="6"/>
      <c r="AF1449" s="6"/>
      <c r="AG1449" s="6"/>
    </row>
    <row r="1450" ht="14.25" customHeight="1">
      <c r="A1450" s="6"/>
      <c r="B1450" s="6"/>
      <c r="C1450" s="6">
        <v>1443.0</v>
      </c>
      <c r="D1450" s="6"/>
      <c r="E1450" s="6">
        <v>6164375.414811612</v>
      </c>
      <c r="F1450" s="6">
        <v>478.45852206440264</v>
      </c>
      <c r="G1450" s="6">
        <v>5.081249099968385</v>
      </c>
      <c r="H1450" s="6">
        <v>6055523.311916272</v>
      </c>
      <c r="I1450" s="6">
        <v>473.9167687071794</v>
      </c>
      <c r="J1450" s="6">
        <v>3.3792600141868947</v>
      </c>
      <c r="K1450" s="6"/>
      <c r="L1450" s="6"/>
      <c r="M1450" s="6"/>
      <c r="N1450" s="6">
        <f t="shared" ref="N1450:P1450" si="1453">IF(LEN($C1450)&gt;0,H1450-E1450,"")</f>
        <v>-108852.1029</v>
      </c>
      <c r="O1450" s="6">
        <f t="shared" si="1453"/>
        <v>-4.541753357</v>
      </c>
      <c r="P1450" s="6">
        <f t="shared" si="1453"/>
        <v>-1.701989086</v>
      </c>
      <c r="Q1450" s="6"/>
      <c r="R1450" s="6"/>
      <c r="S1450" s="6"/>
      <c r="T1450" s="6"/>
      <c r="U1450" s="6"/>
      <c r="V1450" s="6"/>
      <c r="W1450" s="6"/>
      <c r="X1450" s="6"/>
      <c r="Y1450" s="6"/>
      <c r="Z1450" s="6"/>
      <c r="AA1450" s="6"/>
      <c r="AB1450" s="6"/>
      <c r="AC1450" s="6"/>
      <c r="AD1450" s="6"/>
      <c r="AE1450" s="6"/>
      <c r="AF1450" s="6"/>
      <c r="AG1450" s="6"/>
    </row>
    <row r="1451" ht="14.25" customHeight="1">
      <c r="A1451" s="6"/>
      <c r="B1451" s="6"/>
      <c r="C1451" s="6">
        <v>1444.0</v>
      </c>
      <c r="D1451" s="6"/>
      <c r="E1451" s="6">
        <v>5531943.918199953</v>
      </c>
      <c r="F1451" s="6">
        <v>475.36791710639494</v>
      </c>
      <c r="G1451" s="6">
        <v>4.490891893681325</v>
      </c>
      <c r="H1451" s="6">
        <v>5405397.217268952</v>
      </c>
      <c r="I1451" s="6">
        <v>470.96012580843865</v>
      </c>
      <c r="J1451" s="6">
        <v>3.255243505568517</v>
      </c>
      <c r="K1451" s="6"/>
      <c r="L1451" s="6"/>
      <c r="M1451" s="6"/>
      <c r="N1451" s="6">
        <f t="shared" ref="N1451:P1451" si="1454">IF(LEN($C1451)&gt;0,H1451-E1451,"")</f>
        <v>-126546.7009</v>
      </c>
      <c r="O1451" s="6">
        <f t="shared" si="1454"/>
        <v>-4.407791298</v>
      </c>
      <c r="P1451" s="6">
        <f t="shared" si="1454"/>
        <v>-1.235648388</v>
      </c>
      <c r="Q1451" s="6"/>
      <c r="R1451" s="6"/>
      <c r="S1451" s="6"/>
      <c r="T1451" s="6"/>
      <c r="U1451" s="6"/>
      <c r="V1451" s="6"/>
      <c r="W1451" s="6"/>
      <c r="X1451" s="6"/>
      <c r="Y1451" s="6"/>
      <c r="Z1451" s="6"/>
      <c r="AA1451" s="6"/>
      <c r="AB1451" s="6"/>
      <c r="AC1451" s="6"/>
      <c r="AD1451" s="6"/>
      <c r="AE1451" s="6"/>
      <c r="AF1451" s="6"/>
      <c r="AG1451" s="6"/>
    </row>
    <row r="1452" ht="14.25" customHeight="1">
      <c r="A1452" s="6"/>
      <c r="B1452" s="6"/>
      <c r="C1452" s="6">
        <v>1445.0</v>
      </c>
      <c r="D1452" s="6"/>
      <c r="E1452" s="6">
        <v>5966093.422065173</v>
      </c>
      <c r="F1452" s="6">
        <v>450.92362163415135</v>
      </c>
      <c r="G1452" s="6">
        <v>5.758809132228246</v>
      </c>
      <c r="H1452" s="6">
        <v>5807480.359400244</v>
      </c>
      <c r="I1452" s="6">
        <v>443.1005269719523</v>
      </c>
      <c r="J1452" s="6">
        <v>4.234321765529277</v>
      </c>
      <c r="K1452" s="6"/>
      <c r="L1452" s="6"/>
      <c r="M1452" s="6"/>
      <c r="N1452" s="6">
        <f t="shared" ref="N1452:P1452" si="1455">IF(LEN($C1452)&gt;0,H1452-E1452,"")</f>
        <v>-158613.0627</v>
      </c>
      <c r="O1452" s="6">
        <f t="shared" si="1455"/>
        <v>-7.823094662</v>
      </c>
      <c r="P1452" s="6">
        <f t="shared" si="1455"/>
        <v>-1.524487367</v>
      </c>
      <c r="Q1452" s="6"/>
      <c r="R1452" s="6"/>
      <c r="S1452" s="6"/>
      <c r="T1452" s="6"/>
      <c r="U1452" s="6"/>
      <c r="V1452" s="6"/>
      <c r="W1452" s="6"/>
      <c r="X1452" s="6"/>
      <c r="Y1452" s="6"/>
      <c r="Z1452" s="6"/>
      <c r="AA1452" s="6"/>
      <c r="AB1452" s="6"/>
      <c r="AC1452" s="6"/>
      <c r="AD1452" s="6"/>
      <c r="AE1452" s="6"/>
      <c r="AF1452" s="6"/>
      <c r="AG1452" s="6"/>
    </row>
    <row r="1453" ht="14.25" customHeight="1">
      <c r="A1453" s="6"/>
      <c r="B1453" s="6"/>
      <c r="C1453" s="6">
        <v>1446.0</v>
      </c>
      <c r="D1453" s="6"/>
      <c r="E1453" s="6">
        <v>9021165.748222772</v>
      </c>
      <c r="F1453" s="6">
        <v>443.38099666892504</v>
      </c>
      <c r="G1453" s="6">
        <v>5.199298439858762</v>
      </c>
      <c r="H1453" s="6">
        <v>8892283.06349635</v>
      </c>
      <c r="I1453" s="6">
        <v>438.39330524571324</v>
      </c>
      <c r="J1453" s="6">
        <v>3.934082546968924</v>
      </c>
      <c r="K1453" s="6"/>
      <c r="L1453" s="6"/>
      <c r="M1453" s="6"/>
      <c r="N1453" s="6">
        <f t="shared" ref="N1453:P1453" si="1456">IF(LEN($C1453)&gt;0,H1453-E1453,"")</f>
        <v>-128882.6847</v>
      </c>
      <c r="O1453" s="6">
        <f t="shared" si="1456"/>
        <v>-4.987691423</v>
      </c>
      <c r="P1453" s="6">
        <f t="shared" si="1456"/>
        <v>-1.265215893</v>
      </c>
      <c r="Q1453" s="6"/>
      <c r="R1453" s="6"/>
      <c r="S1453" s="6"/>
      <c r="T1453" s="6"/>
      <c r="U1453" s="6"/>
      <c r="V1453" s="6"/>
      <c r="W1453" s="6"/>
      <c r="X1453" s="6"/>
      <c r="Y1453" s="6"/>
      <c r="Z1453" s="6"/>
      <c r="AA1453" s="6"/>
      <c r="AB1453" s="6"/>
      <c r="AC1453" s="6"/>
      <c r="AD1453" s="6"/>
      <c r="AE1453" s="6"/>
      <c r="AF1453" s="6"/>
      <c r="AG1453" s="6"/>
    </row>
    <row r="1454" ht="14.25" customHeight="1">
      <c r="A1454" s="6"/>
      <c r="B1454" s="6"/>
      <c r="C1454" s="6">
        <v>1447.0</v>
      </c>
      <c r="D1454" s="6"/>
      <c r="E1454" s="6">
        <v>8572183.346089091</v>
      </c>
      <c r="F1454" s="6">
        <v>477.51180119391614</v>
      </c>
      <c r="G1454" s="6">
        <v>3.533860742362237</v>
      </c>
      <c r="H1454" s="6">
        <v>8402732.273991808</v>
      </c>
      <c r="I1454" s="6">
        <v>469.56240061319477</v>
      </c>
      <c r="J1454" s="6">
        <v>2.5686376985656105</v>
      </c>
      <c r="K1454" s="6"/>
      <c r="L1454" s="6"/>
      <c r="M1454" s="6"/>
      <c r="N1454" s="6">
        <f t="shared" ref="N1454:P1454" si="1457">IF(LEN($C1454)&gt;0,H1454-E1454,"")</f>
        <v>-169451.0721</v>
      </c>
      <c r="O1454" s="6">
        <f t="shared" si="1457"/>
        <v>-7.949400581</v>
      </c>
      <c r="P1454" s="6">
        <f t="shared" si="1457"/>
        <v>-0.9652230438</v>
      </c>
      <c r="Q1454" s="6"/>
      <c r="R1454" s="6"/>
      <c r="S1454" s="6"/>
      <c r="T1454" s="6"/>
      <c r="U1454" s="6"/>
      <c r="V1454" s="6"/>
      <c r="W1454" s="6"/>
      <c r="X1454" s="6"/>
      <c r="Y1454" s="6"/>
      <c r="Z1454" s="6"/>
      <c r="AA1454" s="6"/>
      <c r="AB1454" s="6"/>
      <c r="AC1454" s="6"/>
      <c r="AD1454" s="6"/>
      <c r="AE1454" s="6"/>
      <c r="AF1454" s="6"/>
      <c r="AG1454" s="6"/>
    </row>
    <row r="1455" ht="14.25" customHeight="1">
      <c r="A1455" s="6"/>
      <c r="B1455" s="6"/>
      <c r="C1455" s="6">
        <v>1448.0</v>
      </c>
      <c r="D1455" s="6"/>
      <c r="E1455" s="6">
        <v>7908957.920033361</v>
      </c>
      <c r="F1455" s="6">
        <v>482.58804583749895</v>
      </c>
      <c r="G1455" s="6">
        <v>5.602414566002101</v>
      </c>
      <c r="H1455" s="6">
        <v>7751138.27223232</v>
      </c>
      <c r="I1455" s="6">
        <v>478.84256351379014</v>
      </c>
      <c r="J1455" s="6">
        <v>3.9415274848103423</v>
      </c>
      <c r="K1455" s="6"/>
      <c r="L1455" s="6"/>
      <c r="M1455" s="6"/>
      <c r="N1455" s="6">
        <f t="shared" ref="N1455:P1455" si="1458">IF(LEN($C1455)&gt;0,H1455-E1455,"")</f>
        <v>-157819.6478</v>
      </c>
      <c r="O1455" s="6">
        <f t="shared" si="1458"/>
        <v>-3.745482324</v>
      </c>
      <c r="P1455" s="6">
        <f t="shared" si="1458"/>
        <v>-1.660887081</v>
      </c>
      <c r="Q1455" s="6"/>
      <c r="R1455" s="6"/>
      <c r="S1455" s="6"/>
      <c r="T1455" s="6"/>
      <c r="U1455" s="6"/>
      <c r="V1455" s="6"/>
      <c r="W1455" s="6"/>
      <c r="X1455" s="6"/>
      <c r="Y1455" s="6"/>
      <c r="Z1455" s="6"/>
      <c r="AA1455" s="6"/>
      <c r="AB1455" s="6"/>
      <c r="AC1455" s="6"/>
      <c r="AD1455" s="6"/>
      <c r="AE1455" s="6"/>
      <c r="AF1455" s="6"/>
      <c r="AG1455" s="6"/>
    </row>
    <row r="1456" ht="14.25" customHeight="1">
      <c r="A1456" s="6"/>
      <c r="B1456" s="6"/>
      <c r="C1456" s="6">
        <v>1449.0</v>
      </c>
      <c r="D1456" s="6"/>
      <c r="E1456" s="6">
        <v>7608010.942057029</v>
      </c>
      <c r="F1456" s="6">
        <v>473.97460895564427</v>
      </c>
      <c r="G1456" s="6">
        <v>5.319171927771696</v>
      </c>
      <c r="H1456" s="6">
        <v>7465635.958828636</v>
      </c>
      <c r="I1456" s="6">
        <v>468.2637460636578</v>
      </c>
      <c r="J1456" s="6">
        <v>3.5095417949452714</v>
      </c>
      <c r="K1456" s="6"/>
      <c r="L1456" s="6"/>
      <c r="M1456" s="6"/>
      <c r="N1456" s="6">
        <f t="shared" ref="N1456:P1456" si="1459">IF(LEN($C1456)&gt;0,H1456-E1456,"")</f>
        <v>-142374.9832</v>
      </c>
      <c r="O1456" s="6">
        <f t="shared" si="1459"/>
        <v>-5.710862892</v>
      </c>
      <c r="P1456" s="6">
        <f t="shared" si="1459"/>
        <v>-1.809630133</v>
      </c>
      <c r="Q1456" s="6"/>
      <c r="R1456" s="6"/>
      <c r="S1456" s="6"/>
      <c r="T1456" s="6"/>
      <c r="U1456" s="6"/>
      <c r="V1456" s="6"/>
      <c r="W1456" s="6"/>
      <c r="X1456" s="6"/>
      <c r="Y1456" s="6"/>
      <c r="Z1456" s="6"/>
      <c r="AA1456" s="6"/>
      <c r="AB1456" s="6"/>
      <c r="AC1456" s="6"/>
      <c r="AD1456" s="6"/>
      <c r="AE1456" s="6"/>
      <c r="AF1456" s="6"/>
      <c r="AG1456" s="6"/>
    </row>
    <row r="1457" ht="14.25" customHeight="1">
      <c r="A1457" s="6"/>
      <c r="B1457" s="6"/>
      <c r="C1457" s="6">
        <v>1450.0</v>
      </c>
      <c r="D1457" s="6"/>
      <c r="E1457" s="6">
        <v>6721770.704271127</v>
      </c>
      <c r="F1457" s="6">
        <v>507.0247721467492</v>
      </c>
      <c r="G1457" s="6">
        <v>5.142269292839687</v>
      </c>
      <c r="H1457" s="6">
        <v>6584424.761418036</v>
      </c>
      <c r="I1457" s="6">
        <v>499.7252266567222</v>
      </c>
      <c r="J1457" s="6">
        <v>3.610536104738508</v>
      </c>
      <c r="K1457" s="6"/>
      <c r="L1457" s="6"/>
      <c r="M1457" s="6"/>
      <c r="N1457" s="6">
        <f t="shared" ref="N1457:P1457" si="1460">IF(LEN($C1457)&gt;0,H1457-E1457,"")</f>
        <v>-137345.9429</v>
      </c>
      <c r="O1457" s="6">
        <f t="shared" si="1460"/>
        <v>-7.29954549</v>
      </c>
      <c r="P1457" s="6">
        <f t="shared" si="1460"/>
        <v>-1.531733188</v>
      </c>
      <c r="Q1457" s="6"/>
      <c r="R1457" s="6"/>
      <c r="S1457" s="6"/>
      <c r="T1457" s="6"/>
      <c r="U1457" s="6"/>
      <c r="V1457" s="6"/>
      <c r="W1457" s="6"/>
      <c r="X1457" s="6"/>
      <c r="Y1457" s="6"/>
      <c r="Z1457" s="6"/>
      <c r="AA1457" s="6"/>
      <c r="AB1457" s="6"/>
      <c r="AC1457" s="6"/>
      <c r="AD1457" s="6"/>
      <c r="AE1457" s="6"/>
      <c r="AF1457" s="6"/>
      <c r="AG1457" s="6"/>
    </row>
    <row r="1458" ht="14.25" customHeight="1">
      <c r="A1458" s="6"/>
      <c r="B1458" s="6"/>
      <c r="C1458" s="6">
        <v>1451.0</v>
      </c>
      <c r="D1458" s="6"/>
      <c r="E1458" s="6">
        <v>6340231.008440113</v>
      </c>
      <c r="F1458" s="6">
        <v>461.9341336148408</v>
      </c>
      <c r="G1458" s="6">
        <v>5.891205938869698</v>
      </c>
      <c r="H1458" s="6">
        <v>6289245.627735303</v>
      </c>
      <c r="I1458" s="6">
        <v>460.08434235997714</v>
      </c>
      <c r="J1458" s="6">
        <v>4.882495022043694</v>
      </c>
      <c r="K1458" s="6"/>
      <c r="L1458" s="6"/>
      <c r="M1458" s="6"/>
      <c r="N1458" s="6">
        <f t="shared" ref="N1458:P1458" si="1461">IF(LEN($C1458)&gt;0,H1458-E1458,"")</f>
        <v>-50985.3807</v>
      </c>
      <c r="O1458" s="6">
        <f t="shared" si="1461"/>
        <v>-1.849791255</v>
      </c>
      <c r="P1458" s="6">
        <f t="shared" si="1461"/>
        <v>-1.008710917</v>
      </c>
      <c r="Q1458" s="6"/>
      <c r="R1458" s="6"/>
      <c r="S1458" s="6"/>
      <c r="T1458" s="6"/>
      <c r="U1458" s="6"/>
      <c r="V1458" s="6"/>
      <c r="W1458" s="6"/>
      <c r="X1458" s="6"/>
      <c r="Y1458" s="6"/>
      <c r="Z1458" s="6"/>
      <c r="AA1458" s="6"/>
      <c r="AB1458" s="6"/>
      <c r="AC1458" s="6"/>
      <c r="AD1458" s="6"/>
      <c r="AE1458" s="6"/>
      <c r="AF1458" s="6"/>
      <c r="AG1458" s="6"/>
    </row>
    <row r="1459" ht="14.25" customHeight="1">
      <c r="A1459" s="6"/>
      <c r="B1459" s="6"/>
      <c r="C1459" s="6">
        <v>1452.0</v>
      </c>
      <c r="D1459" s="6"/>
      <c r="E1459" s="6">
        <v>8557749.807283744</v>
      </c>
      <c r="F1459" s="6">
        <v>449.34765966370753</v>
      </c>
      <c r="G1459" s="6">
        <v>5.833444908086474</v>
      </c>
      <c r="H1459" s="6">
        <v>8448954.39370585</v>
      </c>
      <c r="I1459" s="6">
        <v>445.6410549394292</v>
      </c>
      <c r="J1459" s="6">
        <v>4.235477919318173</v>
      </c>
      <c r="K1459" s="6"/>
      <c r="L1459" s="6"/>
      <c r="M1459" s="6"/>
      <c r="N1459" s="6">
        <f t="shared" ref="N1459:P1459" si="1462">IF(LEN($C1459)&gt;0,H1459-E1459,"")</f>
        <v>-108795.4136</v>
      </c>
      <c r="O1459" s="6">
        <f t="shared" si="1462"/>
        <v>-3.706604724</v>
      </c>
      <c r="P1459" s="6">
        <f t="shared" si="1462"/>
        <v>-1.597966989</v>
      </c>
      <c r="Q1459" s="6"/>
      <c r="R1459" s="6"/>
      <c r="S1459" s="6"/>
      <c r="T1459" s="6"/>
      <c r="U1459" s="6"/>
      <c r="V1459" s="6"/>
      <c r="W1459" s="6"/>
      <c r="X1459" s="6"/>
      <c r="Y1459" s="6"/>
      <c r="Z1459" s="6"/>
      <c r="AA1459" s="6"/>
      <c r="AB1459" s="6"/>
      <c r="AC1459" s="6"/>
      <c r="AD1459" s="6"/>
      <c r="AE1459" s="6"/>
      <c r="AF1459" s="6"/>
      <c r="AG1459" s="6"/>
    </row>
    <row r="1460" ht="14.25" customHeight="1">
      <c r="A1460" s="6"/>
      <c r="B1460" s="6"/>
      <c r="C1460" s="6">
        <v>1453.0</v>
      </c>
      <c r="D1460" s="6"/>
      <c r="E1460" s="6">
        <v>8389548.374780208</v>
      </c>
      <c r="F1460" s="6">
        <v>449.78696451917494</v>
      </c>
      <c r="G1460" s="6">
        <v>4.181694368800593</v>
      </c>
      <c r="H1460" s="6">
        <v>8260099.059246012</v>
      </c>
      <c r="I1460" s="6">
        <v>443.8604370540721</v>
      </c>
      <c r="J1460" s="6">
        <v>2.655386309045226</v>
      </c>
      <c r="K1460" s="6"/>
      <c r="L1460" s="6"/>
      <c r="M1460" s="6"/>
      <c r="N1460" s="6">
        <f t="shared" ref="N1460:P1460" si="1463">IF(LEN($C1460)&gt;0,H1460-E1460,"")</f>
        <v>-129449.3155</v>
      </c>
      <c r="O1460" s="6">
        <f t="shared" si="1463"/>
        <v>-5.926527465</v>
      </c>
      <c r="P1460" s="6">
        <f t="shared" si="1463"/>
        <v>-1.52630806</v>
      </c>
      <c r="Q1460" s="6"/>
      <c r="R1460" s="6"/>
      <c r="S1460" s="6"/>
      <c r="T1460" s="6"/>
      <c r="U1460" s="6"/>
      <c r="V1460" s="6"/>
      <c r="W1460" s="6"/>
      <c r="X1460" s="6"/>
      <c r="Y1460" s="6"/>
      <c r="Z1460" s="6"/>
      <c r="AA1460" s="6"/>
      <c r="AB1460" s="6"/>
      <c r="AC1460" s="6"/>
      <c r="AD1460" s="6"/>
      <c r="AE1460" s="6"/>
      <c r="AF1460" s="6"/>
      <c r="AG1460" s="6"/>
    </row>
    <row r="1461" ht="14.25" customHeight="1">
      <c r="A1461" s="6"/>
      <c r="B1461" s="6"/>
      <c r="C1461" s="6">
        <v>1454.0</v>
      </c>
      <c r="D1461" s="6"/>
      <c r="E1461" s="6">
        <v>8362913.195542774</v>
      </c>
      <c r="F1461" s="6">
        <v>480.58525032929265</v>
      </c>
      <c r="G1461" s="6">
        <v>5.086166878567429</v>
      </c>
      <c r="H1461" s="6">
        <v>8141624.405801375</v>
      </c>
      <c r="I1461" s="6">
        <v>471.16166517233836</v>
      </c>
      <c r="J1461" s="6">
        <v>3.322582374909859</v>
      </c>
      <c r="K1461" s="6"/>
      <c r="L1461" s="6"/>
      <c r="M1461" s="6"/>
      <c r="N1461" s="6">
        <f t="shared" ref="N1461:P1461" si="1464">IF(LEN($C1461)&gt;0,H1461-E1461,"")</f>
        <v>-221288.7897</v>
      </c>
      <c r="O1461" s="6">
        <f t="shared" si="1464"/>
        <v>-9.423585157</v>
      </c>
      <c r="P1461" s="6">
        <f t="shared" si="1464"/>
        <v>-1.763584504</v>
      </c>
      <c r="Q1461" s="6"/>
      <c r="R1461" s="6"/>
      <c r="S1461" s="6"/>
      <c r="T1461" s="6"/>
      <c r="U1461" s="6"/>
      <c r="V1461" s="6"/>
      <c r="W1461" s="6"/>
      <c r="X1461" s="6"/>
      <c r="Y1461" s="6"/>
      <c r="Z1461" s="6"/>
      <c r="AA1461" s="6"/>
      <c r="AB1461" s="6"/>
      <c r="AC1461" s="6"/>
      <c r="AD1461" s="6"/>
      <c r="AE1461" s="6"/>
      <c r="AF1461" s="6"/>
      <c r="AG1461" s="6"/>
    </row>
    <row r="1462" ht="14.25" customHeight="1">
      <c r="A1462" s="6"/>
      <c r="B1462" s="6"/>
      <c r="C1462" s="6">
        <v>1455.0</v>
      </c>
      <c r="D1462" s="6"/>
      <c r="E1462" s="6">
        <v>7426563.966855918</v>
      </c>
      <c r="F1462" s="6">
        <v>478.30826196105465</v>
      </c>
      <c r="G1462" s="6">
        <v>4.262169966969852</v>
      </c>
      <c r="H1462" s="6">
        <v>7370319.076562636</v>
      </c>
      <c r="I1462" s="6">
        <v>475.27598220477626</v>
      </c>
      <c r="J1462" s="6">
        <v>3.525116692314405</v>
      </c>
      <c r="K1462" s="6"/>
      <c r="L1462" s="6"/>
      <c r="M1462" s="6"/>
      <c r="N1462" s="6">
        <f t="shared" ref="N1462:P1462" si="1465">IF(LEN($C1462)&gt;0,H1462-E1462,"")</f>
        <v>-56244.89029</v>
      </c>
      <c r="O1462" s="6">
        <f t="shared" si="1465"/>
        <v>-3.032279756</v>
      </c>
      <c r="P1462" s="6">
        <f t="shared" si="1465"/>
        <v>-0.7370532747</v>
      </c>
      <c r="Q1462" s="6"/>
      <c r="R1462" s="6"/>
      <c r="S1462" s="6"/>
      <c r="T1462" s="6"/>
      <c r="U1462" s="6"/>
      <c r="V1462" s="6"/>
      <c r="W1462" s="6"/>
      <c r="X1462" s="6"/>
      <c r="Y1462" s="6"/>
      <c r="Z1462" s="6"/>
      <c r="AA1462" s="6"/>
      <c r="AB1462" s="6"/>
      <c r="AC1462" s="6"/>
      <c r="AD1462" s="6"/>
      <c r="AE1462" s="6"/>
      <c r="AF1462" s="6"/>
      <c r="AG1462" s="6"/>
    </row>
    <row r="1463" ht="14.25" customHeight="1">
      <c r="A1463" s="6"/>
      <c r="B1463" s="6"/>
      <c r="C1463" s="6">
        <v>1456.0</v>
      </c>
      <c r="D1463" s="6"/>
      <c r="E1463" s="6">
        <v>7177091.7304990655</v>
      </c>
      <c r="F1463" s="6">
        <v>467.6991720035706</v>
      </c>
      <c r="G1463" s="6">
        <v>6.221086841378727</v>
      </c>
      <c r="H1463" s="6">
        <v>7057676.406385463</v>
      </c>
      <c r="I1463" s="6">
        <v>463.05412971967417</v>
      </c>
      <c r="J1463" s="6">
        <v>4.7470974127179995</v>
      </c>
      <c r="K1463" s="6"/>
      <c r="L1463" s="6"/>
      <c r="M1463" s="6"/>
      <c r="N1463" s="6">
        <f t="shared" ref="N1463:P1463" si="1466">IF(LEN($C1463)&gt;0,H1463-E1463,"")</f>
        <v>-119415.3241</v>
      </c>
      <c r="O1463" s="6">
        <f t="shared" si="1466"/>
        <v>-4.645042284</v>
      </c>
      <c r="P1463" s="6">
        <f t="shared" si="1466"/>
        <v>-1.473989429</v>
      </c>
      <c r="Q1463" s="6"/>
      <c r="R1463" s="6"/>
      <c r="S1463" s="6"/>
      <c r="T1463" s="6"/>
      <c r="U1463" s="6"/>
      <c r="V1463" s="6"/>
      <c r="W1463" s="6"/>
      <c r="X1463" s="6"/>
      <c r="Y1463" s="6"/>
      <c r="Z1463" s="6"/>
      <c r="AA1463" s="6"/>
      <c r="AB1463" s="6"/>
      <c r="AC1463" s="6"/>
      <c r="AD1463" s="6"/>
      <c r="AE1463" s="6"/>
      <c r="AF1463" s="6"/>
      <c r="AG1463" s="6"/>
    </row>
    <row r="1464" ht="14.25" customHeight="1">
      <c r="A1464" s="6"/>
      <c r="B1464" s="6"/>
      <c r="C1464" s="6">
        <v>1457.0</v>
      </c>
      <c r="D1464" s="6"/>
      <c r="E1464" s="6">
        <v>1.0352264057961456E7</v>
      </c>
      <c r="F1464" s="6">
        <v>455.33767844509134</v>
      </c>
      <c r="G1464" s="6">
        <v>3.9680617755670453</v>
      </c>
      <c r="H1464" s="6">
        <v>1.0234527036222171E7</v>
      </c>
      <c r="I1464" s="6">
        <v>450.9055456758093</v>
      </c>
      <c r="J1464" s="6">
        <v>3.0842372438029875</v>
      </c>
      <c r="K1464" s="6"/>
      <c r="L1464" s="6"/>
      <c r="M1464" s="6"/>
      <c r="N1464" s="6">
        <f t="shared" ref="N1464:P1464" si="1467">IF(LEN($C1464)&gt;0,H1464-E1464,"")</f>
        <v>-117737.0217</v>
      </c>
      <c r="O1464" s="6">
        <f t="shared" si="1467"/>
        <v>-4.432132769</v>
      </c>
      <c r="P1464" s="6">
        <f t="shared" si="1467"/>
        <v>-0.8838245318</v>
      </c>
      <c r="Q1464" s="6"/>
      <c r="R1464" s="6"/>
      <c r="S1464" s="6"/>
      <c r="T1464" s="6"/>
      <c r="U1464" s="6"/>
      <c r="V1464" s="6"/>
      <c r="W1464" s="6"/>
      <c r="X1464" s="6"/>
      <c r="Y1464" s="6"/>
      <c r="Z1464" s="6"/>
      <c r="AA1464" s="6"/>
      <c r="AB1464" s="6"/>
      <c r="AC1464" s="6"/>
      <c r="AD1464" s="6"/>
      <c r="AE1464" s="6"/>
      <c r="AF1464" s="6"/>
      <c r="AG1464" s="6"/>
    </row>
    <row r="1465" ht="14.25" customHeight="1">
      <c r="A1465" s="6"/>
      <c r="B1465" s="6"/>
      <c r="C1465" s="6">
        <v>1458.0</v>
      </c>
      <c r="D1465" s="6"/>
      <c r="E1465" s="6">
        <v>8871128.903967759</v>
      </c>
      <c r="F1465" s="6">
        <v>435.68612494798333</v>
      </c>
      <c r="G1465" s="6">
        <v>3.7750608174442095</v>
      </c>
      <c r="H1465" s="6">
        <v>8824959.636294363</v>
      </c>
      <c r="I1465" s="6">
        <v>433.58295246539626</v>
      </c>
      <c r="J1465" s="6">
        <v>3.3325493657744216</v>
      </c>
      <c r="K1465" s="6"/>
      <c r="L1465" s="6"/>
      <c r="M1465" s="6"/>
      <c r="N1465" s="6">
        <f t="shared" ref="N1465:P1465" si="1468">IF(LEN($C1465)&gt;0,H1465-E1465,"")</f>
        <v>-46169.26767</v>
      </c>
      <c r="O1465" s="6">
        <f t="shared" si="1468"/>
        <v>-2.103172483</v>
      </c>
      <c r="P1465" s="6">
        <f t="shared" si="1468"/>
        <v>-0.4425114517</v>
      </c>
      <c r="Q1465" s="6"/>
      <c r="R1465" s="6"/>
      <c r="S1465" s="6"/>
      <c r="T1465" s="6"/>
      <c r="U1465" s="6"/>
      <c r="V1465" s="6"/>
      <c r="W1465" s="6"/>
      <c r="X1465" s="6"/>
      <c r="Y1465" s="6"/>
      <c r="Z1465" s="6"/>
      <c r="AA1465" s="6"/>
      <c r="AB1465" s="6"/>
      <c r="AC1465" s="6"/>
      <c r="AD1465" s="6"/>
      <c r="AE1465" s="6"/>
      <c r="AF1465" s="6"/>
      <c r="AG1465" s="6"/>
    </row>
    <row r="1466" ht="14.25" customHeight="1">
      <c r="A1466" s="6"/>
      <c r="B1466" s="6"/>
      <c r="C1466" s="6">
        <v>1459.0</v>
      </c>
      <c r="D1466" s="6"/>
      <c r="E1466" s="6">
        <v>7177617.99917925</v>
      </c>
      <c r="F1466" s="6">
        <v>461.06166787310616</v>
      </c>
      <c r="G1466" s="6">
        <v>6.758816277664247</v>
      </c>
      <c r="H1466" s="6">
        <v>7077715.550111266</v>
      </c>
      <c r="I1466" s="6">
        <v>457.5892405555442</v>
      </c>
      <c r="J1466" s="6">
        <v>5.620745636409225</v>
      </c>
      <c r="K1466" s="6"/>
      <c r="L1466" s="6"/>
      <c r="M1466" s="6"/>
      <c r="N1466" s="6">
        <f t="shared" ref="N1466:P1466" si="1469">IF(LEN($C1466)&gt;0,H1466-E1466,"")</f>
        <v>-99902.44907</v>
      </c>
      <c r="O1466" s="6">
        <f t="shared" si="1469"/>
        <v>-3.472427318</v>
      </c>
      <c r="P1466" s="6">
        <f t="shared" si="1469"/>
        <v>-1.138070641</v>
      </c>
      <c r="Q1466" s="6"/>
      <c r="R1466" s="6"/>
      <c r="S1466" s="6"/>
      <c r="T1466" s="6"/>
      <c r="U1466" s="6"/>
      <c r="V1466" s="6"/>
      <c r="W1466" s="6"/>
      <c r="X1466" s="6"/>
      <c r="Y1466" s="6"/>
      <c r="Z1466" s="6"/>
      <c r="AA1466" s="6"/>
      <c r="AB1466" s="6"/>
      <c r="AC1466" s="6"/>
      <c r="AD1466" s="6"/>
      <c r="AE1466" s="6"/>
      <c r="AF1466" s="6"/>
      <c r="AG1466" s="6"/>
    </row>
    <row r="1467" ht="14.25" customHeight="1">
      <c r="A1467" s="6"/>
      <c r="B1467" s="6"/>
      <c r="C1467" s="6">
        <v>1460.0</v>
      </c>
      <c r="D1467" s="6"/>
      <c r="E1467" s="6">
        <v>7153932.95698849</v>
      </c>
      <c r="F1467" s="6">
        <v>484.1421845155049</v>
      </c>
      <c r="G1467" s="6">
        <v>5.37807839635919</v>
      </c>
      <c r="H1467" s="6">
        <v>7022603.142170402</v>
      </c>
      <c r="I1467" s="6">
        <v>477.69472237338374</v>
      </c>
      <c r="J1467" s="6">
        <v>3.435872816506566</v>
      </c>
      <c r="K1467" s="6"/>
      <c r="L1467" s="6"/>
      <c r="M1467" s="6"/>
      <c r="N1467" s="6">
        <f t="shared" ref="N1467:P1467" si="1470">IF(LEN($C1467)&gt;0,H1467-E1467,"")</f>
        <v>-131329.8148</v>
      </c>
      <c r="O1467" s="6">
        <f t="shared" si="1470"/>
        <v>-6.447462142</v>
      </c>
      <c r="P1467" s="6">
        <f t="shared" si="1470"/>
        <v>-1.94220558</v>
      </c>
      <c r="Q1467" s="6"/>
      <c r="R1467" s="6"/>
      <c r="S1467" s="6"/>
      <c r="T1467" s="6"/>
      <c r="U1467" s="6"/>
      <c r="V1467" s="6"/>
      <c r="W1467" s="6"/>
      <c r="X1467" s="6"/>
      <c r="Y1467" s="6"/>
      <c r="Z1467" s="6"/>
      <c r="AA1467" s="6"/>
      <c r="AB1467" s="6"/>
      <c r="AC1467" s="6"/>
      <c r="AD1467" s="6"/>
      <c r="AE1467" s="6"/>
      <c r="AF1467" s="6"/>
      <c r="AG1467" s="6"/>
    </row>
    <row r="1468" ht="14.25" customHeight="1">
      <c r="A1468" s="6"/>
      <c r="B1468" s="6"/>
      <c r="C1468" s="6">
        <v>1461.0</v>
      </c>
      <c r="D1468" s="6"/>
      <c r="E1468" s="6">
        <v>9582246.919649366</v>
      </c>
      <c r="F1468" s="6">
        <v>485.5882886254295</v>
      </c>
      <c r="G1468" s="6">
        <v>4.490239678970366</v>
      </c>
      <c r="H1468" s="6">
        <v>9506339.910455715</v>
      </c>
      <c r="I1468" s="6">
        <v>482.99652035481705</v>
      </c>
      <c r="J1468" s="6">
        <v>3.5253445092119287</v>
      </c>
      <c r="K1468" s="6"/>
      <c r="L1468" s="6"/>
      <c r="M1468" s="6"/>
      <c r="N1468" s="6">
        <f t="shared" ref="N1468:P1468" si="1471">IF(LEN($C1468)&gt;0,H1468-E1468,"")</f>
        <v>-75907.00919</v>
      </c>
      <c r="O1468" s="6">
        <f t="shared" si="1471"/>
        <v>-2.591768271</v>
      </c>
      <c r="P1468" s="6">
        <f t="shared" si="1471"/>
        <v>-0.9648951698</v>
      </c>
      <c r="Q1468" s="6"/>
      <c r="R1468" s="6"/>
      <c r="S1468" s="6"/>
      <c r="T1468" s="6"/>
      <c r="U1468" s="6"/>
      <c r="V1468" s="6"/>
      <c r="W1468" s="6"/>
      <c r="X1468" s="6"/>
      <c r="Y1468" s="6"/>
      <c r="Z1468" s="6"/>
      <c r="AA1468" s="6"/>
      <c r="AB1468" s="6"/>
      <c r="AC1468" s="6"/>
      <c r="AD1468" s="6"/>
      <c r="AE1468" s="6"/>
      <c r="AF1468" s="6"/>
      <c r="AG1468" s="6"/>
    </row>
    <row r="1469" ht="14.25" customHeight="1">
      <c r="A1469" s="6"/>
      <c r="B1469" s="6"/>
      <c r="C1469" s="6">
        <v>1462.0</v>
      </c>
      <c r="D1469" s="6"/>
      <c r="E1469" s="6">
        <v>7662198.281927661</v>
      </c>
      <c r="F1469" s="6">
        <v>492.8641402628692</v>
      </c>
      <c r="G1469" s="6">
        <v>4.161712661460552</v>
      </c>
      <c r="H1469" s="6">
        <v>7578275.213119877</v>
      </c>
      <c r="I1469" s="6">
        <v>489.1613276017552</v>
      </c>
      <c r="J1469" s="6">
        <v>2.8972606850796283</v>
      </c>
      <c r="K1469" s="6"/>
      <c r="L1469" s="6"/>
      <c r="M1469" s="6"/>
      <c r="N1469" s="6">
        <f t="shared" ref="N1469:P1469" si="1472">IF(LEN($C1469)&gt;0,H1469-E1469,"")</f>
        <v>-83923.06881</v>
      </c>
      <c r="O1469" s="6">
        <f t="shared" si="1472"/>
        <v>-3.702812661</v>
      </c>
      <c r="P1469" s="6">
        <f t="shared" si="1472"/>
        <v>-1.264451976</v>
      </c>
      <c r="Q1469" s="6"/>
      <c r="R1469" s="6"/>
      <c r="S1469" s="6"/>
      <c r="T1469" s="6"/>
      <c r="U1469" s="6"/>
      <c r="V1469" s="6"/>
      <c r="W1469" s="6"/>
      <c r="X1469" s="6"/>
      <c r="Y1469" s="6"/>
      <c r="Z1469" s="6"/>
      <c r="AA1469" s="6"/>
      <c r="AB1469" s="6"/>
      <c r="AC1469" s="6"/>
      <c r="AD1469" s="6"/>
      <c r="AE1469" s="6"/>
      <c r="AF1469" s="6"/>
      <c r="AG1469" s="6"/>
    </row>
    <row r="1470" ht="14.25" customHeight="1">
      <c r="A1470" s="6"/>
      <c r="B1470" s="6"/>
      <c r="C1470" s="6">
        <v>1463.0</v>
      </c>
      <c r="D1470" s="6"/>
      <c r="E1470" s="6">
        <v>8437305.979933688</v>
      </c>
      <c r="F1470" s="6">
        <v>485.788502093751</v>
      </c>
      <c r="G1470" s="6">
        <v>4.898293507682643</v>
      </c>
      <c r="H1470" s="6">
        <v>8308393.248183966</v>
      </c>
      <c r="I1470" s="6">
        <v>479.53600308428673</v>
      </c>
      <c r="J1470" s="6">
        <v>3.812349568569332</v>
      </c>
      <c r="K1470" s="6"/>
      <c r="L1470" s="6"/>
      <c r="M1470" s="6"/>
      <c r="N1470" s="6">
        <f t="shared" ref="N1470:P1470" si="1473">IF(LEN($C1470)&gt;0,H1470-E1470,"")</f>
        <v>-128912.7317</v>
      </c>
      <c r="O1470" s="6">
        <f t="shared" si="1473"/>
        <v>-6.252499009</v>
      </c>
      <c r="P1470" s="6">
        <f t="shared" si="1473"/>
        <v>-1.085943939</v>
      </c>
      <c r="Q1470" s="6"/>
      <c r="R1470" s="6"/>
      <c r="S1470" s="6"/>
      <c r="T1470" s="6"/>
      <c r="U1470" s="6"/>
      <c r="V1470" s="6"/>
      <c r="W1470" s="6"/>
      <c r="X1470" s="6"/>
      <c r="Y1470" s="6"/>
      <c r="Z1470" s="6"/>
      <c r="AA1470" s="6"/>
      <c r="AB1470" s="6"/>
      <c r="AC1470" s="6"/>
      <c r="AD1470" s="6"/>
      <c r="AE1470" s="6"/>
      <c r="AF1470" s="6"/>
      <c r="AG1470" s="6"/>
    </row>
    <row r="1471" ht="14.25" customHeight="1">
      <c r="A1471" s="6"/>
      <c r="B1471" s="6"/>
      <c r="C1471" s="6">
        <v>1464.0</v>
      </c>
      <c r="D1471" s="6"/>
      <c r="E1471" s="6">
        <v>8915572.650877144</v>
      </c>
      <c r="F1471" s="6">
        <v>497.45634362981235</v>
      </c>
      <c r="G1471" s="6">
        <v>4.582403940202981</v>
      </c>
      <c r="H1471" s="6">
        <v>8857203.851750184</v>
      </c>
      <c r="I1471" s="6">
        <v>495.144626070039</v>
      </c>
      <c r="J1471" s="6">
        <v>4.014771218686618</v>
      </c>
      <c r="K1471" s="6"/>
      <c r="L1471" s="6"/>
      <c r="M1471" s="6"/>
      <c r="N1471" s="6">
        <f t="shared" ref="N1471:P1471" si="1474">IF(LEN($C1471)&gt;0,H1471-E1471,"")</f>
        <v>-58368.79913</v>
      </c>
      <c r="O1471" s="6">
        <f t="shared" si="1474"/>
        <v>-2.31171756</v>
      </c>
      <c r="P1471" s="6">
        <f t="shared" si="1474"/>
        <v>-0.5676327215</v>
      </c>
      <c r="Q1471" s="6"/>
      <c r="R1471" s="6"/>
      <c r="S1471" s="6"/>
      <c r="T1471" s="6"/>
      <c r="U1471" s="6"/>
      <c r="V1471" s="6"/>
      <c r="W1471" s="6"/>
      <c r="X1471" s="6"/>
      <c r="Y1471" s="6"/>
      <c r="Z1471" s="6"/>
      <c r="AA1471" s="6"/>
      <c r="AB1471" s="6"/>
      <c r="AC1471" s="6"/>
      <c r="AD1471" s="6"/>
      <c r="AE1471" s="6"/>
      <c r="AF1471" s="6"/>
      <c r="AG1471" s="6"/>
    </row>
    <row r="1472" ht="14.25" customHeight="1">
      <c r="A1472" s="6"/>
      <c r="B1472" s="6"/>
      <c r="C1472" s="6">
        <v>1465.0</v>
      </c>
      <c r="D1472" s="6"/>
      <c r="E1472" s="6">
        <v>7644815.745234001</v>
      </c>
      <c r="F1472" s="6">
        <v>483.19222547805776</v>
      </c>
      <c r="G1472" s="6">
        <v>6.023357377340153</v>
      </c>
      <c r="H1472" s="6">
        <v>7455514.865188676</v>
      </c>
      <c r="I1472" s="6">
        <v>474.6901017362499</v>
      </c>
      <c r="J1472" s="6">
        <v>3.9384842382321565</v>
      </c>
      <c r="K1472" s="6"/>
      <c r="L1472" s="6"/>
      <c r="M1472" s="6"/>
      <c r="N1472" s="6">
        <f t="shared" ref="N1472:P1472" si="1475">IF(LEN($C1472)&gt;0,H1472-E1472,"")</f>
        <v>-189300.88</v>
      </c>
      <c r="O1472" s="6">
        <f t="shared" si="1475"/>
        <v>-8.502123742</v>
      </c>
      <c r="P1472" s="6">
        <f t="shared" si="1475"/>
        <v>-2.084873139</v>
      </c>
      <c r="Q1472" s="6"/>
      <c r="R1472" s="6"/>
      <c r="S1472" s="6"/>
      <c r="T1472" s="6"/>
      <c r="U1472" s="6"/>
      <c r="V1472" s="6"/>
      <c r="W1472" s="6"/>
      <c r="X1472" s="6"/>
      <c r="Y1472" s="6"/>
      <c r="Z1472" s="6"/>
      <c r="AA1472" s="6"/>
      <c r="AB1472" s="6"/>
      <c r="AC1472" s="6"/>
      <c r="AD1472" s="6"/>
      <c r="AE1472" s="6"/>
      <c r="AF1472" s="6"/>
      <c r="AG1472" s="6"/>
    </row>
    <row r="1473" ht="14.25" customHeight="1">
      <c r="A1473" s="6"/>
      <c r="B1473" s="6"/>
      <c r="C1473" s="6">
        <v>1466.0</v>
      </c>
      <c r="D1473" s="6"/>
      <c r="E1473" s="6">
        <v>6345965.793160144</v>
      </c>
      <c r="F1473" s="6">
        <v>486.65270257062883</v>
      </c>
      <c r="G1473" s="6">
        <v>5.109531277800777</v>
      </c>
      <c r="H1473" s="6">
        <v>6265460.7801824715</v>
      </c>
      <c r="I1473" s="6">
        <v>482.7918880813215</v>
      </c>
      <c r="J1473" s="6">
        <v>3.5836407538519413</v>
      </c>
      <c r="K1473" s="6"/>
      <c r="L1473" s="6"/>
      <c r="M1473" s="6"/>
      <c r="N1473" s="6">
        <f t="shared" ref="N1473:P1473" si="1476">IF(LEN($C1473)&gt;0,H1473-E1473,"")</f>
        <v>-80505.01298</v>
      </c>
      <c r="O1473" s="6">
        <f t="shared" si="1476"/>
        <v>-3.860814489</v>
      </c>
      <c r="P1473" s="6">
        <f t="shared" si="1476"/>
        <v>-1.525890524</v>
      </c>
      <c r="Q1473" s="6"/>
      <c r="R1473" s="6"/>
      <c r="S1473" s="6"/>
      <c r="T1473" s="6"/>
      <c r="U1473" s="6"/>
      <c r="V1473" s="6"/>
      <c r="W1473" s="6"/>
      <c r="X1473" s="6"/>
      <c r="Y1473" s="6"/>
      <c r="Z1473" s="6"/>
      <c r="AA1473" s="6"/>
      <c r="AB1473" s="6"/>
      <c r="AC1473" s="6"/>
      <c r="AD1473" s="6"/>
      <c r="AE1473" s="6"/>
      <c r="AF1473" s="6"/>
      <c r="AG1473" s="6"/>
    </row>
    <row r="1474" ht="14.25" customHeight="1">
      <c r="A1474" s="6"/>
      <c r="B1474" s="6"/>
      <c r="C1474" s="6">
        <v>1467.0</v>
      </c>
      <c r="D1474" s="6"/>
      <c r="E1474" s="6">
        <v>7373920.26579138</v>
      </c>
      <c r="F1474" s="6">
        <v>471.0278294577405</v>
      </c>
      <c r="G1474" s="6">
        <v>4.374139214641618</v>
      </c>
      <c r="H1474" s="6">
        <v>7280625.496124801</v>
      </c>
      <c r="I1474" s="6">
        <v>467.93900868871816</v>
      </c>
      <c r="J1474" s="6">
        <v>3.1252751843913766</v>
      </c>
      <c r="K1474" s="6"/>
      <c r="L1474" s="6"/>
      <c r="M1474" s="6"/>
      <c r="N1474" s="6">
        <f t="shared" ref="N1474:P1474" si="1477">IF(LEN($C1474)&gt;0,H1474-E1474,"")</f>
        <v>-93294.76967</v>
      </c>
      <c r="O1474" s="6">
        <f t="shared" si="1477"/>
        <v>-3.088820769</v>
      </c>
      <c r="P1474" s="6">
        <f t="shared" si="1477"/>
        <v>-1.24886403</v>
      </c>
      <c r="Q1474" s="6"/>
      <c r="R1474" s="6"/>
      <c r="S1474" s="6"/>
      <c r="T1474" s="6"/>
      <c r="U1474" s="6"/>
      <c r="V1474" s="6"/>
      <c r="W1474" s="6"/>
      <c r="X1474" s="6"/>
      <c r="Y1474" s="6"/>
      <c r="Z1474" s="6"/>
      <c r="AA1474" s="6"/>
      <c r="AB1474" s="6"/>
      <c r="AC1474" s="6"/>
      <c r="AD1474" s="6"/>
      <c r="AE1474" s="6"/>
      <c r="AF1474" s="6"/>
      <c r="AG1474" s="6"/>
    </row>
    <row r="1475" ht="14.25" customHeight="1">
      <c r="A1475" s="6"/>
      <c r="B1475" s="6"/>
      <c r="C1475" s="6">
        <v>1468.0</v>
      </c>
      <c r="D1475" s="6"/>
      <c r="E1475" s="6">
        <v>7360582.950553192</v>
      </c>
      <c r="F1475" s="6">
        <v>479.5104155303734</v>
      </c>
      <c r="G1475" s="6">
        <v>4.7112403684493325</v>
      </c>
      <c r="H1475" s="6">
        <v>7255101.720923618</v>
      </c>
      <c r="I1475" s="6">
        <v>474.94542810914845</v>
      </c>
      <c r="J1475" s="6">
        <v>2.9677924575699866</v>
      </c>
      <c r="K1475" s="6"/>
      <c r="L1475" s="6"/>
      <c r="M1475" s="6"/>
      <c r="N1475" s="6">
        <f t="shared" ref="N1475:P1475" si="1478">IF(LEN($C1475)&gt;0,H1475-E1475,"")</f>
        <v>-105481.2296</v>
      </c>
      <c r="O1475" s="6">
        <f t="shared" si="1478"/>
        <v>-4.564987421</v>
      </c>
      <c r="P1475" s="6">
        <f t="shared" si="1478"/>
        <v>-1.743447911</v>
      </c>
      <c r="Q1475" s="6"/>
      <c r="R1475" s="6"/>
      <c r="S1475" s="6"/>
      <c r="T1475" s="6"/>
      <c r="U1475" s="6"/>
      <c r="V1475" s="6"/>
      <c r="W1475" s="6"/>
      <c r="X1475" s="6"/>
      <c r="Y1475" s="6"/>
      <c r="Z1475" s="6"/>
      <c r="AA1475" s="6"/>
      <c r="AB1475" s="6"/>
      <c r="AC1475" s="6"/>
      <c r="AD1475" s="6"/>
      <c r="AE1475" s="6"/>
      <c r="AF1475" s="6"/>
      <c r="AG1475" s="6"/>
    </row>
    <row r="1476" ht="14.25" customHeight="1">
      <c r="A1476" s="6"/>
      <c r="B1476" s="6"/>
      <c r="C1476" s="6">
        <v>1469.0</v>
      </c>
      <c r="D1476" s="6"/>
      <c r="E1476" s="6">
        <v>8970032.821918502</v>
      </c>
      <c r="F1476" s="6">
        <v>451.0308146554399</v>
      </c>
      <c r="G1476" s="6">
        <v>4.188208328299197</v>
      </c>
      <c r="H1476" s="6">
        <v>8906383.687519914</v>
      </c>
      <c r="I1476" s="6">
        <v>448.8123304817749</v>
      </c>
      <c r="J1476" s="6">
        <v>3.337603033534612</v>
      </c>
      <c r="K1476" s="6"/>
      <c r="L1476" s="6"/>
      <c r="M1476" s="6"/>
      <c r="N1476" s="6">
        <f t="shared" ref="N1476:P1476" si="1479">IF(LEN($C1476)&gt;0,H1476-E1476,"")</f>
        <v>-63649.1344</v>
      </c>
      <c r="O1476" s="6">
        <f t="shared" si="1479"/>
        <v>-2.218484174</v>
      </c>
      <c r="P1476" s="6">
        <f t="shared" si="1479"/>
        <v>-0.8506052948</v>
      </c>
      <c r="Q1476" s="6"/>
      <c r="R1476" s="6"/>
      <c r="S1476" s="6"/>
      <c r="T1476" s="6"/>
      <c r="U1476" s="6"/>
      <c r="V1476" s="6"/>
      <c r="W1476" s="6"/>
      <c r="X1476" s="6"/>
      <c r="Y1476" s="6"/>
      <c r="Z1476" s="6"/>
      <c r="AA1476" s="6"/>
      <c r="AB1476" s="6"/>
      <c r="AC1476" s="6"/>
      <c r="AD1476" s="6"/>
      <c r="AE1476" s="6"/>
      <c r="AF1476" s="6"/>
      <c r="AG1476" s="6"/>
    </row>
    <row r="1477" ht="14.25" customHeight="1">
      <c r="A1477" s="6"/>
      <c r="B1477" s="6"/>
      <c r="C1477" s="6">
        <v>1470.0</v>
      </c>
      <c r="D1477" s="6"/>
      <c r="E1477" s="6">
        <v>5969644.90327614</v>
      </c>
      <c r="F1477" s="6">
        <v>482.6807407984663</v>
      </c>
      <c r="G1477" s="6">
        <v>6.758634596349786</v>
      </c>
      <c r="H1477" s="6">
        <v>5873379.814930076</v>
      </c>
      <c r="I1477" s="6">
        <v>479.8906656276344</v>
      </c>
      <c r="J1477" s="6">
        <v>5.368400586534305</v>
      </c>
      <c r="K1477" s="6"/>
      <c r="L1477" s="6"/>
      <c r="M1477" s="6"/>
      <c r="N1477" s="6">
        <f t="shared" ref="N1477:P1477" si="1480">IF(LEN($C1477)&gt;0,H1477-E1477,"")</f>
        <v>-96265.08835</v>
      </c>
      <c r="O1477" s="6">
        <f t="shared" si="1480"/>
        <v>-2.790075171</v>
      </c>
      <c r="P1477" s="6">
        <f t="shared" si="1480"/>
        <v>-1.39023401</v>
      </c>
      <c r="Q1477" s="6"/>
      <c r="R1477" s="6"/>
      <c r="S1477" s="6"/>
      <c r="T1477" s="6"/>
      <c r="U1477" s="6"/>
      <c r="V1477" s="6"/>
      <c r="W1477" s="6"/>
      <c r="X1477" s="6"/>
      <c r="Y1477" s="6"/>
      <c r="Z1477" s="6"/>
      <c r="AA1477" s="6"/>
      <c r="AB1477" s="6"/>
      <c r="AC1477" s="6"/>
      <c r="AD1477" s="6"/>
      <c r="AE1477" s="6"/>
      <c r="AF1477" s="6"/>
      <c r="AG1477" s="6"/>
    </row>
    <row r="1478" ht="14.25" customHeight="1">
      <c r="A1478" s="6"/>
      <c r="B1478" s="6"/>
      <c r="C1478" s="6">
        <v>1471.0</v>
      </c>
      <c r="D1478" s="6"/>
      <c r="E1478" s="6">
        <v>6805910.495640411</v>
      </c>
      <c r="F1478" s="6">
        <v>471.6169962878567</v>
      </c>
      <c r="G1478" s="6">
        <v>4.279387406662093</v>
      </c>
      <c r="H1478" s="6">
        <v>6692510.823098948</v>
      </c>
      <c r="I1478" s="6">
        <v>465.79710485033576</v>
      </c>
      <c r="J1478" s="6">
        <v>2.743124578415346</v>
      </c>
      <c r="K1478" s="6"/>
      <c r="L1478" s="6"/>
      <c r="M1478" s="6"/>
      <c r="N1478" s="6">
        <f t="shared" ref="N1478:P1478" si="1481">IF(LEN($C1478)&gt;0,H1478-E1478,"")</f>
        <v>-113399.6725</v>
      </c>
      <c r="O1478" s="6">
        <f t="shared" si="1481"/>
        <v>-5.819891438</v>
      </c>
      <c r="P1478" s="6">
        <f t="shared" si="1481"/>
        <v>-1.536262828</v>
      </c>
      <c r="Q1478" s="6"/>
      <c r="R1478" s="6"/>
      <c r="S1478" s="6"/>
      <c r="T1478" s="6"/>
      <c r="U1478" s="6"/>
      <c r="V1478" s="6"/>
      <c r="W1478" s="6"/>
      <c r="X1478" s="6"/>
      <c r="Y1478" s="6"/>
      <c r="Z1478" s="6"/>
      <c r="AA1478" s="6"/>
      <c r="AB1478" s="6"/>
      <c r="AC1478" s="6"/>
      <c r="AD1478" s="6"/>
      <c r="AE1478" s="6"/>
      <c r="AF1478" s="6"/>
      <c r="AG1478" s="6"/>
    </row>
    <row r="1479" ht="14.25" customHeight="1">
      <c r="A1479" s="6"/>
      <c r="B1479" s="6"/>
      <c r="C1479" s="6">
        <v>1472.0</v>
      </c>
      <c r="D1479" s="6"/>
      <c r="E1479" s="6">
        <v>9752358.056688573</v>
      </c>
      <c r="F1479" s="6">
        <v>446.32141076855464</v>
      </c>
      <c r="G1479" s="6">
        <v>4.492024622275083</v>
      </c>
      <c r="H1479" s="6">
        <v>9569646.577470124</v>
      </c>
      <c r="I1479" s="6">
        <v>439.34315734096924</v>
      </c>
      <c r="J1479" s="6">
        <v>2.854766351793974</v>
      </c>
      <c r="K1479" s="6"/>
      <c r="L1479" s="6"/>
      <c r="M1479" s="6"/>
      <c r="N1479" s="6">
        <f t="shared" ref="N1479:P1479" si="1482">IF(LEN($C1479)&gt;0,H1479-E1479,"")</f>
        <v>-182711.4792</v>
      </c>
      <c r="O1479" s="6">
        <f t="shared" si="1482"/>
        <v>-6.978253428</v>
      </c>
      <c r="P1479" s="6">
        <f t="shared" si="1482"/>
        <v>-1.63725827</v>
      </c>
      <c r="Q1479" s="6"/>
      <c r="R1479" s="6"/>
      <c r="S1479" s="6"/>
      <c r="T1479" s="6"/>
      <c r="U1479" s="6"/>
      <c r="V1479" s="6"/>
      <c r="W1479" s="6"/>
      <c r="X1479" s="6"/>
      <c r="Y1479" s="6"/>
      <c r="Z1479" s="6"/>
      <c r="AA1479" s="6"/>
      <c r="AB1479" s="6"/>
      <c r="AC1479" s="6"/>
      <c r="AD1479" s="6"/>
      <c r="AE1479" s="6"/>
      <c r="AF1479" s="6"/>
      <c r="AG1479" s="6"/>
    </row>
    <row r="1480" ht="14.25" customHeight="1">
      <c r="A1480" s="6"/>
      <c r="B1480" s="6"/>
      <c r="C1480" s="6">
        <v>1473.0</v>
      </c>
      <c r="D1480" s="6"/>
      <c r="E1480" s="6">
        <v>8255212.616698481</v>
      </c>
      <c r="F1480" s="6">
        <v>489.3310837880484</v>
      </c>
      <c r="G1480" s="6">
        <v>4.886171654285205</v>
      </c>
      <c r="H1480" s="6">
        <v>8141756.393590877</v>
      </c>
      <c r="I1480" s="6">
        <v>485.73989932467543</v>
      </c>
      <c r="J1480" s="6">
        <v>3.5250317497705344</v>
      </c>
      <c r="K1480" s="6"/>
      <c r="L1480" s="6"/>
      <c r="M1480" s="6"/>
      <c r="N1480" s="6">
        <f t="shared" ref="N1480:P1480" si="1483">IF(LEN($C1480)&gt;0,H1480-E1480,"")</f>
        <v>-113456.2231</v>
      </c>
      <c r="O1480" s="6">
        <f t="shared" si="1483"/>
        <v>-3.591184463</v>
      </c>
      <c r="P1480" s="6">
        <f t="shared" si="1483"/>
        <v>-1.361139905</v>
      </c>
      <c r="Q1480" s="6"/>
      <c r="R1480" s="6"/>
      <c r="S1480" s="6"/>
      <c r="T1480" s="6"/>
      <c r="U1480" s="6"/>
      <c r="V1480" s="6"/>
      <c r="W1480" s="6"/>
      <c r="X1480" s="6"/>
      <c r="Y1480" s="6"/>
      <c r="Z1480" s="6"/>
      <c r="AA1480" s="6"/>
      <c r="AB1480" s="6"/>
      <c r="AC1480" s="6"/>
      <c r="AD1480" s="6"/>
      <c r="AE1480" s="6"/>
      <c r="AF1480" s="6"/>
      <c r="AG1480" s="6"/>
    </row>
    <row r="1481" ht="14.25" customHeight="1">
      <c r="A1481" s="6"/>
      <c r="B1481" s="6"/>
      <c r="C1481" s="6">
        <v>1474.0</v>
      </c>
      <c r="D1481" s="6"/>
      <c r="E1481" s="6">
        <v>6157619.46100716</v>
      </c>
      <c r="F1481" s="6">
        <v>479.05359666872425</v>
      </c>
      <c r="G1481" s="6">
        <v>4.995001788089127</v>
      </c>
      <c r="H1481" s="6">
        <v>6090835.636506139</v>
      </c>
      <c r="I1481" s="6">
        <v>476.48591910040193</v>
      </c>
      <c r="J1481" s="6">
        <v>3.9652088815019386</v>
      </c>
      <c r="K1481" s="6"/>
      <c r="L1481" s="6"/>
      <c r="M1481" s="6"/>
      <c r="N1481" s="6">
        <f t="shared" ref="N1481:P1481" si="1484">IF(LEN($C1481)&gt;0,H1481-E1481,"")</f>
        <v>-66783.8245</v>
      </c>
      <c r="O1481" s="6">
        <f t="shared" si="1484"/>
        <v>-2.567677568</v>
      </c>
      <c r="P1481" s="6">
        <f t="shared" si="1484"/>
        <v>-1.029792907</v>
      </c>
      <c r="Q1481" s="6"/>
      <c r="R1481" s="6"/>
      <c r="S1481" s="6"/>
      <c r="T1481" s="6"/>
      <c r="U1481" s="6"/>
      <c r="V1481" s="6"/>
      <c r="W1481" s="6"/>
      <c r="X1481" s="6"/>
      <c r="Y1481" s="6"/>
      <c r="Z1481" s="6"/>
      <c r="AA1481" s="6"/>
      <c r="AB1481" s="6"/>
      <c r="AC1481" s="6"/>
      <c r="AD1481" s="6"/>
      <c r="AE1481" s="6"/>
      <c r="AF1481" s="6"/>
      <c r="AG1481" s="6"/>
    </row>
    <row r="1482" ht="14.25" customHeight="1">
      <c r="A1482" s="6"/>
      <c r="B1482" s="6"/>
      <c r="C1482" s="6">
        <v>1475.0</v>
      </c>
      <c r="D1482" s="6"/>
      <c r="E1482" s="6">
        <v>6550818.463166977</v>
      </c>
      <c r="F1482" s="6">
        <v>451.33329148319507</v>
      </c>
      <c r="G1482" s="6">
        <v>4.955442845430036</v>
      </c>
      <c r="H1482" s="6">
        <v>6447959.287710401</v>
      </c>
      <c r="I1482" s="6">
        <v>448.3802791333065</v>
      </c>
      <c r="J1482" s="6">
        <v>3.5819495123440754</v>
      </c>
      <c r="K1482" s="6"/>
      <c r="L1482" s="6"/>
      <c r="M1482" s="6"/>
      <c r="N1482" s="6">
        <f t="shared" ref="N1482:P1482" si="1485">IF(LEN($C1482)&gt;0,H1482-E1482,"")</f>
        <v>-102859.1755</v>
      </c>
      <c r="O1482" s="6">
        <f t="shared" si="1485"/>
        <v>-2.95301235</v>
      </c>
      <c r="P1482" s="6">
        <f t="shared" si="1485"/>
        <v>-1.373493333</v>
      </c>
      <c r="Q1482" s="6"/>
      <c r="R1482" s="6"/>
      <c r="S1482" s="6"/>
      <c r="T1482" s="6"/>
      <c r="U1482" s="6"/>
      <c r="V1482" s="6"/>
      <c r="W1482" s="6"/>
      <c r="X1482" s="6"/>
      <c r="Y1482" s="6"/>
      <c r="Z1482" s="6"/>
      <c r="AA1482" s="6"/>
      <c r="AB1482" s="6"/>
      <c r="AC1482" s="6"/>
      <c r="AD1482" s="6"/>
      <c r="AE1482" s="6"/>
      <c r="AF1482" s="6"/>
      <c r="AG1482" s="6"/>
    </row>
    <row r="1483" ht="14.25" customHeight="1">
      <c r="A1483" s="6"/>
      <c r="B1483" s="6"/>
      <c r="C1483" s="6">
        <v>1476.0</v>
      </c>
      <c r="D1483" s="6"/>
      <c r="E1483" s="6">
        <v>7442829.675473792</v>
      </c>
      <c r="F1483" s="6">
        <v>508.93842744069264</v>
      </c>
      <c r="G1483" s="6">
        <v>4.974594153352865</v>
      </c>
      <c r="H1483" s="6">
        <v>7231534.523774841</v>
      </c>
      <c r="I1483" s="6">
        <v>498.28053033533763</v>
      </c>
      <c r="J1483" s="6">
        <v>3.2922637785511797</v>
      </c>
      <c r="K1483" s="6"/>
      <c r="L1483" s="6"/>
      <c r="M1483" s="6"/>
      <c r="N1483" s="6">
        <f t="shared" ref="N1483:P1483" si="1486">IF(LEN($C1483)&gt;0,H1483-E1483,"")</f>
        <v>-211295.1517</v>
      </c>
      <c r="O1483" s="6">
        <f t="shared" si="1486"/>
        <v>-10.65789711</v>
      </c>
      <c r="P1483" s="6">
        <f t="shared" si="1486"/>
        <v>-1.682330375</v>
      </c>
      <c r="Q1483" s="6"/>
      <c r="R1483" s="6"/>
      <c r="S1483" s="6"/>
      <c r="T1483" s="6"/>
      <c r="U1483" s="6"/>
      <c r="V1483" s="6"/>
      <c r="W1483" s="6"/>
      <c r="X1483" s="6"/>
      <c r="Y1483" s="6"/>
      <c r="Z1483" s="6"/>
      <c r="AA1483" s="6"/>
      <c r="AB1483" s="6"/>
      <c r="AC1483" s="6"/>
      <c r="AD1483" s="6"/>
      <c r="AE1483" s="6"/>
      <c r="AF1483" s="6"/>
      <c r="AG1483" s="6"/>
    </row>
    <row r="1484" ht="14.25" customHeight="1">
      <c r="A1484" s="6"/>
      <c r="B1484" s="6"/>
      <c r="C1484" s="6">
        <v>1477.0</v>
      </c>
      <c r="D1484" s="6"/>
      <c r="E1484" s="6">
        <v>8649196.16739652</v>
      </c>
      <c r="F1484" s="6">
        <v>480.74142720684375</v>
      </c>
      <c r="G1484" s="6">
        <v>4.100068421317079</v>
      </c>
      <c r="H1484" s="6">
        <v>8536737.911546716</v>
      </c>
      <c r="I1484" s="6">
        <v>476.9938730846685</v>
      </c>
      <c r="J1484" s="6">
        <v>2.9911258830966903</v>
      </c>
      <c r="K1484" s="6"/>
      <c r="L1484" s="6"/>
      <c r="M1484" s="6"/>
      <c r="N1484" s="6">
        <f t="shared" ref="N1484:P1484" si="1487">IF(LEN($C1484)&gt;0,H1484-E1484,"")</f>
        <v>-112458.2558</v>
      </c>
      <c r="O1484" s="6">
        <f t="shared" si="1487"/>
        <v>-3.747554122</v>
      </c>
      <c r="P1484" s="6">
        <f t="shared" si="1487"/>
        <v>-1.108942538</v>
      </c>
      <c r="Q1484" s="6"/>
      <c r="R1484" s="6"/>
      <c r="S1484" s="6"/>
      <c r="T1484" s="6"/>
      <c r="U1484" s="6"/>
      <c r="V1484" s="6"/>
      <c r="W1484" s="6"/>
      <c r="X1484" s="6"/>
      <c r="Y1484" s="6"/>
      <c r="Z1484" s="6"/>
      <c r="AA1484" s="6"/>
      <c r="AB1484" s="6"/>
      <c r="AC1484" s="6"/>
      <c r="AD1484" s="6"/>
      <c r="AE1484" s="6"/>
      <c r="AF1484" s="6"/>
      <c r="AG1484" s="6"/>
    </row>
    <row r="1485" ht="14.25" customHeight="1">
      <c r="A1485" s="6"/>
      <c r="B1485" s="6"/>
      <c r="C1485" s="6">
        <v>1478.0</v>
      </c>
      <c r="D1485" s="6"/>
      <c r="E1485" s="6">
        <v>6671410.214033522</v>
      </c>
      <c r="F1485" s="6">
        <v>457.84540408967604</v>
      </c>
      <c r="G1485" s="6">
        <v>6.389504006508853</v>
      </c>
      <c r="H1485" s="6">
        <v>6567630.892766347</v>
      </c>
      <c r="I1485" s="6">
        <v>454.17998791273226</v>
      </c>
      <c r="J1485" s="6">
        <v>4.723073197895172</v>
      </c>
      <c r="K1485" s="6"/>
      <c r="L1485" s="6"/>
      <c r="M1485" s="6"/>
      <c r="N1485" s="6">
        <f t="shared" ref="N1485:P1485" si="1488">IF(LEN($C1485)&gt;0,H1485-E1485,"")</f>
        <v>-103779.3213</v>
      </c>
      <c r="O1485" s="6">
        <f t="shared" si="1488"/>
        <v>-3.665416177</v>
      </c>
      <c r="P1485" s="6">
        <f t="shared" si="1488"/>
        <v>-1.666430809</v>
      </c>
      <c r="Q1485" s="6"/>
      <c r="R1485" s="6"/>
      <c r="S1485" s="6"/>
      <c r="T1485" s="6"/>
      <c r="U1485" s="6"/>
      <c r="V1485" s="6"/>
      <c r="W1485" s="6"/>
      <c r="X1485" s="6"/>
      <c r="Y1485" s="6"/>
      <c r="Z1485" s="6"/>
      <c r="AA1485" s="6"/>
      <c r="AB1485" s="6"/>
      <c r="AC1485" s="6"/>
      <c r="AD1485" s="6"/>
      <c r="AE1485" s="6"/>
      <c r="AF1485" s="6"/>
      <c r="AG1485" s="6"/>
    </row>
    <row r="1486" ht="14.25" customHeight="1">
      <c r="A1486" s="6"/>
      <c r="B1486" s="6"/>
      <c r="C1486" s="6">
        <v>1479.0</v>
      </c>
      <c r="D1486" s="6"/>
      <c r="E1486" s="6">
        <v>7084201.595445427</v>
      </c>
      <c r="F1486" s="6">
        <v>434.90233820697586</v>
      </c>
      <c r="G1486" s="6">
        <v>4.259525043608925</v>
      </c>
      <c r="H1486" s="6">
        <v>6906754.398034178</v>
      </c>
      <c r="I1486" s="6">
        <v>430.1753793995619</v>
      </c>
      <c r="J1486" s="6">
        <v>2.8607527514085804</v>
      </c>
      <c r="K1486" s="6"/>
      <c r="L1486" s="6"/>
      <c r="M1486" s="6"/>
      <c r="N1486" s="6">
        <f t="shared" ref="N1486:P1486" si="1489">IF(LEN($C1486)&gt;0,H1486-E1486,"")</f>
        <v>-177447.1974</v>
      </c>
      <c r="O1486" s="6">
        <f t="shared" si="1489"/>
        <v>-4.726958807</v>
      </c>
      <c r="P1486" s="6">
        <f t="shared" si="1489"/>
        <v>-1.398772292</v>
      </c>
      <c r="Q1486" s="6"/>
      <c r="R1486" s="6"/>
      <c r="S1486" s="6"/>
      <c r="T1486" s="6"/>
      <c r="U1486" s="6"/>
      <c r="V1486" s="6"/>
      <c r="W1486" s="6"/>
      <c r="X1486" s="6"/>
      <c r="Y1486" s="6"/>
      <c r="Z1486" s="6"/>
      <c r="AA1486" s="6"/>
      <c r="AB1486" s="6"/>
      <c r="AC1486" s="6"/>
      <c r="AD1486" s="6"/>
      <c r="AE1486" s="6"/>
      <c r="AF1486" s="6"/>
      <c r="AG1486" s="6"/>
    </row>
    <row r="1487" ht="14.25" customHeight="1">
      <c r="A1487" s="6"/>
      <c r="B1487" s="6"/>
      <c r="C1487" s="6">
        <v>1480.0</v>
      </c>
      <c r="D1487" s="6"/>
      <c r="E1487" s="6">
        <v>8655261.68680593</v>
      </c>
      <c r="F1487" s="6">
        <v>471.16917333761387</v>
      </c>
      <c r="G1487" s="6">
        <v>6.1272096830104585</v>
      </c>
      <c r="H1487" s="6">
        <v>8559485.06991903</v>
      </c>
      <c r="I1487" s="6">
        <v>469.0712768213931</v>
      </c>
      <c r="J1487" s="6">
        <v>4.562293417723132</v>
      </c>
      <c r="K1487" s="6"/>
      <c r="L1487" s="6"/>
      <c r="M1487" s="6"/>
      <c r="N1487" s="6">
        <f t="shared" ref="N1487:P1487" si="1490">IF(LEN($C1487)&gt;0,H1487-E1487,"")</f>
        <v>-95776.61689</v>
      </c>
      <c r="O1487" s="6">
        <f t="shared" si="1490"/>
        <v>-2.097896516</v>
      </c>
      <c r="P1487" s="6">
        <f t="shared" si="1490"/>
        <v>-1.564916265</v>
      </c>
      <c r="Q1487" s="6"/>
      <c r="R1487" s="6"/>
      <c r="S1487" s="6"/>
      <c r="T1487" s="6"/>
      <c r="U1487" s="6"/>
      <c r="V1487" s="6"/>
      <c r="W1487" s="6"/>
      <c r="X1487" s="6"/>
      <c r="Y1487" s="6"/>
      <c r="Z1487" s="6"/>
      <c r="AA1487" s="6"/>
      <c r="AB1487" s="6"/>
      <c r="AC1487" s="6"/>
      <c r="AD1487" s="6"/>
      <c r="AE1487" s="6"/>
      <c r="AF1487" s="6"/>
      <c r="AG1487" s="6"/>
    </row>
    <row r="1488" ht="14.25" customHeight="1">
      <c r="A1488" s="6"/>
      <c r="B1488" s="6"/>
      <c r="C1488" s="6">
        <v>1481.0</v>
      </c>
      <c r="D1488" s="6"/>
      <c r="E1488" s="6">
        <v>7768146.248115934</v>
      </c>
      <c r="F1488" s="6">
        <v>465.45037578233604</v>
      </c>
      <c r="G1488" s="6">
        <v>4.166277507730137</v>
      </c>
      <c r="H1488" s="6">
        <v>7728855.389269598</v>
      </c>
      <c r="I1488" s="6">
        <v>463.7890033388533</v>
      </c>
      <c r="J1488" s="6">
        <v>3.3762906927375047</v>
      </c>
      <c r="K1488" s="6"/>
      <c r="L1488" s="6"/>
      <c r="M1488" s="6"/>
      <c r="N1488" s="6">
        <f t="shared" ref="N1488:P1488" si="1491">IF(LEN($C1488)&gt;0,H1488-E1488,"")</f>
        <v>-39290.85885</v>
      </c>
      <c r="O1488" s="6">
        <f t="shared" si="1491"/>
        <v>-1.661372443</v>
      </c>
      <c r="P1488" s="6">
        <f t="shared" si="1491"/>
        <v>-0.789986815</v>
      </c>
      <c r="Q1488" s="6"/>
      <c r="R1488" s="6"/>
      <c r="S1488" s="6"/>
      <c r="T1488" s="6"/>
      <c r="U1488" s="6"/>
      <c r="V1488" s="6"/>
      <c r="W1488" s="6"/>
      <c r="X1488" s="6"/>
      <c r="Y1488" s="6"/>
      <c r="Z1488" s="6"/>
      <c r="AA1488" s="6"/>
      <c r="AB1488" s="6"/>
      <c r="AC1488" s="6"/>
      <c r="AD1488" s="6"/>
      <c r="AE1488" s="6"/>
      <c r="AF1488" s="6"/>
      <c r="AG1488" s="6"/>
    </row>
    <row r="1489" ht="14.25" customHeight="1">
      <c r="A1489" s="6"/>
      <c r="B1489" s="6"/>
      <c r="C1489" s="6">
        <v>1482.0</v>
      </c>
      <c r="D1489" s="6"/>
      <c r="E1489" s="6">
        <v>6630411.476046741</v>
      </c>
      <c r="F1489" s="6">
        <v>460.4184956410522</v>
      </c>
      <c r="G1489" s="6">
        <v>5.546846626294403</v>
      </c>
      <c r="H1489" s="6">
        <v>6539712.48131858</v>
      </c>
      <c r="I1489" s="6">
        <v>458.0351747278137</v>
      </c>
      <c r="J1489" s="6">
        <v>3.9388000871403586</v>
      </c>
      <c r="K1489" s="6"/>
      <c r="L1489" s="6"/>
      <c r="M1489" s="6"/>
      <c r="N1489" s="6">
        <f t="shared" ref="N1489:P1489" si="1492">IF(LEN($C1489)&gt;0,H1489-E1489,"")</f>
        <v>-90698.99473</v>
      </c>
      <c r="O1489" s="6">
        <f t="shared" si="1492"/>
        <v>-2.383320913</v>
      </c>
      <c r="P1489" s="6">
        <f t="shared" si="1492"/>
        <v>-1.608046539</v>
      </c>
      <c r="Q1489" s="6"/>
      <c r="R1489" s="6"/>
      <c r="S1489" s="6"/>
      <c r="T1489" s="6"/>
      <c r="U1489" s="6"/>
      <c r="V1489" s="6"/>
      <c r="W1489" s="6"/>
      <c r="X1489" s="6"/>
      <c r="Y1489" s="6"/>
      <c r="Z1489" s="6"/>
      <c r="AA1489" s="6"/>
      <c r="AB1489" s="6"/>
      <c r="AC1489" s="6"/>
      <c r="AD1489" s="6"/>
      <c r="AE1489" s="6"/>
      <c r="AF1489" s="6"/>
      <c r="AG1489" s="6"/>
    </row>
    <row r="1490" ht="14.25" customHeight="1">
      <c r="A1490" s="6"/>
      <c r="B1490" s="6"/>
      <c r="C1490" s="6">
        <v>1483.0</v>
      </c>
      <c r="D1490" s="6"/>
      <c r="E1490" s="6">
        <v>6466389.795955679</v>
      </c>
      <c r="F1490" s="6">
        <v>466.99885437527416</v>
      </c>
      <c r="G1490" s="6">
        <v>4.688351397801332</v>
      </c>
      <c r="H1490" s="6">
        <v>6384429.366448134</v>
      </c>
      <c r="I1490" s="6">
        <v>464.499992218735</v>
      </c>
      <c r="J1490" s="6">
        <v>3.312376381864228</v>
      </c>
      <c r="K1490" s="6"/>
      <c r="L1490" s="6"/>
      <c r="M1490" s="6"/>
      <c r="N1490" s="6">
        <f t="shared" ref="N1490:P1490" si="1493">IF(LEN($C1490)&gt;0,H1490-E1490,"")</f>
        <v>-81960.42951</v>
      </c>
      <c r="O1490" s="6">
        <f t="shared" si="1493"/>
        <v>-2.498862157</v>
      </c>
      <c r="P1490" s="6">
        <f t="shared" si="1493"/>
        <v>-1.375975016</v>
      </c>
      <c r="Q1490" s="6"/>
      <c r="R1490" s="6"/>
      <c r="S1490" s="6"/>
      <c r="T1490" s="6"/>
      <c r="U1490" s="6"/>
      <c r="V1490" s="6"/>
      <c r="W1490" s="6"/>
      <c r="X1490" s="6"/>
      <c r="Y1490" s="6"/>
      <c r="Z1490" s="6"/>
      <c r="AA1490" s="6"/>
      <c r="AB1490" s="6"/>
      <c r="AC1490" s="6"/>
      <c r="AD1490" s="6"/>
      <c r="AE1490" s="6"/>
      <c r="AF1490" s="6"/>
      <c r="AG1490" s="6"/>
    </row>
    <row r="1491" ht="14.25" customHeight="1">
      <c r="A1491" s="6"/>
      <c r="B1491" s="6"/>
      <c r="C1491" s="6">
        <v>1484.0</v>
      </c>
      <c r="D1491" s="6"/>
      <c r="E1491" s="6">
        <v>8201267.367336137</v>
      </c>
      <c r="F1491" s="6">
        <v>452.03669579471784</v>
      </c>
      <c r="G1491" s="6">
        <v>5.558531288681165</v>
      </c>
      <c r="H1491" s="6">
        <v>8117451.355891854</v>
      </c>
      <c r="I1491" s="6">
        <v>449.5061064782639</v>
      </c>
      <c r="J1491" s="6">
        <v>4.6616382552177615</v>
      </c>
      <c r="K1491" s="6"/>
      <c r="L1491" s="6"/>
      <c r="M1491" s="6"/>
      <c r="N1491" s="6">
        <f t="shared" ref="N1491:P1491" si="1494">IF(LEN($C1491)&gt;0,H1491-E1491,"")</f>
        <v>-83816.01144</v>
      </c>
      <c r="O1491" s="6">
        <f t="shared" si="1494"/>
        <v>-2.530589316</v>
      </c>
      <c r="P1491" s="6">
        <f t="shared" si="1494"/>
        <v>-0.8968930335</v>
      </c>
      <c r="Q1491" s="6"/>
      <c r="R1491" s="6"/>
      <c r="S1491" s="6"/>
      <c r="T1491" s="6"/>
      <c r="U1491" s="6"/>
      <c r="V1491" s="6"/>
      <c r="W1491" s="6"/>
      <c r="X1491" s="6"/>
      <c r="Y1491" s="6"/>
      <c r="Z1491" s="6"/>
      <c r="AA1491" s="6"/>
      <c r="AB1491" s="6"/>
      <c r="AC1491" s="6"/>
      <c r="AD1491" s="6"/>
      <c r="AE1491" s="6"/>
      <c r="AF1491" s="6"/>
      <c r="AG1491" s="6"/>
    </row>
    <row r="1492" ht="14.25" customHeight="1">
      <c r="A1492" s="6"/>
      <c r="B1492" s="6"/>
      <c r="C1492" s="6">
        <v>1485.0</v>
      </c>
      <c r="D1492" s="6"/>
      <c r="E1492" s="6">
        <v>8181095.3620229</v>
      </c>
      <c r="F1492" s="6">
        <v>485.4726284921078</v>
      </c>
      <c r="G1492" s="6">
        <v>5.1649239514284755</v>
      </c>
      <c r="H1492" s="6">
        <v>8121286.91194675</v>
      </c>
      <c r="I1492" s="6">
        <v>483.690777547769</v>
      </c>
      <c r="J1492" s="6">
        <v>4.140497243725701</v>
      </c>
      <c r="K1492" s="6"/>
      <c r="L1492" s="6"/>
      <c r="M1492" s="6"/>
      <c r="N1492" s="6">
        <f t="shared" ref="N1492:P1492" si="1495">IF(LEN($C1492)&gt;0,H1492-E1492,"")</f>
        <v>-59808.45008</v>
      </c>
      <c r="O1492" s="6">
        <f t="shared" si="1495"/>
        <v>-1.781850944</v>
      </c>
      <c r="P1492" s="6">
        <f t="shared" si="1495"/>
        <v>-1.024426708</v>
      </c>
      <c r="Q1492" s="6"/>
      <c r="R1492" s="6"/>
      <c r="S1492" s="6"/>
      <c r="T1492" s="6"/>
      <c r="U1492" s="6"/>
      <c r="V1492" s="6"/>
      <c r="W1492" s="6"/>
      <c r="X1492" s="6"/>
      <c r="Y1492" s="6"/>
      <c r="Z1492" s="6"/>
      <c r="AA1492" s="6"/>
      <c r="AB1492" s="6"/>
      <c r="AC1492" s="6"/>
      <c r="AD1492" s="6"/>
      <c r="AE1492" s="6"/>
      <c r="AF1492" s="6"/>
      <c r="AG1492" s="6"/>
    </row>
    <row r="1493" ht="14.25" customHeight="1">
      <c r="A1493" s="6"/>
      <c r="B1493" s="6"/>
      <c r="C1493" s="6">
        <v>1486.0</v>
      </c>
      <c r="D1493" s="6"/>
      <c r="E1493" s="6">
        <v>6217430.412414669</v>
      </c>
      <c r="F1493" s="6">
        <v>473.0623580400078</v>
      </c>
      <c r="G1493" s="6">
        <v>6.06521336497001</v>
      </c>
      <c r="H1493" s="6">
        <v>6189903.657014991</v>
      </c>
      <c r="I1493" s="6">
        <v>472.1493192272979</v>
      </c>
      <c r="J1493" s="6">
        <v>5.634809520789181</v>
      </c>
      <c r="K1493" s="6"/>
      <c r="L1493" s="6"/>
      <c r="M1493" s="6"/>
      <c r="N1493" s="6">
        <f t="shared" ref="N1493:P1493" si="1496">IF(LEN($C1493)&gt;0,H1493-E1493,"")</f>
        <v>-27526.7554</v>
      </c>
      <c r="O1493" s="6">
        <f t="shared" si="1496"/>
        <v>-0.9130388127</v>
      </c>
      <c r="P1493" s="6">
        <f t="shared" si="1496"/>
        <v>-0.4304038442</v>
      </c>
      <c r="Q1493" s="6"/>
      <c r="R1493" s="6"/>
      <c r="S1493" s="6"/>
      <c r="T1493" s="6"/>
      <c r="U1493" s="6"/>
      <c r="V1493" s="6"/>
      <c r="W1493" s="6"/>
      <c r="X1493" s="6"/>
      <c r="Y1493" s="6"/>
      <c r="Z1493" s="6"/>
      <c r="AA1493" s="6"/>
      <c r="AB1493" s="6"/>
      <c r="AC1493" s="6"/>
      <c r="AD1493" s="6"/>
      <c r="AE1493" s="6"/>
      <c r="AF1493" s="6"/>
      <c r="AG1493" s="6"/>
    </row>
    <row r="1494" ht="14.25" customHeight="1">
      <c r="A1494" s="6"/>
      <c r="B1494" s="6"/>
      <c r="C1494" s="6">
        <v>1487.0</v>
      </c>
      <c r="D1494" s="6"/>
      <c r="E1494" s="6">
        <v>8804344.280926248</v>
      </c>
      <c r="F1494" s="6">
        <v>450.9758445915254</v>
      </c>
      <c r="G1494" s="6">
        <v>4.677981095850394</v>
      </c>
      <c r="H1494" s="6">
        <v>8704226.58914618</v>
      </c>
      <c r="I1494" s="6">
        <v>447.74735849921905</v>
      </c>
      <c r="J1494" s="6">
        <v>3.182211599942731</v>
      </c>
      <c r="K1494" s="6"/>
      <c r="L1494" s="6"/>
      <c r="M1494" s="6"/>
      <c r="N1494" s="6">
        <f t="shared" ref="N1494:P1494" si="1497">IF(LEN($C1494)&gt;0,H1494-E1494,"")</f>
        <v>-100117.6918</v>
      </c>
      <c r="O1494" s="6">
        <f t="shared" si="1497"/>
        <v>-3.228486092</v>
      </c>
      <c r="P1494" s="6">
        <f t="shared" si="1497"/>
        <v>-1.495769496</v>
      </c>
      <c r="Q1494" s="6"/>
      <c r="R1494" s="6"/>
      <c r="S1494" s="6"/>
      <c r="T1494" s="6"/>
      <c r="U1494" s="6"/>
      <c r="V1494" s="6"/>
      <c r="W1494" s="6"/>
      <c r="X1494" s="6"/>
      <c r="Y1494" s="6"/>
      <c r="Z1494" s="6"/>
      <c r="AA1494" s="6"/>
      <c r="AB1494" s="6"/>
      <c r="AC1494" s="6"/>
      <c r="AD1494" s="6"/>
      <c r="AE1494" s="6"/>
      <c r="AF1494" s="6"/>
      <c r="AG1494" s="6"/>
    </row>
    <row r="1495" ht="14.25" customHeight="1">
      <c r="A1495" s="6"/>
      <c r="B1495" s="6"/>
      <c r="C1495" s="6">
        <v>1488.0</v>
      </c>
      <c r="D1495" s="6"/>
      <c r="E1495" s="6">
        <v>7576696.08520667</v>
      </c>
      <c r="F1495" s="6">
        <v>439.3762869859515</v>
      </c>
      <c r="G1495" s="6">
        <v>5.106330577818925</v>
      </c>
      <c r="H1495" s="6">
        <v>7475804.404976842</v>
      </c>
      <c r="I1495" s="6">
        <v>434.6602588579465</v>
      </c>
      <c r="J1495" s="6">
        <v>3.4661348592540224</v>
      </c>
      <c r="K1495" s="6"/>
      <c r="L1495" s="6"/>
      <c r="M1495" s="6"/>
      <c r="N1495" s="6">
        <f t="shared" ref="N1495:P1495" si="1498">IF(LEN($C1495)&gt;0,H1495-E1495,"")</f>
        <v>-100891.6802</v>
      </c>
      <c r="O1495" s="6">
        <f t="shared" si="1498"/>
        <v>-4.716028128</v>
      </c>
      <c r="P1495" s="6">
        <f t="shared" si="1498"/>
        <v>-1.640195719</v>
      </c>
      <c r="Q1495" s="6"/>
      <c r="R1495" s="6"/>
      <c r="S1495" s="6"/>
      <c r="T1495" s="6"/>
      <c r="U1495" s="6"/>
      <c r="V1495" s="6"/>
      <c r="W1495" s="6"/>
      <c r="X1495" s="6"/>
      <c r="Y1495" s="6"/>
      <c r="Z1495" s="6"/>
      <c r="AA1495" s="6"/>
      <c r="AB1495" s="6"/>
      <c r="AC1495" s="6"/>
      <c r="AD1495" s="6"/>
      <c r="AE1495" s="6"/>
      <c r="AF1495" s="6"/>
      <c r="AG1495" s="6"/>
    </row>
    <row r="1496" ht="14.25" customHeight="1">
      <c r="A1496" s="6"/>
      <c r="B1496" s="6"/>
      <c r="C1496" s="6">
        <v>1489.0</v>
      </c>
      <c r="D1496" s="6"/>
      <c r="E1496" s="6">
        <v>7514317.434308761</v>
      </c>
      <c r="F1496" s="6">
        <v>500.67376313911313</v>
      </c>
      <c r="G1496" s="6">
        <v>5.355606486022624</v>
      </c>
      <c r="H1496" s="6">
        <v>7422994.506514361</v>
      </c>
      <c r="I1496" s="6">
        <v>496.2555244292449</v>
      </c>
      <c r="J1496" s="6">
        <v>4.183883009058919</v>
      </c>
      <c r="K1496" s="6"/>
      <c r="L1496" s="6"/>
      <c r="M1496" s="6"/>
      <c r="N1496" s="6">
        <f t="shared" ref="N1496:P1496" si="1499">IF(LEN($C1496)&gt;0,H1496-E1496,"")</f>
        <v>-91322.92779</v>
      </c>
      <c r="O1496" s="6">
        <f t="shared" si="1499"/>
        <v>-4.41823871</v>
      </c>
      <c r="P1496" s="6">
        <f t="shared" si="1499"/>
        <v>-1.171723477</v>
      </c>
      <c r="Q1496" s="6"/>
      <c r="R1496" s="6"/>
      <c r="S1496" s="6"/>
      <c r="T1496" s="6"/>
      <c r="U1496" s="6"/>
      <c r="V1496" s="6"/>
      <c r="W1496" s="6"/>
      <c r="X1496" s="6"/>
      <c r="Y1496" s="6"/>
      <c r="Z1496" s="6"/>
      <c r="AA1496" s="6"/>
      <c r="AB1496" s="6"/>
      <c r="AC1496" s="6"/>
      <c r="AD1496" s="6"/>
      <c r="AE1496" s="6"/>
      <c r="AF1496" s="6"/>
      <c r="AG1496" s="6"/>
    </row>
    <row r="1497" ht="14.25" customHeight="1">
      <c r="A1497" s="6"/>
      <c r="B1497" s="6"/>
      <c r="C1497" s="6">
        <v>1490.0</v>
      </c>
      <c r="D1497" s="6"/>
      <c r="E1497" s="6">
        <v>7499913.0588173205</v>
      </c>
      <c r="F1497" s="6">
        <v>463.80059887849507</v>
      </c>
      <c r="G1497" s="6">
        <v>5.6643868658296</v>
      </c>
      <c r="H1497" s="6">
        <v>7410052.728445523</v>
      </c>
      <c r="I1497" s="6">
        <v>459.5864516413856</v>
      </c>
      <c r="J1497" s="6">
        <v>4.221191023942167</v>
      </c>
      <c r="K1497" s="6"/>
      <c r="L1497" s="6"/>
      <c r="M1497" s="6"/>
      <c r="N1497" s="6">
        <f t="shared" ref="N1497:P1497" si="1500">IF(LEN($C1497)&gt;0,H1497-E1497,"")</f>
        <v>-89860.33037</v>
      </c>
      <c r="O1497" s="6">
        <f t="shared" si="1500"/>
        <v>-4.214147237</v>
      </c>
      <c r="P1497" s="6">
        <f t="shared" si="1500"/>
        <v>-1.443195842</v>
      </c>
      <c r="Q1497" s="6"/>
      <c r="R1497" s="6"/>
      <c r="S1497" s="6"/>
      <c r="T1497" s="6"/>
      <c r="U1497" s="6"/>
      <c r="V1497" s="6"/>
      <c r="W1497" s="6"/>
      <c r="X1497" s="6"/>
      <c r="Y1497" s="6"/>
      <c r="Z1497" s="6"/>
      <c r="AA1497" s="6"/>
      <c r="AB1497" s="6"/>
      <c r="AC1497" s="6"/>
      <c r="AD1497" s="6"/>
      <c r="AE1497" s="6"/>
      <c r="AF1497" s="6"/>
      <c r="AG1497" s="6"/>
    </row>
    <row r="1498" ht="14.25" customHeight="1">
      <c r="A1498" s="6"/>
      <c r="B1498" s="6"/>
      <c r="C1498" s="6">
        <v>1491.0</v>
      </c>
      <c r="D1498" s="6"/>
      <c r="E1498" s="6">
        <v>7159409.109928112</v>
      </c>
      <c r="F1498" s="6">
        <v>467.811219434299</v>
      </c>
      <c r="G1498" s="6">
        <v>5.30852231206146</v>
      </c>
      <c r="H1498" s="6">
        <v>7020980.531532307</v>
      </c>
      <c r="I1498" s="6">
        <v>461.7231963923503</v>
      </c>
      <c r="J1498" s="6">
        <v>3.7330376851308906</v>
      </c>
      <c r="K1498" s="6"/>
      <c r="L1498" s="6"/>
      <c r="M1498" s="6"/>
      <c r="N1498" s="6">
        <f t="shared" ref="N1498:P1498" si="1501">IF(LEN($C1498)&gt;0,H1498-E1498,"")</f>
        <v>-138428.5784</v>
      </c>
      <c r="O1498" s="6">
        <f t="shared" si="1501"/>
        <v>-6.088023042</v>
      </c>
      <c r="P1498" s="6">
        <f t="shared" si="1501"/>
        <v>-1.575484627</v>
      </c>
      <c r="Q1498" s="6"/>
      <c r="R1498" s="6"/>
      <c r="S1498" s="6"/>
      <c r="T1498" s="6"/>
      <c r="U1498" s="6"/>
      <c r="V1498" s="6"/>
      <c r="W1498" s="6"/>
      <c r="X1498" s="6"/>
      <c r="Y1498" s="6"/>
      <c r="Z1498" s="6"/>
      <c r="AA1498" s="6"/>
      <c r="AB1498" s="6"/>
      <c r="AC1498" s="6"/>
      <c r="AD1498" s="6"/>
      <c r="AE1498" s="6"/>
      <c r="AF1498" s="6"/>
      <c r="AG1498" s="6"/>
    </row>
    <row r="1499" ht="14.25" customHeight="1">
      <c r="A1499" s="6"/>
      <c r="B1499" s="6"/>
      <c r="C1499" s="6">
        <v>1492.0</v>
      </c>
      <c r="D1499" s="6"/>
      <c r="E1499" s="6">
        <v>5588019.837184812</v>
      </c>
      <c r="F1499" s="6">
        <v>430.7169140602135</v>
      </c>
      <c r="G1499" s="6">
        <v>4.610378312163046</v>
      </c>
      <c r="H1499" s="6">
        <v>5510603.67890402</v>
      </c>
      <c r="I1499" s="6">
        <v>427.87646558384245</v>
      </c>
      <c r="J1499" s="6">
        <v>3.248512125812206</v>
      </c>
      <c r="K1499" s="6"/>
      <c r="L1499" s="6"/>
      <c r="M1499" s="6"/>
      <c r="N1499" s="6">
        <f t="shared" ref="N1499:P1499" si="1502">IF(LEN($C1499)&gt;0,H1499-E1499,"")</f>
        <v>-77416.15828</v>
      </c>
      <c r="O1499" s="6">
        <f t="shared" si="1502"/>
        <v>-2.840448476</v>
      </c>
      <c r="P1499" s="6">
        <f t="shared" si="1502"/>
        <v>-1.361866186</v>
      </c>
      <c r="Q1499" s="6"/>
      <c r="R1499" s="6"/>
      <c r="S1499" s="6"/>
      <c r="T1499" s="6"/>
      <c r="U1499" s="6"/>
      <c r="V1499" s="6"/>
      <c r="W1499" s="6"/>
      <c r="X1499" s="6"/>
      <c r="Y1499" s="6"/>
      <c r="Z1499" s="6"/>
      <c r="AA1499" s="6"/>
      <c r="AB1499" s="6"/>
      <c r="AC1499" s="6"/>
      <c r="AD1499" s="6"/>
      <c r="AE1499" s="6"/>
      <c r="AF1499" s="6"/>
      <c r="AG1499" s="6"/>
    </row>
    <row r="1500" ht="14.25" customHeight="1">
      <c r="A1500" s="6"/>
      <c r="B1500" s="6"/>
      <c r="C1500" s="6">
        <v>1493.0</v>
      </c>
      <c r="D1500" s="6"/>
      <c r="E1500" s="6">
        <v>5808321.856957937</v>
      </c>
      <c r="F1500" s="6">
        <v>437.2004600948144</v>
      </c>
      <c r="G1500" s="6">
        <v>4.427129435944306</v>
      </c>
      <c r="H1500" s="6">
        <v>5738526.1196991345</v>
      </c>
      <c r="I1500" s="6">
        <v>434.2941744520701</v>
      </c>
      <c r="J1500" s="6">
        <v>3.0823497567309253</v>
      </c>
      <c r="K1500" s="6"/>
      <c r="L1500" s="6"/>
      <c r="M1500" s="6"/>
      <c r="N1500" s="6">
        <f t="shared" ref="N1500:P1500" si="1503">IF(LEN($C1500)&gt;0,H1500-E1500,"")</f>
        <v>-69795.73726</v>
      </c>
      <c r="O1500" s="6">
        <f t="shared" si="1503"/>
        <v>-2.906285643</v>
      </c>
      <c r="P1500" s="6">
        <f t="shared" si="1503"/>
        <v>-1.344779679</v>
      </c>
      <c r="Q1500" s="6"/>
      <c r="R1500" s="6"/>
      <c r="S1500" s="6"/>
      <c r="T1500" s="6"/>
      <c r="U1500" s="6"/>
      <c r="V1500" s="6"/>
      <c r="W1500" s="6"/>
      <c r="X1500" s="6"/>
      <c r="Y1500" s="6"/>
      <c r="Z1500" s="6"/>
      <c r="AA1500" s="6"/>
      <c r="AB1500" s="6"/>
      <c r="AC1500" s="6"/>
      <c r="AD1500" s="6"/>
      <c r="AE1500" s="6"/>
      <c r="AF1500" s="6"/>
      <c r="AG1500" s="6"/>
    </row>
    <row r="1501" ht="14.25" customHeight="1">
      <c r="A1501" s="6"/>
      <c r="B1501" s="6"/>
      <c r="C1501" s="6">
        <v>1494.0</v>
      </c>
      <c r="D1501" s="6"/>
      <c r="E1501" s="6">
        <v>7597977.6736779045</v>
      </c>
      <c r="F1501" s="6">
        <v>458.2854591632003</v>
      </c>
      <c r="G1501" s="6">
        <v>4.16152097964984</v>
      </c>
      <c r="H1501" s="6">
        <v>7433227.170628583</v>
      </c>
      <c r="I1501" s="6">
        <v>452.3212390854629</v>
      </c>
      <c r="J1501" s="6">
        <v>2.7445846992555536</v>
      </c>
      <c r="K1501" s="6"/>
      <c r="L1501" s="6"/>
      <c r="M1501" s="6"/>
      <c r="N1501" s="6">
        <f t="shared" ref="N1501:P1501" si="1504">IF(LEN($C1501)&gt;0,H1501-E1501,"")</f>
        <v>-164750.503</v>
      </c>
      <c r="O1501" s="6">
        <f t="shared" si="1504"/>
        <v>-5.964220078</v>
      </c>
      <c r="P1501" s="6">
        <f t="shared" si="1504"/>
        <v>-1.41693628</v>
      </c>
      <c r="Q1501" s="6"/>
      <c r="R1501" s="6"/>
      <c r="S1501" s="6"/>
      <c r="T1501" s="6"/>
      <c r="U1501" s="6"/>
      <c r="V1501" s="6"/>
      <c r="W1501" s="6"/>
      <c r="X1501" s="6"/>
      <c r="Y1501" s="6"/>
      <c r="Z1501" s="6"/>
      <c r="AA1501" s="6"/>
      <c r="AB1501" s="6"/>
      <c r="AC1501" s="6"/>
      <c r="AD1501" s="6"/>
      <c r="AE1501" s="6"/>
      <c r="AF1501" s="6"/>
      <c r="AG1501" s="6"/>
    </row>
    <row r="1502" ht="14.25" customHeight="1">
      <c r="A1502" s="6"/>
      <c r="B1502" s="6"/>
      <c r="C1502" s="6">
        <v>1495.0</v>
      </c>
      <c r="D1502" s="6"/>
      <c r="E1502" s="6">
        <v>8359493.3950639805</v>
      </c>
      <c r="F1502" s="6">
        <v>446.2924246791027</v>
      </c>
      <c r="G1502" s="6">
        <v>5.148070810605889</v>
      </c>
      <c r="H1502" s="6">
        <v>8186297.868150833</v>
      </c>
      <c r="I1502" s="6">
        <v>439.73661144308295</v>
      </c>
      <c r="J1502" s="6">
        <v>3.720205815199313</v>
      </c>
      <c r="K1502" s="6"/>
      <c r="L1502" s="6"/>
      <c r="M1502" s="6"/>
      <c r="N1502" s="6">
        <f t="shared" ref="N1502:P1502" si="1505">IF(LEN($C1502)&gt;0,H1502-E1502,"")</f>
        <v>-173195.5269</v>
      </c>
      <c r="O1502" s="6">
        <f t="shared" si="1505"/>
        <v>-6.555813236</v>
      </c>
      <c r="P1502" s="6">
        <f t="shared" si="1505"/>
        <v>-1.427864995</v>
      </c>
      <c r="Q1502" s="6"/>
      <c r="R1502" s="6"/>
      <c r="S1502" s="6"/>
      <c r="T1502" s="6"/>
      <c r="U1502" s="6"/>
      <c r="V1502" s="6"/>
      <c r="W1502" s="6"/>
      <c r="X1502" s="6"/>
      <c r="Y1502" s="6"/>
      <c r="Z1502" s="6"/>
      <c r="AA1502" s="6"/>
      <c r="AB1502" s="6"/>
      <c r="AC1502" s="6"/>
      <c r="AD1502" s="6"/>
      <c r="AE1502" s="6"/>
      <c r="AF1502" s="6"/>
      <c r="AG1502" s="6"/>
    </row>
    <row r="1503" ht="14.25" customHeight="1">
      <c r="A1503" s="6"/>
      <c r="B1503" s="6"/>
      <c r="C1503" s="6">
        <v>1496.0</v>
      </c>
      <c r="D1503" s="6"/>
      <c r="E1503" s="6">
        <v>6950051.248410792</v>
      </c>
      <c r="F1503" s="6">
        <v>452.8773626270693</v>
      </c>
      <c r="G1503" s="6">
        <v>5.5069652453926805</v>
      </c>
      <c r="H1503" s="6">
        <v>6805007.230736764</v>
      </c>
      <c r="I1503" s="6">
        <v>447.6665940595783</v>
      </c>
      <c r="J1503" s="6">
        <v>4.2194725135579585</v>
      </c>
      <c r="K1503" s="6"/>
      <c r="L1503" s="6"/>
      <c r="M1503" s="6"/>
      <c r="N1503" s="6">
        <f t="shared" ref="N1503:P1503" si="1506">IF(LEN($C1503)&gt;0,H1503-E1503,"")</f>
        <v>-145044.0177</v>
      </c>
      <c r="O1503" s="6">
        <f t="shared" si="1506"/>
        <v>-5.210768567</v>
      </c>
      <c r="P1503" s="6">
        <f t="shared" si="1506"/>
        <v>-1.287492732</v>
      </c>
      <c r="Q1503" s="6"/>
      <c r="R1503" s="6"/>
      <c r="S1503" s="6"/>
      <c r="T1503" s="6"/>
      <c r="U1503" s="6"/>
      <c r="V1503" s="6"/>
      <c r="W1503" s="6"/>
      <c r="X1503" s="6"/>
      <c r="Y1503" s="6"/>
      <c r="Z1503" s="6"/>
      <c r="AA1503" s="6"/>
      <c r="AB1503" s="6"/>
      <c r="AC1503" s="6"/>
      <c r="AD1503" s="6"/>
      <c r="AE1503" s="6"/>
      <c r="AF1503" s="6"/>
      <c r="AG1503" s="6"/>
    </row>
    <row r="1504" ht="14.25" customHeight="1">
      <c r="A1504" s="6"/>
      <c r="B1504" s="6"/>
      <c r="C1504" s="6">
        <v>1497.0</v>
      </c>
      <c r="D1504" s="6"/>
      <c r="E1504" s="6">
        <v>7792598.102539886</v>
      </c>
      <c r="F1504" s="6">
        <v>478.82329828218496</v>
      </c>
      <c r="G1504" s="6">
        <v>5.409250147745973</v>
      </c>
      <c r="H1504" s="6">
        <v>7676905.008085855</v>
      </c>
      <c r="I1504" s="6">
        <v>473.8277314311087</v>
      </c>
      <c r="J1504" s="6">
        <v>3.7532250413150967</v>
      </c>
      <c r="K1504" s="6"/>
      <c r="L1504" s="6"/>
      <c r="M1504" s="6"/>
      <c r="N1504" s="6">
        <f t="shared" ref="N1504:P1504" si="1507">IF(LEN($C1504)&gt;0,H1504-E1504,"")</f>
        <v>-115693.0945</v>
      </c>
      <c r="O1504" s="6">
        <f t="shared" si="1507"/>
        <v>-4.995566851</v>
      </c>
      <c r="P1504" s="6">
        <f t="shared" si="1507"/>
        <v>-1.656025106</v>
      </c>
      <c r="Q1504" s="6"/>
      <c r="R1504" s="6"/>
      <c r="S1504" s="6"/>
      <c r="T1504" s="6"/>
      <c r="U1504" s="6"/>
      <c r="V1504" s="6"/>
      <c r="W1504" s="6"/>
      <c r="X1504" s="6"/>
      <c r="Y1504" s="6"/>
      <c r="Z1504" s="6"/>
      <c r="AA1504" s="6"/>
      <c r="AB1504" s="6"/>
      <c r="AC1504" s="6"/>
      <c r="AD1504" s="6"/>
      <c r="AE1504" s="6"/>
      <c r="AF1504" s="6"/>
      <c r="AG1504" s="6"/>
    </row>
    <row r="1505" ht="14.25" customHeight="1">
      <c r="A1505" s="6"/>
      <c r="B1505" s="6"/>
      <c r="C1505" s="6">
        <v>1498.0</v>
      </c>
      <c r="D1505" s="6"/>
      <c r="E1505" s="6">
        <v>6025536.235649362</v>
      </c>
      <c r="F1505" s="6">
        <v>481.5879637276249</v>
      </c>
      <c r="G1505" s="6">
        <v>4.554519174425721</v>
      </c>
      <c r="H1505" s="6">
        <v>5938259.939858548</v>
      </c>
      <c r="I1505" s="6">
        <v>477.1047431402765</v>
      </c>
      <c r="J1505" s="6">
        <v>3.0974329318994016</v>
      </c>
      <c r="K1505" s="6"/>
      <c r="L1505" s="6"/>
      <c r="M1505" s="6"/>
      <c r="N1505" s="6">
        <f t="shared" ref="N1505:P1505" si="1508">IF(LEN($C1505)&gt;0,H1505-E1505,"")</f>
        <v>-87276.29579</v>
      </c>
      <c r="O1505" s="6">
        <f t="shared" si="1508"/>
        <v>-4.483220587</v>
      </c>
      <c r="P1505" s="6">
        <f t="shared" si="1508"/>
        <v>-1.457086243</v>
      </c>
      <c r="Q1505" s="6"/>
      <c r="R1505" s="6"/>
      <c r="S1505" s="6"/>
      <c r="T1505" s="6"/>
      <c r="U1505" s="6"/>
      <c r="V1505" s="6"/>
      <c r="W1505" s="6"/>
      <c r="X1505" s="6"/>
      <c r="Y1505" s="6"/>
      <c r="Z1505" s="6"/>
      <c r="AA1505" s="6"/>
      <c r="AB1505" s="6"/>
      <c r="AC1505" s="6"/>
      <c r="AD1505" s="6"/>
      <c r="AE1505" s="6"/>
      <c r="AF1505" s="6"/>
      <c r="AG1505" s="6"/>
    </row>
    <row r="1506" ht="14.25" customHeight="1">
      <c r="A1506" s="6"/>
      <c r="B1506" s="6"/>
      <c r="C1506" s="6">
        <v>1499.0</v>
      </c>
      <c r="D1506" s="6"/>
      <c r="E1506" s="6">
        <v>5970612.19140707</v>
      </c>
      <c r="F1506" s="6">
        <v>441.17364234063626</v>
      </c>
      <c r="G1506" s="6">
        <v>4.2676776575037145</v>
      </c>
      <c r="H1506" s="6">
        <v>5906904.896162075</v>
      </c>
      <c r="I1506" s="6">
        <v>438.34043549951286</v>
      </c>
      <c r="J1506" s="6">
        <v>3.1783930081024145</v>
      </c>
      <c r="K1506" s="6"/>
      <c r="L1506" s="6"/>
      <c r="M1506" s="6"/>
      <c r="N1506" s="6">
        <f t="shared" ref="N1506:P1506" si="1509">IF(LEN($C1506)&gt;0,H1506-E1506,"")</f>
        <v>-63707.29524</v>
      </c>
      <c r="O1506" s="6">
        <f t="shared" si="1509"/>
        <v>-2.833206841</v>
      </c>
      <c r="P1506" s="6">
        <f t="shared" si="1509"/>
        <v>-1.089284649</v>
      </c>
      <c r="Q1506" s="6"/>
      <c r="R1506" s="6"/>
      <c r="S1506" s="6"/>
      <c r="T1506" s="6"/>
      <c r="U1506" s="6"/>
      <c r="V1506" s="6"/>
      <c r="W1506" s="6"/>
      <c r="X1506" s="6"/>
      <c r="Y1506" s="6"/>
      <c r="Z1506" s="6"/>
      <c r="AA1506" s="6"/>
      <c r="AB1506" s="6"/>
      <c r="AC1506" s="6"/>
      <c r="AD1506" s="6"/>
      <c r="AE1506" s="6"/>
      <c r="AF1506" s="6"/>
      <c r="AG1506" s="6"/>
    </row>
    <row r="1507" ht="14.25" customHeight="1">
      <c r="A1507" s="6"/>
      <c r="B1507" s="6"/>
      <c r="C1507" s="6">
        <v>1500.0</v>
      </c>
      <c r="D1507" s="6"/>
      <c r="E1507" s="6">
        <v>6943179.170444634</v>
      </c>
      <c r="F1507" s="6">
        <v>478.8717276222008</v>
      </c>
      <c r="G1507" s="6">
        <v>4.340766927885033</v>
      </c>
      <c r="H1507" s="6">
        <v>6852643.5908727255</v>
      </c>
      <c r="I1507" s="6">
        <v>473.9220398052312</v>
      </c>
      <c r="J1507" s="6">
        <v>3.5061355472695546</v>
      </c>
      <c r="K1507" s="6"/>
      <c r="L1507" s="6"/>
      <c r="M1507" s="6"/>
      <c r="N1507" s="6">
        <f t="shared" ref="N1507:P1507" si="1510">IF(LEN($C1507)&gt;0,H1507-E1507,"")</f>
        <v>-90535.57957</v>
      </c>
      <c r="O1507" s="6">
        <f t="shared" si="1510"/>
        <v>-4.949687817</v>
      </c>
      <c r="P1507" s="6">
        <f t="shared" si="1510"/>
        <v>-0.8346313806</v>
      </c>
      <c r="Q1507" s="6"/>
      <c r="R1507" s="6"/>
      <c r="S1507" s="6"/>
      <c r="T1507" s="6"/>
      <c r="U1507" s="6"/>
      <c r="V1507" s="6"/>
      <c r="W1507" s="6"/>
      <c r="X1507" s="6"/>
      <c r="Y1507" s="6"/>
      <c r="Z1507" s="6"/>
      <c r="AA1507" s="6"/>
      <c r="AB1507" s="6"/>
      <c r="AC1507" s="6"/>
      <c r="AD1507" s="6"/>
      <c r="AE1507" s="6"/>
      <c r="AF1507" s="6"/>
      <c r="AG1507" s="6"/>
    </row>
    <row r="1508" ht="14.25" customHeight="1">
      <c r="A1508" s="6"/>
      <c r="B1508" s="6"/>
      <c r="C1508" s="6">
        <v>1501.0</v>
      </c>
      <c r="D1508" s="6"/>
      <c r="E1508" s="6">
        <v>8070465.705212236</v>
      </c>
      <c r="F1508" s="6">
        <v>481.5020207255145</v>
      </c>
      <c r="G1508" s="6">
        <v>5.027337123223209</v>
      </c>
      <c r="H1508" s="6">
        <v>7962482.68213343</v>
      </c>
      <c r="I1508" s="6">
        <v>477.4271413630735</v>
      </c>
      <c r="J1508" s="6">
        <v>4.068729818885739</v>
      </c>
      <c r="K1508" s="6"/>
      <c r="L1508" s="6"/>
      <c r="M1508" s="6"/>
      <c r="N1508" s="6">
        <f t="shared" ref="N1508:P1508" si="1511">IF(LEN($C1508)&gt;0,H1508-E1508,"")</f>
        <v>-107983.0231</v>
      </c>
      <c r="O1508" s="6">
        <f t="shared" si="1511"/>
        <v>-4.074879362</v>
      </c>
      <c r="P1508" s="6">
        <f t="shared" si="1511"/>
        <v>-0.9586073043</v>
      </c>
      <c r="Q1508" s="6"/>
      <c r="R1508" s="6"/>
      <c r="S1508" s="6"/>
      <c r="T1508" s="6"/>
      <c r="U1508" s="6"/>
      <c r="V1508" s="6"/>
      <c r="W1508" s="6"/>
      <c r="X1508" s="6"/>
      <c r="Y1508" s="6"/>
      <c r="Z1508" s="6"/>
      <c r="AA1508" s="6"/>
      <c r="AB1508" s="6"/>
      <c r="AC1508" s="6"/>
      <c r="AD1508" s="6"/>
      <c r="AE1508" s="6"/>
      <c r="AF1508" s="6"/>
      <c r="AG1508" s="6"/>
    </row>
    <row r="1509" ht="14.25" customHeight="1">
      <c r="A1509" s="6"/>
      <c r="B1509" s="6"/>
      <c r="C1509" s="6">
        <v>1502.0</v>
      </c>
      <c r="D1509" s="6"/>
      <c r="E1509" s="6">
        <v>5857307.874490437</v>
      </c>
      <c r="F1509" s="6">
        <v>482.44782791690045</v>
      </c>
      <c r="G1509" s="6">
        <v>4.9657077712193995</v>
      </c>
      <c r="H1509" s="6">
        <v>5771700.379338201</v>
      </c>
      <c r="I1509" s="6">
        <v>478.62489053595954</v>
      </c>
      <c r="J1509" s="6">
        <v>3.643789602714793</v>
      </c>
      <c r="K1509" s="6"/>
      <c r="L1509" s="6"/>
      <c r="M1509" s="6"/>
      <c r="N1509" s="6">
        <f t="shared" ref="N1509:P1509" si="1512">IF(LEN($C1509)&gt;0,H1509-E1509,"")</f>
        <v>-85607.49515</v>
      </c>
      <c r="O1509" s="6">
        <f t="shared" si="1512"/>
        <v>-3.822937381</v>
      </c>
      <c r="P1509" s="6">
        <f t="shared" si="1512"/>
        <v>-1.321918169</v>
      </c>
      <c r="Q1509" s="6"/>
      <c r="R1509" s="6"/>
      <c r="S1509" s="6"/>
      <c r="T1509" s="6"/>
      <c r="U1509" s="6"/>
      <c r="V1509" s="6"/>
      <c r="W1509" s="6"/>
      <c r="X1509" s="6"/>
      <c r="Y1509" s="6"/>
      <c r="Z1509" s="6"/>
      <c r="AA1509" s="6"/>
      <c r="AB1509" s="6"/>
      <c r="AC1509" s="6"/>
      <c r="AD1509" s="6"/>
      <c r="AE1509" s="6"/>
      <c r="AF1509" s="6"/>
      <c r="AG1509" s="6"/>
    </row>
    <row r="1510" ht="14.25" customHeight="1">
      <c r="A1510" s="6"/>
      <c r="B1510" s="6"/>
      <c r="C1510" s="6">
        <v>1503.0</v>
      </c>
      <c r="D1510" s="6"/>
      <c r="E1510" s="6">
        <v>8545011.12045385</v>
      </c>
      <c r="F1510" s="6">
        <v>481.1332878828198</v>
      </c>
      <c r="G1510" s="6">
        <v>4.580164330533742</v>
      </c>
      <c r="H1510" s="6">
        <v>8488485.301416943</v>
      </c>
      <c r="I1510" s="6">
        <v>479.56765212339275</v>
      </c>
      <c r="J1510" s="6">
        <v>4.065678663097037</v>
      </c>
      <c r="K1510" s="6"/>
      <c r="L1510" s="6"/>
      <c r="M1510" s="6"/>
      <c r="N1510" s="6">
        <f t="shared" ref="N1510:P1510" si="1513">IF(LEN($C1510)&gt;0,H1510-E1510,"")</f>
        <v>-56525.81904</v>
      </c>
      <c r="O1510" s="6">
        <f t="shared" si="1513"/>
        <v>-1.565635759</v>
      </c>
      <c r="P1510" s="6">
        <f t="shared" si="1513"/>
        <v>-0.5144856674</v>
      </c>
      <c r="Q1510" s="6"/>
      <c r="R1510" s="6"/>
      <c r="S1510" s="6"/>
      <c r="T1510" s="6"/>
      <c r="U1510" s="6"/>
      <c r="V1510" s="6"/>
      <c r="W1510" s="6"/>
      <c r="X1510" s="6"/>
      <c r="Y1510" s="6"/>
      <c r="Z1510" s="6"/>
      <c r="AA1510" s="6"/>
      <c r="AB1510" s="6"/>
      <c r="AC1510" s="6"/>
      <c r="AD1510" s="6"/>
      <c r="AE1510" s="6"/>
      <c r="AF1510" s="6"/>
      <c r="AG1510" s="6"/>
    </row>
    <row r="1511" ht="14.25" customHeight="1">
      <c r="A1511" s="6"/>
      <c r="B1511" s="6"/>
      <c r="C1511" s="6">
        <v>1504.0</v>
      </c>
      <c r="D1511" s="6"/>
      <c r="E1511" s="6">
        <v>9348331.080825055</v>
      </c>
      <c r="F1511" s="6">
        <v>430.41953967942135</v>
      </c>
      <c r="G1511" s="6">
        <v>4.91247184007656</v>
      </c>
      <c r="H1511" s="6">
        <v>9252452.700128624</v>
      </c>
      <c r="I1511" s="6">
        <v>426.70136565743564</v>
      </c>
      <c r="J1511" s="6">
        <v>3.824169579983211</v>
      </c>
      <c r="K1511" s="6"/>
      <c r="L1511" s="6"/>
      <c r="M1511" s="6"/>
      <c r="N1511" s="6">
        <f t="shared" ref="N1511:P1511" si="1514">IF(LEN($C1511)&gt;0,H1511-E1511,"")</f>
        <v>-95878.3807</v>
      </c>
      <c r="O1511" s="6">
        <f t="shared" si="1514"/>
        <v>-3.718174022</v>
      </c>
      <c r="P1511" s="6">
        <f t="shared" si="1514"/>
        <v>-1.08830226</v>
      </c>
      <c r="Q1511" s="6"/>
      <c r="R1511" s="6"/>
      <c r="S1511" s="6"/>
      <c r="T1511" s="6"/>
      <c r="U1511" s="6"/>
      <c r="V1511" s="6"/>
      <c r="W1511" s="6"/>
      <c r="X1511" s="6"/>
      <c r="Y1511" s="6"/>
      <c r="Z1511" s="6"/>
      <c r="AA1511" s="6"/>
      <c r="AB1511" s="6"/>
      <c r="AC1511" s="6"/>
      <c r="AD1511" s="6"/>
      <c r="AE1511" s="6"/>
      <c r="AF1511" s="6"/>
      <c r="AG1511" s="6"/>
    </row>
    <row r="1512" ht="14.25" customHeight="1">
      <c r="A1512" s="6"/>
      <c r="B1512" s="6"/>
      <c r="C1512" s="6">
        <v>1505.0</v>
      </c>
      <c r="D1512" s="6"/>
      <c r="E1512" s="6">
        <v>7348537.956195702</v>
      </c>
      <c r="F1512" s="6">
        <v>453.5364536278476</v>
      </c>
      <c r="G1512" s="6">
        <v>4.233045543883421</v>
      </c>
      <c r="H1512" s="6">
        <v>7256831.74753195</v>
      </c>
      <c r="I1512" s="6">
        <v>448.7072854165986</v>
      </c>
      <c r="J1512" s="6">
        <v>3.1562368966859546</v>
      </c>
      <c r="K1512" s="6"/>
      <c r="L1512" s="6"/>
      <c r="M1512" s="6"/>
      <c r="N1512" s="6">
        <f t="shared" ref="N1512:P1512" si="1515">IF(LEN($C1512)&gt;0,H1512-E1512,"")</f>
        <v>-91706.20866</v>
      </c>
      <c r="O1512" s="6">
        <f t="shared" si="1515"/>
        <v>-4.829168211</v>
      </c>
      <c r="P1512" s="6">
        <f t="shared" si="1515"/>
        <v>-1.076808647</v>
      </c>
      <c r="Q1512" s="6"/>
      <c r="R1512" s="6"/>
      <c r="S1512" s="6"/>
      <c r="T1512" s="6"/>
      <c r="U1512" s="6"/>
      <c r="V1512" s="6"/>
      <c r="W1512" s="6"/>
      <c r="X1512" s="6"/>
      <c r="Y1512" s="6"/>
      <c r="Z1512" s="6"/>
      <c r="AA1512" s="6"/>
      <c r="AB1512" s="6"/>
      <c r="AC1512" s="6"/>
      <c r="AD1512" s="6"/>
      <c r="AE1512" s="6"/>
      <c r="AF1512" s="6"/>
      <c r="AG1512" s="6"/>
    </row>
    <row r="1513" ht="14.25" customHeight="1">
      <c r="A1513" s="6"/>
      <c r="B1513" s="6"/>
      <c r="C1513" s="6">
        <v>1506.0</v>
      </c>
      <c r="D1513" s="6"/>
      <c r="E1513" s="6">
        <v>6194237.248337228</v>
      </c>
      <c r="F1513" s="6">
        <v>463.31427365706804</v>
      </c>
      <c r="G1513" s="6">
        <v>5.642371315000471</v>
      </c>
      <c r="H1513" s="6">
        <v>6138936.046323784</v>
      </c>
      <c r="I1513" s="6">
        <v>461.71682048017624</v>
      </c>
      <c r="J1513" s="6">
        <v>4.715311820768702</v>
      </c>
      <c r="K1513" s="6"/>
      <c r="L1513" s="6"/>
      <c r="M1513" s="6"/>
      <c r="N1513" s="6">
        <f t="shared" ref="N1513:P1513" si="1516">IF(LEN($C1513)&gt;0,H1513-E1513,"")</f>
        <v>-55301.20201</v>
      </c>
      <c r="O1513" s="6">
        <f t="shared" si="1516"/>
        <v>-1.597453177</v>
      </c>
      <c r="P1513" s="6">
        <f t="shared" si="1516"/>
        <v>-0.9270594942</v>
      </c>
      <c r="Q1513" s="6"/>
      <c r="R1513" s="6"/>
      <c r="S1513" s="6"/>
      <c r="T1513" s="6"/>
      <c r="U1513" s="6"/>
      <c r="V1513" s="6"/>
      <c r="W1513" s="6"/>
      <c r="X1513" s="6"/>
      <c r="Y1513" s="6"/>
      <c r="Z1513" s="6"/>
      <c r="AA1513" s="6"/>
      <c r="AB1513" s="6"/>
      <c r="AC1513" s="6"/>
      <c r="AD1513" s="6"/>
      <c r="AE1513" s="6"/>
      <c r="AF1513" s="6"/>
      <c r="AG1513" s="6"/>
    </row>
    <row r="1514" ht="14.25" customHeight="1">
      <c r="A1514" s="6"/>
      <c r="B1514" s="6"/>
      <c r="C1514" s="6">
        <v>1507.0</v>
      </c>
      <c r="D1514" s="6"/>
      <c r="E1514" s="6">
        <v>5348360.256345107</v>
      </c>
      <c r="F1514" s="6">
        <v>482.4680176249843</v>
      </c>
      <c r="G1514" s="6">
        <v>4.675493002063913</v>
      </c>
      <c r="H1514" s="6">
        <v>5213646.106142767</v>
      </c>
      <c r="I1514" s="6">
        <v>475.1595837233899</v>
      </c>
      <c r="J1514" s="6">
        <v>3.318474125603888</v>
      </c>
      <c r="K1514" s="6"/>
      <c r="L1514" s="6"/>
      <c r="M1514" s="6"/>
      <c r="N1514" s="6">
        <f t="shared" ref="N1514:P1514" si="1517">IF(LEN($C1514)&gt;0,H1514-E1514,"")</f>
        <v>-134714.1502</v>
      </c>
      <c r="O1514" s="6">
        <f t="shared" si="1517"/>
        <v>-7.308433902</v>
      </c>
      <c r="P1514" s="6">
        <f t="shared" si="1517"/>
        <v>-1.357018876</v>
      </c>
      <c r="Q1514" s="6"/>
      <c r="R1514" s="6"/>
      <c r="S1514" s="6"/>
      <c r="T1514" s="6"/>
      <c r="U1514" s="6"/>
      <c r="V1514" s="6"/>
      <c r="W1514" s="6"/>
      <c r="X1514" s="6"/>
      <c r="Y1514" s="6"/>
      <c r="Z1514" s="6"/>
      <c r="AA1514" s="6"/>
      <c r="AB1514" s="6"/>
      <c r="AC1514" s="6"/>
      <c r="AD1514" s="6"/>
      <c r="AE1514" s="6"/>
      <c r="AF1514" s="6"/>
      <c r="AG1514" s="6"/>
    </row>
    <row r="1515" ht="14.25" customHeight="1">
      <c r="A1515" s="6"/>
      <c r="B1515" s="6"/>
      <c r="C1515" s="6">
        <v>1508.0</v>
      </c>
      <c r="D1515" s="6"/>
      <c r="E1515" s="6">
        <v>5442251.471998226</v>
      </c>
      <c r="F1515" s="6">
        <v>466.1693365105597</v>
      </c>
      <c r="G1515" s="6">
        <v>7.113387636593008</v>
      </c>
      <c r="H1515" s="6">
        <v>5304440.965287256</v>
      </c>
      <c r="I1515" s="6">
        <v>461.47207600531414</v>
      </c>
      <c r="J1515" s="6">
        <v>5.1146525928432105</v>
      </c>
      <c r="K1515" s="6"/>
      <c r="L1515" s="6"/>
      <c r="M1515" s="6"/>
      <c r="N1515" s="6">
        <f t="shared" ref="N1515:P1515" si="1518">IF(LEN($C1515)&gt;0,H1515-E1515,"")</f>
        <v>-137810.5067</v>
      </c>
      <c r="O1515" s="6">
        <f t="shared" si="1518"/>
        <v>-4.697260505</v>
      </c>
      <c r="P1515" s="6">
        <f t="shared" si="1518"/>
        <v>-1.998735044</v>
      </c>
      <c r="Q1515" s="6"/>
      <c r="R1515" s="6"/>
      <c r="S1515" s="6"/>
      <c r="T1515" s="6"/>
      <c r="U1515" s="6"/>
      <c r="V1515" s="6"/>
      <c r="W1515" s="6"/>
      <c r="X1515" s="6"/>
      <c r="Y1515" s="6"/>
      <c r="Z1515" s="6"/>
      <c r="AA1515" s="6"/>
      <c r="AB1515" s="6"/>
      <c r="AC1515" s="6"/>
      <c r="AD1515" s="6"/>
      <c r="AE1515" s="6"/>
      <c r="AF1515" s="6"/>
      <c r="AG1515" s="6"/>
    </row>
    <row r="1516" ht="14.25" customHeight="1">
      <c r="A1516" s="6"/>
      <c r="B1516" s="6"/>
      <c r="C1516" s="6">
        <v>1509.0</v>
      </c>
      <c r="D1516" s="6"/>
      <c r="E1516" s="6">
        <v>7201040.625756751</v>
      </c>
      <c r="F1516" s="6">
        <v>475.99388390056356</v>
      </c>
      <c r="G1516" s="6">
        <v>4.996700006704671</v>
      </c>
      <c r="H1516" s="6">
        <v>7086287.938127835</v>
      </c>
      <c r="I1516" s="6">
        <v>471.1430998523876</v>
      </c>
      <c r="J1516" s="6">
        <v>4.135091093332993</v>
      </c>
      <c r="K1516" s="6"/>
      <c r="L1516" s="6"/>
      <c r="M1516" s="6"/>
      <c r="N1516" s="6">
        <f t="shared" ref="N1516:P1516" si="1519">IF(LEN($C1516)&gt;0,H1516-E1516,"")</f>
        <v>-114752.6876</v>
      </c>
      <c r="O1516" s="6">
        <f t="shared" si="1519"/>
        <v>-4.850784048</v>
      </c>
      <c r="P1516" s="6">
        <f t="shared" si="1519"/>
        <v>-0.8616089134</v>
      </c>
      <c r="Q1516" s="6"/>
      <c r="R1516" s="6"/>
      <c r="S1516" s="6"/>
      <c r="T1516" s="6"/>
      <c r="U1516" s="6"/>
      <c r="V1516" s="6"/>
      <c r="W1516" s="6"/>
      <c r="X1516" s="6"/>
      <c r="Y1516" s="6"/>
      <c r="Z1516" s="6"/>
      <c r="AA1516" s="6"/>
      <c r="AB1516" s="6"/>
      <c r="AC1516" s="6"/>
      <c r="AD1516" s="6"/>
      <c r="AE1516" s="6"/>
      <c r="AF1516" s="6"/>
      <c r="AG1516" s="6"/>
    </row>
    <row r="1517" ht="14.25" customHeight="1">
      <c r="A1517" s="6"/>
      <c r="B1517" s="6"/>
      <c r="C1517" s="6">
        <v>1510.0</v>
      </c>
      <c r="D1517" s="6"/>
      <c r="E1517" s="6">
        <v>6552594.2815714935</v>
      </c>
      <c r="F1517" s="6">
        <v>466.5107861986981</v>
      </c>
      <c r="G1517" s="6">
        <v>5.1914487297051135</v>
      </c>
      <c r="H1517" s="6">
        <v>6468137.726374227</v>
      </c>
      <c r="I1517" s="6">
        <v>462.47215062600765</v>
      </c>
      <c r="J1517" s="6">
        <v>4.141176360539401</v>
      </c>
      <c r="K1517" s="6"/>
      <c r="L1517" s="6"/>
      <c r="M1517" s="6"/>
      <c r="N1517" s="6">
        <f t="shared" ref="N1517:P1517" si="1520">IF(LEN($C1517)&gt;0,H1517-E1517,"")</f>
        <v>-84456.5552</v>
      </c>
      <c r="O1517" s="6">
        <f t="shared" si="1520"/>
        <v>-4.038635573</v>
      </c>
      <c r="P1517" s="6">
        <f t="shared" si="1520"/>
        <v>-1.050272369</v>
      </c>
      <c r="Q1517" s="6"/>
      <c r="R1517" s="6"/>
      <c r="S1517" s="6"/>
      <c r="T1517" s="6"/>
      <c r="U1517" s="6"/>
      <c r="V1517" s="6"/>
      <c r="W1517" s="6"/>
      <c r="X1517" s="6"/>
      <c r="Y1517" s="6"/>
      <c r="Z1517" s="6"/>
      <c r="AA1517" s="6"/>
      <c r="AB1517" s="6"/>
      <c r="AC1517" s="6"/>
      <c r="AD1517" s="6"/>
      <c r="AE1517" s="6"/>
      <c r="AF1517" s="6"/>
      <c r="AG1517" s="6"/>
    </row>
    <row r="1518" ht="14.25" customHeight="1">
      <c r="A1518" s="6"/>
      <c r="B1518" s="6"/>
      <c r="C1518" s="6">
        <v>1511.0</v>
      </c>
      <c r="D1518" s="6"/>
      <c r="E1518" s="6">
        <v>8066901.201980159</v>
      </c>
      <c r="F1518" s="6">
        <v>460.9662644679525</v>
      </c>
      <c r="G1518" s="6">
        <v>6.172931120899386</v>
      </c>
      <c r="H1518" s="6">
        <v>7972063.27851553</v>
      </c>
      <c r="I1518" s="6">
        <v>458.87558923235326</v>
      </c>
      <c r="J1518" s="6">
        <v>4.289616347918139</v>
      </c>
      <c r="K1518" s="6"/>
      <c r="L1518" s="6"/>
      <c r="M1518" s="6"/>
      <c r="N1518" s="6">
        <f t="shared" ref="N1518:P1518" si="1521">IF(LEN($C1518)&gt;0,H1518-E1518,"")</f>
        <v>-94837.92346</v>
      </c>
      <c r="O1518" s="6">
        <f t="shared" si="1521"/>
        <v>-2.090675236</v>
      </c>
      <c r="P1518" s="6">
        <f t="shared" si="1521"/>
        <v>-1.883314773</v>
      </c>
      <c r="Q1518" s="6"/>
      <c r="R1518" s="6"/>
      <c r="S1518" s="6"/>
      <c r="T1518" s="6"/>
      <c r="U1518" s="6"/>
      <c r="V1518" s="6"/>
      <c r="W1518" s="6"/>
      <c r="X1518" s="6"/>
      <c r="Y1518" s="6"/>
      <c r="Z1518" s="6"/>
      <c r="AA1518" s="6"/>
      <c r="AB1518" s="6"/>
      <c r="AC1518" s="6"/>
      <c r="AD1518" s="6"/>
      <c r="AE1518" s="6"/>
      <c r="AF1518" s="6"/>
      <c r="AG1518" s="6"/>
    </row>
    <row r="1519" ht="14.25" customHeight="1">
      <c r="A1519" s="6"/>
      <c r="B1519" s="6"/>
      <c r="C1519" s="6">
        <v>1512.0</v>
      </c>
      <c r="D1519" s="6"/>
      <c r="E1519" s="6">
        <v>6703013.183421479</v>
      </c>
      <c r="F1519" s="6">
        <v>474.98077453942545</v>
      </c>
      <c r="G1519" s="6">
        <v>5.2042941714455635</v>
      </c>
      <c r="H1519" s="6">
        <v>6599494.668414687</v>
      </c>
      <c r="I1519" s="6">
        <v>471.966519853642</v>
      </c>
      <c r="J1519" s="6">
        <v>3.4431132886551565</v>
      </c>
      <c r="K1519" s="6"/>
      <c r="L1519" s="6"/>
      <c r="M1519" s="6"/>
      <c r="N1519" s="6">
        <f t="shared" ref="N1519:P1519" si="1522">IF(LEN($C1519)&gt;0,H1519-E1519,"")</f>
        <v>-103518.515</v>
      </c>
      <c r="O1519" s="6">
        <f t="shared" si="1522"/>
        <v>-3.014254686</v>
      </c>
      <c r="P1519" s="6">
        <f t="shared" si="1522"/>
        <v>-1.761180883</v>
      </c>
      <c r="Q1519" s="6"/>
      <c r="R1519" s="6"/>
      <c r="S1519" s="6"/>
      <c r="T1519" s="6"/>
      <c r="U1519" s="6"/>
      <c r="V1519" s="6"/>
      <c r="W1519" s="6"/>
      <c r="X1519" s="6"/>
      <c r="Y1519" s="6"/>
      <c r="Z1519" s="6"/>
      <c r="AA1519" s="6"/>
      <c r="AB1519" s="6"/>
      <c r="AC1519" s="6"/>
      <c r="AD1519" s="6"/>
      <c r="AE1519" s="6"/>
      <c r="AF1519" s="6"/>
      <c r="AG1519" s="6"/>
    </row>
    <row r="1520" ht="14.25" customHeight="1">
      <c r="A1520" s="6"/>
      <c r="B1520" s="6"/>
      <c r="C1520" s="6">
        <v>1513.0</v>
      </c>
      <c r="D1520" s="6"/>
      <c r="E1520" s="6">
        <v>6706211.339814469</v>
      </c>
      <c r="F1520" s="6">
        <v>486.293838684444</v>
      </c>
      <c r="G1520" s="6">
        <v>4.367063433093709</v>
      </c>
      <c r="H1520" s="6">
        <v>6617781.023833805</v>
      </c>
      <c r="I1520" s="6">
        <v>482.634856891397</v>
      </c>
      <c r="J1520" s="6">
        <v>3.578493124446511</v>
      </c>
      <c r="K1520" s="6"/>
      <c r="L1520" s="6"/>
      <c r="M1520" s="6"/>
      <c r="N1520" s="6">
        <f t="shared" ref="N1520:P1520" si="1523">IF(LEN($C1520)&gt;0,H1520-E1520,"")</f>
        <v>-88430.31598</v>
      </c>
      <c r="O1520" s="6">
        <f t="shared" si="1523"/>
        <v>-3.658981793</v>
      </c>
      <c r="P1520" s="6">
        <f t="shared" si="1523"/>
        <v>-0.7885703086</v>
      </c>
      <c r="Q1520" s="6"/>
      <c r="R1520" s="6"/>
      <c r="S1520" s="6"/>
      <c r="T1520" s="6"/>
      <c r="U1520" s="6"/>
      <c r="V1520" s="6"/>
      <c r="W1520" s="6"/>
      <c r="X1520" s="6"/>
      <c r="Y1520" s="6"/>
      <c r="Z1520" s="6"/>
      <c r="AA1520" s="6"/>
      <c r="AB1520" s="6"/>
      <c r="AC1520" s="6"/>
      <c r="AD1520" s="6"/>
      <c r="AE1520" s="6"/>
      <c r="AF1520" s="6"/>
      <c r="AG1520" s="6"/>
    </row>
    <row r="1521" ht="14.25" customHeight="1">
      <c r="A1521" s="6"/>
      <c r="B1521" s="6"/>
      <c r="C1521" s="6">
        <v>1514.0</v>
      </c>
      <c r="D1521" s="6"/>
      <c r="E1521" s="6">
        <v>6406176.430128965</v>
      </c>
      <c r="F1521" s="6">
        <v>460.82106418488615</v>
      </c>
      <c r="G1521" s="6">
        <v>4.0245943420259715</v>
      </c>
      <c r="H1521" s="6">
        <v>6347726.958275658</v>
      </c>
      <c r="I1521" s="6">
        <v>458.16516783766303</v>
      </c>
      <c r="J1521" s="6">
        <v>3.0142660529124714</v>
      </c>
      <c r="K1521" s="6"/>
      <c r="L1521" s="6"/>
      <c r="M1521" s="6"/>
      <c r="N1521" s="6">
        <f t="shared" ref="N1521:P1521" si="1524">IF(LEN($C1521)&gt;0,H1521-E1521,"")</f>
        <v>-58449.47185</v>
      </c>
      <c r="O1521" s="6">
        <f t="shared" si="1524"/>
        <v>-2.655896347</v>
      </c>
      <c r="P1521" s="6">
        <f t="shared" si="1524"/>
        <v>-1.010328289</v>
      </c>
      <c r="Q1521" s="6"/>
      <c r="R1521" s="6"/>
      <c r="S1521" s="6"/>
      <c r="T1521" s="6"/>
      <c r="U1521" s="6"/>
      <c r="V1521" s="6"/>
      <c r="W1521" s="6"/>
      <c r="X1521" s="6"/>
      <c r="Y1521" s="6"/>
      <c r="Z1521" s="6"/>
      <c r="AA1521" s="6"/>
      <c r="AB1521" s="6"/>
      <c r="AC1521" s="6"/>
      <c r="AD1521" s="6"/>
      <c r="AE1521" s="6"/>
      <c r="AF1521" s="6"/>
      <c r="AG1521" s="6"/>
    </row>
    <row r="1522" ht="14.25" customHeight="1">
      <c r="A1522" s="6"/>
      <c r="B1522" s="6"/>
      <c r="C1522" s="6">
        <v>1515.0</v>
      </c>
      <c r="D1522" s="6"/>
      <c r="E1522" s="6">
        <v>7314164.528433107</v>
      </c>
      <c r="F1522" s="6">
        <v>487.88387582308053</v>
      </c>
      <c r="G1522" s="6">
        <v>4.863996999926704</v>
      </c>
      <c r="H1522" s="6">
        <v>7229880.643665409</v>
      </c>
      <c r="I1522" s="6">
        <v>484.58588817988675</v>
      </c>
      <c r="J1522" s="6">
        <v>3.8658551742829252</v>
      </c>
      <c r="K1522" s="6"/>
      <c r="L1522" s="6"/>
      <c r="M1522" s="6"/>
      <c r="N1522" s="6">
        <f t="shared" ref="N1522:P1522" si="1525">IF(LEN($C1522)&gt;0,H1522-E1522,"")</f>
        <v>-84283.88477</v>
      </c>
      <c r="O1522" s="6">
        <f t="shared" si="1525"/>
        <v>-3.297987643</v>
      </c>
      <c r="P1522" s="6">
        <f t="shared" si="1525"/>
        <v>-0.9981418256</v>
      </c>
      <c r="Q1522" s="6"/>
      <c r="R1522" s="6"/>
      <c r="S1522" s="6"/>
      <c r="T1522" s="6"/>
      <c r="U1522" s="6"/>
      <c r="V1522" s="6"/>
      <c r="W1522" s="6"/>
      <c r="X1522" s="6"/>
      <c r="Y1522" s="6"/>
      <c r="Z1522" s="6"/>
      <c r="AA1522" s="6"/>
      <c r="AB1522" s="6"/>
      <c r="AC1522" s="6"/>
      <c r="AD1522" s="6"/>
      <c r="AE1522" s="6"/>
      <c r="AF1522" s="6"/>
      <c r="AG1522" s="6"/>
    </row>
    <row r="1523" ht="14.25" customHeight="1">
      <c r="A1523" s="6"/>
      <c r="B1523" s="6"/>
      <c r="C1523" s="6">
        <v>1516.0</v>
      </c>
      <c r="D1523" s="6"/>
      <c r="E1523" s="6">
        <v>5883512.0748419175</v>
      </c>
      <c r="F1523" s="6">
        <v>475.6041764920596</v>
      </c>
      <c r="G1523" s="6">
        <v>6.7378361371036</v>
      </c>
      <c r="H1523" s="6">
        <v>5757868.689782514</v>
      </c>
      <c r="I1523" s="6">
        <v>470.16596593111507</v>
      </c>
      <c r="J1523" s="6">
        <v>5.033902285284332</v>
      </c>
      <c r="K1523" s="6"/>
      <c r="L1523" s="6"/>
      <c r="M1523" s="6"/>
      <c r="N1523" s="6">
        <f t="shared" ref="N1523:P1523" si="1526">IF(LEN($C1523)&gt;0,H1523-E1523,"")</f>
        <v>-125643.3851</v>
      </c>
      <c r="O1523" s="6">
        <f t="shared" si="1526"/>
        <v>-5.438210561</v>
      </c>
      <c r="P1523" s="6">
        <f t="shared" si="1526"/>
        <v>-1.703933852</v>
      </c>
      <c r="Q1523" s="6"/>
      <c r="R1523" s="6"/>
      <c r="S1523" s="6"/>
      <c r="T1523" s="6"/>
      <c r="U1523" s="6"/>
      <c r="V1523" s="6"/>
      <c r="W1523" s="6"/>
      <c r="X1523" s="6"/>
      <c r="Y1523" s="6"/>
      <c r="Z1523" s="6"/>
      <c r="AA1523" s="6"/>
      <c r="AB1523" s="6"/>
      <c r="AC1523" s="6"/>
      <c r="AD1523" s="6"/>
      <c r="AE1523" s="6"/>
      <c r="AF1523" s="6"/>
      <c r="AG1523" s="6"/>
    </row>
    <row r="1524" ht="14.25" customHeight="1">
      <c r="A1524" s="6"/>
      <c r="B1524" s="6"/>
      <c r="C1524" s="6">
        <v>1517.0</v>
      </c>
      <c r="D1524" s="6"/>
      <c r="E1524" s="6">
        <v>9225165.55299212</v>
      </c>
      <c r="F1524" s="6">
        <v>472.5387260803665</v>
      </c>
      <c r="G1524" s="6">
        <v>4.418042173929893</v>
      </c>
      <c r="H1524" s="6">
        <v>9136205.348260725</v>
      </c>
      <c r="I1524" s="6">
        <v>468.84342720124005</v>
      </c>
      <c r="J1524" s="6">
        <v>3.3584748105920426</v>
      </c>
      <c r="K1524" s="6"/>
      <c r="L1524" s="6"/>
      <c r="M1524" s="6"/>
      <c r="N1524" s="6">
        <f t="shared" ref="N1524:P1524" si="1527">IF(LEN($C1524)&gt;0,H1524-E1524,"")</f>
        <v>-88960.20473</v>
      </c>
      <c r="O1524" s="6">
        <f t="shared" si="1527"/>
        <v>-3.695298879</v>
      </c>
      <c r="P1524" s="6">
        <f t="shared" si="1527"/>
        <v>-1.059567363</v>
      </c>
      <c r="Q1524" s="6"/>
      <c r="R1524" s="6"/>
      <c r="S1524" s="6"/>
      <c r="T1524" s="6"/>
      <c r="U1524" s="6"/>
      <c r="V1524" s="6"/>
      <c r="W1524" s="6"/>
      <c r="X1524" s="6"/>
      <c r="Y1524" s="6"/>
      <c r="Z1524" s="6"/>
      <c r="AA1524" s="6"/>
      <c r="AB1524" s="6"/>
      <c r="AC1524" s="6"/>
      <c r="AD1524" s="6"/>
      <c r="AE1524" s="6"/>
      <c r="AF1524" s="6"/>
      <c r="AG1524" s="6"/>
    </row>
    <row r="1525" ht="14.25" customHeight="1">
      <c r="A1525" s="6"/>
      <c r="B1525" s="6"/>
      <c r="C1525" s="6">
        <v>1518.0</v>
      </c>
      <c r="D1525" s="6"/>
      <c r="E1525" s="6">
        <v>7491658.965956144</v>
      </c>
      <c r="F1525" s="6">
        <v>456.0701818197163</v>
      </c>
      <c r="G1525" s="6">
        <v>4.250981264947644</v>
      </c>
      <c r="H1525" s="6">
        <v>7387659.240380458</v>
      </c>
      <c r="I1525" s="6">
        <v>451.4281998839584</v>
      </c>
      <c r="J1525" s="6">
        <v>3.478208872772809</v>
      </c>
      <c r="K1525" s="6"/>
      <c r="L1525" s="6"/>
      <c r="M1525" s="6"/>
      <c r="N1525" s="6">
        <f t="shared" ref="N1525:P1525" si="1528">IF(LEN($C1525)&gt;0,H1525-E1525,"")</f>
        <v>-103999.7256</v>
      </c>
      <c r="O1525" s="6">
        <f t="shared" si="1528"/>
        <v>-4.641981936</v>
      </c>
      <c r="P1525" s="6">
        <f t="shared" si="1528"/>
        <v>-0.7727723922</v>
      </c>
      <c r="Q1525" s="6"/>
      <c r="R1525" s="6"/>
      <c r="S1525" s="6"/>
      <c r="T1525" s="6"/>
      <c r="U1525" s="6"/>
      <c r="V1525" s="6"/>
      <c r="W1525" s="6"/>
      <c r="X1525" s="6"/>
      <c r="Y1525" s="6"/>
      <c r="Z1525" s="6"/>
      <c r="AA1525" s="6"/>
      <c r="AB1525" s="6"/>
      <c r="AC1525" s="6"/>
      <c r="AD1525" s="6"/>
      <c r="AE1525" s="6"/>
      <c r="AF1525" s="6"/>
      <c r="AG1525" s="6"/>
    </row>
    <row r="1526" ht="14.25" customHeight="1">
      <c r="A1526" s="6"/>
      <c r="B1526" s="6"/>
      <c r="C1526" s="6">
        <v>1519.0</v>
      </c>
      <c r="D1526" s="6"/>
      <c r="E1526" s="6">
        <v>5452415.574792515</v>
      </c>
      <c r="F1526" s="6">
        <v>487.10789005084206</v>
      </c>
      <c r="G1526" s="6">
        <v>5.215598079456993</v>
      </c>
      <c r="H1526" s="6">
        <v>5356253.481721327</v>
      </c>
      <c r="I1526" s="6">
        <v>482.136371278759</v>
      </c>
      <c r="J1526" s="6">
        <v>3.69089298845906</v>
      </c>
      <c r="K1526" s="6"/>
      <c r="L1526" s="6"/>
      <c r="M1526" s="6"/>
      <c r="N1526" s="6">
        <f t="shared" ref="N1526:P1526" si="1529">IF(LEN($C1526)&gt;0,H1526-E1526,"")</f>
        <v>-96162.09307</v>
      </c>
      <c r="O1526" s="6">
        <f t="shared" si="1529"/>
        <v>-4.971518772</v>
      </c>
      <c r="P1526" s="6">
        <f t="shared" si="1529"/>
        <v>-1.524705091</v>
      </c>
      <c r="Q1526" s="6"/>
      <c r="R1526" s="6"/>
      <c r="S1526" s="6"/>
      <c r="T1526" s="6"/>
      <c r="U1526" s="6"/>
      <c r="V1526" s="6"/>
      <c r="W1526" s="6"/>
      <c r="X1526" s="6"/>
      <c r="Y1526" s="6"/>
      <c r="Z1526" s="6"/>
      <c r="AA1526" s="6"/>
      <c r="AB1526" s="6"/>
      <c r="AC1526" s="6"/>
      <c r="AD1526" s="6"/>
      <c r="AE1526" s="6"/>
      <c r="AF1526" s="6"/>
      <c r="AG1526" s="6"/>
    </row>
    <row r="1527" ht="14.25" customHeight="1">
      <c r="A1527" s="6"/>
      <c r="B1527" s="6"/>
      <c r="C1527" s="6">
        <v>1520.0</v>
      </c>
      <c r="D1527" s="6"/>
      <c r="E1527" s="6">
        <v>7971622.174005055</v>
      </c>
      <c r="F1527" s="6">
        <v>488.5985692883846</v>
      </c>
      <c r="G1527" s="6">
        <v>6.318551606969354</v>
      </c>
      <c r="H1527" s="6">
        <v>7855705.610172172</v>
      </c>
      <c r="I1527" s="6">
        <v>485.5082708381954</v>
      </c>
      <c r="J1527" s="6">
        <v>4.678761348142609</v>
      </c>
      <c r="K1527" s="6"/>
      <c r="L1527" s="6"/>
      <c r="M1527" s="6"/>
      <c r="N1527" s="6">
        <f t="shared" ref="N1527:P1527" si="1530">IF(LEN($C1527)&gt;0,H1527-E1527,"")</f>
        <v>-115916.5638</v>
      </c>
      <c r="O1527" s="6">
        <f t="shared" si="1530"/>
        <v>-3.09029845</v>
      </c>
      <c r="P1527" s="6">
        <f t="shared" si="1530"/>
        <v>-1.639790259</v>
      </c>
      <c r="Q1527" s="6"/>
      <c r="R1527" s="6"/>
      <c r="S1527" s="6"/>
      <c r="T1527" s="6"/>
      <c r="U1527" s="6"/>
      <c r="V1527" s="6"/>
      <c r="W1527" s="6"/>
      <c r="X1527" s="6"/>
      <c r="Y1527" s="6"/>
      <c r="Z1527" s="6"/>
      <c r="AA1527" s="6"/>
      <c r="AB1527" s="6"/>
      <c r="AC1527" s="6"/>
      <c r="AD1527" s="6"/>
      <c r="AE1527" s="6"/>
      <c r="AF1527" s="6"/>
      <c r="AG1527" s="6"/>
    </row>
    <row r="1528" ht="14.25" customHeight="1">
      <c r="A1528" s="6"/>
      <c r="B1528" s="6"/>
      <c r="C1528" s="6">
        <v>1521.0</v>
      </c>
      <c r="D1528" s="6"/>
      <c r="E1528" s="6">
        <v>7135821.828711749</v>
      </c>
      <c r="F1528" s="6">
        <v>504.2436027447184</v>
      </c>
      <c r="G1528" s="6">
        <v>5.570817218909788</v>
      </c>
      <c r="H1528" s="6">
        <v>6972320.5369710475</v>
      </c>
      <c r="I1528" s="6">
        <v>495.90576179623815</v>
      </c>
      <c r="J1528" s="6">
        <v>4.145919315851862</v>
      </c>
      <c r="K1528" s="6"/>
      <c r="L1528" s="6"/>
      <c r="M1528" s="6"/>
      <c r="N1528" s="6">
        <f t="shared" ref="N1528:P1528" si="1531">IF(LEN($C1528)&gt;0,H1528-E1528,"")</f>
        <v>-163501.2917</v>
      </c>
      <c r="O1528" s="6">
        <f t="shared" si="1531"/>
        <v>-8.337840948</v>
      </c>
      <c r="P1528" s="6">
        <f t="shared" si="1531"/>
        <v>-1.424897903</v>
      </c>
      <c r="Q1528" s="6"/>
      <c r="R1528" s="6"/>
      <c r="S1528" s="6"/>
      <c r="T1528" s="6"/>
      <c r="U1528" s="6"/>
      <c r="V1528" s="6"/>
      <c r="W1528" s="6"/>
      <c r="X1528" s="6"/>
      <c r="Y1528" s="6"/>
      <c r="Z1528" s="6"/>
      <c r="AA1528" s="6"/>
      <c r="AB1528" s="6"/>
      <c r="AC1528" s="6"/>
      <c r="AD1528" s="6"/>
      <c r="AE1528" s="6"/>
      <c r="AF1528" s="6"/>
      <c r="AG1528" s="6"/>
    </row>
    <row r="1529" ht="14.25" customHeight="1">
      <c r="A1529" s="6"/>
      <c r="B1529" s="6"/>
      <c r="C1529" s="6">
        <v>1522.0</v>
      </c>
      <c r="D1529" s="6"/>
      <c r="E1529" s="6">
        <v>8212076.465804574</v>
      </c>
      <c r="F1529" s="6">
        <v>450.29230887842385</v>
      </c>
      <c r="G1529" s="6">
        <v>4.951702581655985</v>
      </c>
      <c r="H1529" s="6">
        <v>8118924.998755569</v>
      </c>
      <c r="I1529" s="6">
        <v>444.83030412484936</v>
      </c>
      <c r="J1529" s="6">
        <v>3.8901981815277282</v>
      </c>
      <c r="K1529" s="6"/>
      <c r="L1529" s="6"/>
      <c r="M1529" s="6"/>
      <c r="N1529" s="6">
        <f t="shared" ref="N1529:P1529" si="1532">IF(LEN($C1529)&gt;0,H1529-E1529,"")</f>
        <v>-93151.46705</v>
      </c>
      <c r="O1529" s="6">
        <f t="shared" si="1532"/>
        <v>-5.462004754</v>
      </c>
      <c r="P1529" s="6">
        <f t="shared" si="1532"/>
        <v>-1.0615044</v>
      </c>
      <c r="Q1529" s="6"/>
      <c r="R1529" s="6"/>
      <c r="S1529" s="6"/>
      <c r="T1529" s="6"/>
      <c r="U1529" s="6"/>
      <c r="V1529" s="6"/>
      <c r="W1529" s="6"/>
      <c r="X1529" s="6"/>
      <c r="Y1529" s="6"/>
      <c r="Z1529" s="6"/>
      <c r="AA1529" s="6"/>
      <c r="AB1529" s="6"/>
      <c r="AC1529" s="6"/>
      <c r="AD1529" s="6"/>
      <c r="AE1529" s="6"/>
      <c r="AF1529" s="6"/>
      <c r="AG1529" s="6"/>
    </row>
    <row r="1530" ht="14.25" customHeight="1">
      <c r="A1530" s="6"/>
      <c r="B1530" s="6"/>
      <c r="C1530" s="6">
        <v>1523.0</v>
      </c>
      <c r="D1530" s="6"/>
      <c r="E1530" s="6">
        <v>8980145.8708396</v>
      </c>
      <c r="F1530" s="6">
        <v>457.31527551868004</v>
      </c>
      <c r="G1530" s="6">
        <v>4.72033754726739</v>
      </c>
      <c r="H1530" s="6">
        <v>8835377.577389212</v>
      </c>
      <c r="I1530" s="6">
        <v>451.267413286748</v>
      </c>
      <c r="J1530" s="6">
        <v>3.296380264297545</v>
      </c>
      <c r="K1530" s="6"/>
      <c r="L1530" s="6"/>
      <c r="M1530" s="6"/>
      <c r="N1530" s="6">
        <f t="shared" ref="N1530:P1530" si="1533">IF(LEN($C1530)&gt;0,H1530-E1530,"")</f>
        <v>-144768.2935</v>
      </c>
      <c r="O1530" s="6">
        <f t="shared" si="1533"/>
        <v>-6.047862232</v>
      </c>
      <c r="P1530" s="6">
        <f t="shared" si="1533"/>
        <v>-1.423957283</v>
      </c>
      <c r="Q1530" s="6"/>
      <c r="R1530" s="6"/>
      <c r="S1530" s="6"/>
      <c r="T1530" s="6"/>
      <c r="U1530" s="6"/>
      <c r="V1530" s="6"/>
      <c r="W1530" s="6"/>
      <c r="X1530" s="6"/>
      <c r="Y1530" s="6"/>
      <c r="Z1530" s="6"/>
      <c r="AA1530" s="6"/>
      <c r="AB1530" s="6"/>
      <c r="AC1530" s="6"/>
      <c r="AD1530" s="6"/>
      <c r="AE1530" s="6"/>
      <c r="AF1530" s="6"/>
      <c r="AG1530" s="6"/>
    </row>
    <row r="1531" ht="14.25" customHeight="1">
      <c r="A1531" s="6"/>
      <c r="B1531" s="6"/>
      <c r="C1531" s="6">
        <v>1524.0</v>
      </c>
      <c r="D1531" s="6"/>
      <c r="E1531" s="6">
        <v>7417240.913289875</v>
      </c>
      <c r="F1531" s="6">
        <v>486.7934880872429</v>
      </c>
      <c r="G1531" s="6">
        <v>5.642523102639032</v>
      </c>
      <c r="H1531" s="6">
        <v>7235832.359888199</v>
      </c>
      <c r="I1531" s="6">
        <v>479.75954116226757</v>
      </c>
      <c r="J1531" s="6">
        <v>3.7117055833396466</v>
      </c>
      <c r="K1531" s="6"/>
      <c r="L1531" s="6"/>
      <c r="M1531" s="6"/>
      <c r="N1531" s="6">
        <f t="shared" ref="N1531:P1531" si="1534">IF(LEN($C1531)&gt;0,H1531-E1531,"")</f>
        <v>-181408.5534</v>
      </c>
      <c r="O1531" s="6">
        <f t="shared" si="1534"/>
        <v>-7.033946925</v>
      </c>
      <c r="P1531" s="6">
        <f t="shared" si="1534"/>
        <v>-1.930817519</v>
      </c>
      <c r="Q1531" s="6"/>
      <c r="R1531" s="6"/>
      <c r="S1531" s="6"/>
      <c r="T1531" s="6"/>
      <c r="U1531" s="6"/>
      <c r="V1531" s="6"/>
      <c r="W1531" s="6"/>
      <c r="X1531" s="6"/>
      <c r="Y1531" s="6"/>
      <c r="Z1531" s="6"/>
      <c r="AA1531" s="6"/>
      <c r="AB1531" s="6"/>
      <c r="AC1531" s="6"/>
      <c r="AD1531" s="6"/>
      <c r="AE1531" s="6"/>
      <c r="AF1531" s="6"/>
      <c r="AG1531" s="6"/>
    </row>
    <row r="1532" ht="14.25" customHeight="1">
      <c r="A1532" s="6"/>
      <c r="B1532" s="6"/>
      <c r="C1532" s="6">
        <v>1525.0</v>
      </c>
      <c r="D1532" s="6"/>
      <c r="E1532" s="6">
        <v>7448842.894919085</v>
      </c>
      <c r="F1532" s="6">
        <v>483.32926601195334</v>
      </c>
      <c r="G1532" s="6">
        <v>5.714293480387063</v>
      </c>
      <c r="H1532" s="6">
        <v>7320197.0133943185</v>
      </c>
      <c r="I1532" s="6">
        <v>477.1716079174509</v>
      </c>
      <c r="J1532" s="6">
        <v>3.9544384038217224</v>
      </c>
      <c r="K1532" s="6"/>
      <c r="L1532" s="6"/>
      <c r="M1532" s="6"/>
      <c r="N1532" s="6">
        <f t="shared" ref="N1532:P1532" si="1535">IF(LEN($C1532)&gt;0,H1532-E1532,"")</f>
        <v>-128645.8815</v>
      </c>
      <c r="O1532" s="6">
        <f t="shared" si="1535"/>
        <v>-6.157658095</v>
      </c>
      <c r="P1532" s="6">
        <f t="shared" si="1535"/>
        <v>-1.759855077</v>
      </c>
      <c r="Q1532" s="6"/>
      <c r="R1532" s="6"/>
      <c r="S1532" s="6"/>
      <c r="T1532" s="6"/>
      <c r="U1532" s="6"/>
      <c r="V1532" s="6"/>
      <c r="W1532" s="6"/>
      <c r="X1532" s="6"/>
      <c r="Y1532" s="6"/>
      <c r="Z1532" s="6"/>
      <c r="AA1532" s="6"/>
      <c r="AB1532" s="6"/>
      <c r="AC1532" s="6"/>
      <c r="AD1532" s="6"/>
      <c r="AE1532" s="6"/>
      <c r="AF1532" s="6"/>
      <c r="AG1532" s="6"/>
    </row>
    <row r="1533" ht="14.25" customHeight="1">
      <c r="A1533" s="6"/>
      <c r="B1533" s="6"/>
      <c r="C1533" s="6">
        <v>1526.0</v>
      </c>
      <c r="D1533" s="6"/>
      <c r="E1533" s="6">
        <v>9897216.950247545</v>
      </c>
      <c r="F1533" s="6">
        <v>481.22445278784704</v>
      </c>
      <c r="G1533" s="6">
        <v>4.743076511201629</v>
      </c>
      <c r="H1533" s="6">
        <v>9704511.608818758</v>
      </c>
      <c r="I1533" s="6">
        <v>473.54196310858475</v>
      </c>
      <c r="J1533" s="6">
        <v>3.44144359092658</v>
      </c>
      <c r="K1533" s="6"/>
      <c r="L1533" s="6"/>
      <c r="M1533" s="6"/>
      <c r="N1533" s="6">
        <f t="shared" ref="N1533:P1533" si="1536">IF(LEN($C1533)&gt;0,H1533-E1533,"")</f>
        <v>-192705.3414</v>
      </c>
      <c r="O1533" s="6">
        <f t="shared" si="1536"/>
        <v>-7.682489679</v>
      </c>
      <c r="P1533" s="6">
        <f t="shared" si="1536"/>
        <v>-1.30163292</v>
      </c>
      <c r="Q1533" s="6"/>
      <c r="R1533" s="6"/>
      <c r="S1533" s="6"/>
      <c r="T1533" s="6"/>
      <c r="U1533" s="6"/>
      <c r="V1533" s="6"/>
      <c r="W1533" s="6"/>
      <c r="X1533" s="6"/>
      <c r="Y1533" s="6"/>
      <c r="Z1533" s="6"/>
      <c r="AA1533" s="6"/>
      <c r="AB1533" s="6"/>
      <c r="AC1533" s="6"/>
      <c r="AD1533" s="6"/>
      <c r="AE1533" s="6"/>
      <c r="AF1533" s="6"/>
      <c r="AG1533" s="6"/>
    </row>
    <row r="1534" ht="14.25" customHeight="1">
      <c r="A1534" s="6"/>
      <c r="B1534" s="6"/>
      <c r="C1534" s="6">
        <v>1527.0</v>
      </c>
      <c r="D1534" s="6"/>
      <c r="E1534" s="6">
        <v>5735914.187664576</v>
      </c>
      <c r="F1534" s="6">
        <v>468.34115736600825</v>
      </c>
      <c r="G1534" s="6">
        <v>5.6554977120066425</v>
      </c>
      <c r="H1534" s="6">
        <v>5644153.428532826</v>
      </c>
      <c r="I1534" s="6">
        <v>464.58721876902763</v>
      </c>
      <c r="J1534" s="6">
        <v>4.1179564486947555</v>
      </c>
      <c r="K1534" s="6"/>
      <c r="L1534" s="6"/>
      <c r="M1534" s="6"/>
      <c r="N1534" s="6">
        <f t="shared" ref="N1534:P1534" si="1537">IF(LEN($C1534)&gt;0,H1534-E1534,"")</f>
        <v>-91760.75913</v>
      </c>
      <c r="O1534" s="6">
        <f t="shared" si="1537"/>
        <v>-3.753938597</v>
      </c>
      <c r="P1534" s="6">
        <f t="shared" si="1537"/>
        <v>-1.537541263</v>
      </c>
      <c r="Q1534" s="6"/>
      <c r="R1534" s="6"/>
      <c r="S1534" s="6"/>
      <c r="T1534" s="6"/>
      <c r="U1534" s="6"/>
      <c r="V1534" s="6"/>
      <c r="W1534" s="6"/>
      <c r="X1534" s="6"/>
      <c r="Y1534" s="6"/>
      <c r="Z1534" s="6"/>
      <c r="AA1534" s="6"/>
      <c r="AB1534" s="6"/>
      <c r="AC1534" s="6"/>
      <c r="AD1534" s="6"/>
      <c r="AE1534" s="6"/>
      <c r="AF1534" s="6"/>
      <c r="AG1534" s="6"/>
    </row>
    <row r="1535" ht="14.25" customHeight="1">
      <c r="A1535" s="6"/>
      <c r="B1535" s="6"/>
      <c r="C1535" s="6">
        <v>1528.0</v>
      </c>
      <c r="D1535" s="6"/>
      <c r="E1535" s="6">
        <v>8069717.3694810225</v>
      </c>
      <c r="F1535" s="6">
        <v>475.664164239753</v>
      </c>
      <c r="G1535" s="6">
        <v>4.65199964484537</v>
      </c>
      <c r="H1535" s="6">
        <v>7987922.7196398545</v>
      </c>
      <c r="I1535" s="6">
        <v>472.0142643315463</v>
      </c>
      <c r="J1535" s="6">
        <v>3.540610388825492</v>
      </c>
      <c r="K1535" s="6"/>
      <c r="L1535" s="6"/>
      <c r="M1535" s="6"/>
      <c r="N1535" s="6">
        <f t="shared" ref="N1535:P1535" si="1538">IF(LEN($C1535)&gt;0,H1535-E1535,"")</f>
        <v>-81794.64984</v>
      </c>
      <c r="O1535" s="6">
        <f t="shared" si="1538"/>
        <v>-3.649899908</v>
      </c>
      <c r="P1535" s="6">
        <f t="shared" si="1538"/>
        <v>-1.111389256</v>
      </c>
      <c r="Q1535" s="6"/>
      <c r="R1535" s="6"/>
      <c r="S1535" s="6"/>
      <c r="T1535" s="6"/>
      <c r="U1535" s="6"/>
      <c r="V1535" s="6"/>
      <c r="W1535" s="6"/>
      <c r="X1535" s="6"/>
      <c r="Y1535" s="6"/>
      <c r="Z1535" s="6"/>
      <c r="AA1535" s="6"/>
      <c r="AB1535" s="6"/>
      <c r="AC1535" s="6"/>
      <c r="AD1535" s="6"/>
      <c r="AE1535" s="6"/>
      <c r="AF1535" s="6"/>
      <c r="AG1535" s="6"/>
    </row>
    <row r="1536" ht="14.25" customHeight="1">
      <c r="A1536" s="6"/>
      <c r="B1536" s="6"/>
      <c r="C1536" s="6">
        <v>1529.0</v>
      </c>
      <c r="D1536" s="6"/>
      <c r="E1536" s="6">
        <v>6243626.657226109</v>
      </c>
      <c r="F1536" s="6">
        <v>456.5871565618183</v>
      </c>
      <c r="G1536" s="6">
        <v>4.84357689663835</v>
      </c>
      <c r="H1536" s="6">
        <v>6119937.755983298</v>
      </c>
      <c r="I1536" s="6">
        <v>449.34350474915476</v>
      </c>
      <c r="J1536" s="6">
        <v>3.6911176853707315</v>
      </c>
      <c r="K1536" s="6"/>
      <c r="L1536" s="6"/>
      <c r="M1536" s="6"/>
      <c r="N1536" s="6">
        <f t="shared" ref="N1536:P1536" si="1539">IF(LEN($C1536)&gt;0,H1536-E1536,"")</f>
        <v>-123688.9012</v>
      </c>
      <c r="O1536" s="6">
        <f t="shared" si="1539"/>
        <v>-7.243651813</v>
      </c>
      <c r="P1536" s="6">
        <f t="shared" si="1539"/>
        <v>-1.152459211</v>
      </c>
      <c r="Q1536" s="6"/>
      <c r="R1536" s="6"/>
      <c r="S1536" s="6"/>
      <c r="T1536" s="6"/>
      <c r="U1536" s="6"/>
      <c r="V1536" s="6"/>
      <c r="W1536" s="6"/>
      <c r="X1536" s="6"/>
      <c r="Y1536" s="6"/>
      <c r="Z1536" s="6"/>
      <c r="AA1536" s="6"/>
      <c r="AB1536" s="6"/>
      <c r="AC1536" s="6"/>
      <c r="AD1536" s="6"/>
      <c r="AE1536" s="6"/>
      <c r="AF1536" s="6"/>
      <c r="AG1536" s="6"/>
    </row>
    <row r="1537" ht="14.25" customHeight="1">
      <c r="A1537" s="6"/>
      <c r="B1537" s="6"/>
      <c r="C1537" s="6">
        <v>1530.0</v>
      </c>
      <c r="D1537" s="6"/>
      <c r="E1537" s="6">
        <v>8056608.897111822</v>
      </c>
      <c r="F1537" s="6">
        <v>445.3444701453012</v>
      </c>
      <c r="G1537" s="6">
        <v>5.083746557661955</v>
      </c>
      <c r="H1537" s="6">
        <v>7945964.061195713</v>
      </c>
      <c r="I1537" s="6">
        <v>441.6241013620128</v>
      </c>
      <c r="J1537" s="6">
        <v>3.5536266558623626</v>
      </c>
      <c r="K1537" s="6"/>
      <c r="L1537" s="6"/>
      <c r="M1537" s="6"/>
      <c r="N1537" s="6">
        <f t="shared" ref="N1537:P1537" si="1540">IF(LEN($C1537)&gt;0,H1537-E1537,"")</f>
        <v>-110644.8359</v>
      </c>
      <c r="O1537" s="6">
        <f t="shared" si="1540"/>
        <v>-3.720368783</v>
      </c>
      <c r="P1537" s="6">
        <f t="shared" si="1540"/>
        <v>-1.530119902</v>
      </c>
      <c r="Q1537" s="6"/>
      <c r="R1537" s="6"/>
      <c r="S1537" s="6"/>
      <c r="T1537" s="6"/>
      <c r="U1537" s="6"/>
      <c r="V1537" s="6"/>
      <c r="W1537" s="6"/>
      <c r="X1537" s="6"/>
      <c r="Y1537" s="6"/>
      <c r="Z1537" s="6"/>
      <c r="AA1537" s="6"/>
      <c r="AB1537" s="6"/>
      <c r="AC1537" s="6"/>
      <c r="AD1537" s="6"/>
      <c r="AE1537" s="6"/>
      <c r="AF1537" s="6"/>
      <c r="AG1537" s="6"/>
    </row>
    <row r="1538" ht="14.25" customHeight="1">
      <c r="A1538" s="6"/>
      <c r="B1538" s="6"/>
      <c r="C1538" s="6">
        <v>1531.0</v>
      </c>
      <c r="D1538" s="6"/>
      <c r="E1538" s="6">
        <v>6126452.206610114</v>
      </c>
      <c r="F1538" s="6">
        <v>490.9713444914056</v>
      </c>
      <c r="G1538" s="6">
        <v>6.061296708902281</v>
      </c>
      <c r="H1538" s="6">
        <v>6059220.4451062605</v>
      </c>
      <c r="I1538" s="6">
        <v>487.2575236993018</v>
      </c>
      <c r="J1538" s="6">
        <v>4.895640682081571</v>
      </c>
      <c r="K1538" s="6"/>
      <c r="L1538" s="6"/>
      <c r="M1538" s="6"/>
      <c r="N1538" s="6">
        <f t="shared" ref="N1538:P1538" si="1541">IF(LEN($C1538)&gt;0,H1538-E1538,"")</f>
        <v>-67231.7615</v>
      </c>
      <c r="O1538" s="6">
        <f t="shared" si="1541"/>
        <v>-3.713820792</v>
      </c>
      <c r="P1538" s="6">
        <f t="shared" si="1541"/>
        <v>-1.165656027</v>
      </c>
      <c r="Q1538" s="6"/>
      <c r="R1538" s="6"/>
      <c r="S1538" s="6"/>
      <c r="T1538" s="6"/>
      <c r="U1538" s="6"/>
      <c r="V1538" s="6"/>
      <c r="W1538" s="6"/>
      <c r="X1538" s="6"/>
      <c r="Y1538" s="6"/>
      <c r="Z1538" s="6"/>
      <c r="AA1538" s="6"/>
      <c r="AB1538" s="6"/>
      <c r="AC1538" s="6"/>
      <c r="AD1538" s="6"/>
      <c r="AE1538" s="6"/>
      <c r="AF1538" s="6"/>
      <c r="AG1538" s="6"/>
    </row>
    <row r="1539" ht="14.25" customHeight="1">
      <c r="A1539" s="6"/>
      <c r="B1539" s="6"/>
      <c r="C1539" s="6">
        <v>1532.0</v>
      </c>
      <c r="D1539" s="6"/>
      <c r="E1539" s="6">
        <v>6884943.220304992</v>
      </c>
      <c r="F1539" s="6">
        <v>461.7633771197406</v>
      </c>
      <c r="G1539" s="6">
        <v>5.464124678489557</v>
      </c>
      <c r="H1539" s="6">
        <v>6804906.612313836</v>
      </c>
      <c r="I1539" s="6">
        <v>458.14860625093667</v>
      </c>
      <c r="J1539" s="6">
        <v>4.261122502726535</v>
      </c>
      <c r="K1539" s="6"/>
      <c r="L1539" s="6"/>
      <c r="M1539" s="6"/>
      <c r="N1539" s="6">
        <f t="shared" ref="N1539:P1539" si="1542">IF(LEN($C1539)&gt;0,H1539-E1539,"")</f>
        <v>-80036.60799</v>
      </c>
      <c r="O1539" s="6">
        <f t="shared" si="1542"/>
        <v>-3.614770869</v>
      </c>
      <c r="P1539" s="6">
        <f t="shared" si="1542"/>
        <v>-1.203002176</v>
      </c>
      <c r="Q1539" s="6"/>
      <c r="R1539" s="6"/>
      <c r="S1539" s="6"/>
      <c r="T1539" s="6"/>
      <c r="U1539" s="6"/>
      <c r="V1539" s="6"/>
      <c r="W1539" s="6"/>
      <c r="X1539" s="6"/>
      <c r="Y1539" s="6"/>
      <c r="Z1539" s="6"/>
      <c r="AA1539" s="6"/>
      <c r="AB1539" s="6"/>
      <c r="AC1539" s="6"/>
      <c r="AD1539" s="6"/>
      <c r="AE1539" s="6"/>
      <c r="AF1539" s="6"/>
      <c r="AG1539" s="6"/>
    </row>
    <row r="1540" ht="14.25" customHeight="1">
      <c r="A1540" s="6"/>
      <c r="B1540" s="6"/>
      <c r="C1540" s="6">
        <v>1533.0</v>
      </c>
      <c r="D1540" s="6"/>
      <c r="E1540" s="6">
        <v>6953891.809381156</v>
      </c>
      <c r="F1540" s="6">
        <v>470.3816300941237</v>
      </c>
      <c r="G1540" s="6">
        <v>4.925446081649357</v>
      </c>
      <c r="H1540" s="6">
        <v>6906008.014738227</v>
      </c>
      <c r="I1540" s="6">
        <v>468.0529094448751</v>
      </c>
      <c r="J1540" s="6">
        <v>4.043827878383194</v>
      </c>
      <c r="K1540" s="6"/>
      <c r="L1540" s="6"/>
      <c r="M1540" s="6"/>
      <c r="N1540" s="6">
        <f t="shared" ref="N1540:P1540" si="1543">IF(LEN($C1540)&gt;0,H1540-E1540,"")</f>
        <v>-47883.79464</v>
      </c>
      <c r="O1540" s="6">
        <f t="shared" si="1543"/>
        <v>-2.328720649</v>
      </c>
      <c r="P1540" s="6">
        <f t="shared" si="1543"/>
        <v>-0.8816182033</v>
      </c>
      <c r="Q1540" s="6"/>
      <c r="R1540" s="6"/>
      <c r="S1540" s="6"/>
      <c r="T1540" s="6"/>
      <c r="U1540" s="6"/>
      <c r="V1540" s="6"/>
      <c r="W1540" s="6"/>
      <c r="X1540" s="6"/>
      <c r="Y1540" s="6"/>
      <c r="Z1540" s="6"/>
      <c r="AA1540" s="6"/>
      <c r="AB1540" s="6"/>
      <c r="AC1540" s="6"/>
      <c r="AD1540" s="6"/>
      <c r="AE1540" s="6"/>
      <c r="AF1540" s="6"/>
      <c r="AG1540" s="6"/>
    </row>
    <row r="1541" ht="14.25" customHeight="1">
      <c r="A1541" s="6"/>
      <c r="B1541" s="6"/>
      <c r="C1541" s="6">
        <v>1534.0</v>
      </c>
      <c r="D1541" s="6"/>
      <c r="E1541" s="6">
        <v>7057430.239074097</v>
      </c>
      <c r="F1541" s="6">
        <v>441.22789663817355</v>
      </c>
      <c r="G1541" s="6">
        <v>3.5503956599200444</v>
      </c>
      <c r="H1541" s="6">
        <v>6929952.995827669</v>
      </c>
      <c r="I1541" s="6">
        <v>436.8299907841657</v>
      </c>
      <c r="J1541" s="6">
        <v>2.27650814201877</v>
      </c>
      <c r="K1541" s="6"/>
      <c r="L1541" s="6"/>
      <c r="M1541" s="6"/>
      <c r="N1541" s="6">
        <f t="shared" ref="N1541:P1541" si="1544">IF(LEN($C1541)&gt;0,H1541-E1541,"")</f>
        <v>-127477.2432</v>
      </c>
      <c r="O1541" s="6">
        <f t="shared" si="1544"/>
        <v>-4.397905854</v>
      </c>
      <c r="P1541" s="6">
        <f t="shared" si="1544"/>
        <v>-1.273887518</v>
      </c>
      <c r="Q1541" s="6"/>
      <c r="R1541" s="6"/>
      <c r="S1541" s="6"/>
      <c r="T1541" s="6"/>
      <c r="U1541" s="6"/>
      <c r="V1541" s="6"/>
      <c r="W1541" s="6"/>
      <c r="X1541" s="6"/>
      <c r="Y1541" s="6"/>
      <c r="Z1541" s="6"/>
      <c r="AA1541" s="6"/>
      <c r="AB1541" s="6"/>
      <c r="AC1541" s="6"/>
      <c r="AD1541" s="6"/>
      <c r="AE1541" s="6"/>
      <c r="AF1541" s="6"/>
      <c r="AG1541" s="6"/>
    </row>
    <row r="1542" ht="14.25" customHeight="1">
      <c r="A1542" s="6"/>
      <c r="B1542" s="6"/>
      <c r="C1542" s="6">
        <v>1535.0</v>
      </c>
      <c r="D1542" s="6"/>
      <c r="E1542" s="6">
        <v>6222686.095890333</v>
      </c>
      <c r="F1542" s="6">
        <v>440.43442906984905</v>
      </c>
      <c r="G1542" s="6">
        <v>6.074092271901948</v>
      </c>
      <c r="H1542" s="6">
        <v>6147403.940093949</v>
      </c>
      <c r="I1542" s="6">
        <v>437.7262089361577</v>
      </c>
      <c r="J1542" s="6">
        <v>4.853000426097577</v>
      </c>
      <c r="K1542" s="6"/>
      <c r="L1542" s="6"/>
      <c r="M1542" s="6"/>
      <c r="N1542" s="6">
        <f t="shared" ref="N1542:P1542" si="1545">IF(LEN($C1542)&gt;0,H1542-E1542,"")</f>
        <v>-75282.1558</v>
      </c>
      <c r="O1542" s="6">
        <f t="shared" si="1545"/>
        <v>-2.708220134</v>
      </c>
      <c r="P1542" s="6">
        <f t="shared" si="1545"/>
        <v>-1.221091846</v>
      </c>
      <c r="Q1542" s="6"/>
      <c r="R1542" s="6"/>
      <c r="S1542" s="6"/>
      <c r="T1542" s="6"/>
      <c r="U1542" s="6"/>
      <c r="V1542" s="6"/>
      <c r="W1542" s="6"/>
      <c r="X1542" s="6"/>
      <c r="Y1542" s="6"/>
      <c r="Z1542" s="6"/>
      <c r="AA1542" s="6"/>
      <c r="AB1542" s="6"/>
      <c r="AC1542" s="6"/>
      <c r="AD1542" s="6"/>
      <c r="AE1542" s="6"/>
      <c r="AF1542" s="6"/>
      <c r="AG1542" s="6"/>
    </row>
    <row r="1543" ht="14.25" customHeight="1">
      <c r="A1543" s="6"/>
      <c r="B1543" s="6"/>
      <c r="C1543" s="6">
        <v>1536.0</v>
      </c>
      <c r="D1543" s="6"/>
      <c r="E1543" s="6">
        <v>7351061.100669156</v>
      </c>
      <c r="F1543" s="6">
        <v>488.5789922643148</v>
      </c>
      <c r="G1543" s="6">
        <v>5.339011470086377</v>
      </c>
      <c r="H1543" s="6">
        <v>7236774.251688575</v>
      </c>
      <c r="I1543" s="6">
        <v>484.12013027167853</v>
      </c>
      <c r="J1543" s="6">
        <v>3.712079499511284</v>
      </c>
      <c r="K1543" s="6"/>
      <c r="L1543" s="6"/>
      <c r="M1543" s="6"/>
      <c r="N1543" s="6">
        <f t="shared" ref="N1543:P1543" si="1546">IF(LEN($C1543)&gt;0,H1543-E1543,"")</f>
        <v>-114286.849</v>
      </c>
      <c r="O1543" s="6">
        <f t="shared" si="1546"/>
        <v>-4.458861993</v>
      </c>
      <c r="P1543" s="6">
        <f t="shared" si="1546"/>
        <v>-1.626931971</v>
      </c>
      <c r="Q1543" s="6"/>
      <c r="R1543" s="6"/>
      <c r="S1543" s="6"/>
      <c r="T1543" s="6"/>
      <c r="U1543" s="6"/>
      <c r="V1543" s="6"/>
      <c r="W1543" s="6"/>
      <c r="X1543" s="6"/>
      <c r="Y1543" s="6"/>
      <c r="Z1543" s="6"/>
      <c r="AA1543" s="6"/>
      <c r="AB1543" s="6"/>
      <c r="AC1543" s="6"/>
      <c r="AD1543" s="6"/>
      <c r="AE1543" s="6"/>
      <c r="AF1543" s="6"/>
      <c r="AG1543" s="6"/>
    </row>
    <row r="1544" ht="14.25" customHeight="1">
      <c r="A1544" s="6"/>
      <c r="B1544" s="6"/>
      <c r="C1544" s="6">
        <v>1537.0</v>
      </c>
      <c r="D1544" s="6"/>
      <c r="E1544" s="6">
        <v>7050377.876765352</v>
      </c>
      <c r="F1544" s="6">
        <v>451.6034985920571</v>
      </c>
      <c r="G1544" s="6">
        <v>5.930368319924934</v>
      </c>
      <c r="H1544" s="6">
        <v>6883805.152058505</v>
      </c>
      <c r="I1544" s="6">
        <v>445.0787973104057</v>
      </c>
      <c r="J1544" s="6">
        <v>4.342122908285783</v>
      </c>
      <c r="K1544" s="6"/>
      <c r="L1544" s="6"/>
      <c r="M1544" s="6"/>
      <c r="N1544" s="6">
        <f t="shared" ref="N1544:P1544" si="1547">IF(LEN($C1544)&gt;0,H1544-E1544,"")</f>
        <v>-166572.7247</v>
      </c>
      <c r="O1544" s="6">
        <f t="shared" si="1547"/>
        <v>-6.524701282</v>
      </c>
      <c r="P1544" s="6">
        <f t="shared" si="1547"/>
        <v>-1.588245412</v>
      </c>
      <c r="Q1544" s="6"/>
      <c r="R1544" s="6"/>
      <c r="S1544" s="6"/>
      <c r="T1544" s="6"/>
      <c r="U1544" s="6"/>
      <c r="V1544" s="6"/>
      <c r="W1544" s="6"/>
      <c r="X1544" s="6"/>
      <c r="Y1544" s="6"/>
      <c r="Z1544" s="6"/>
      <c r="AA1544" s="6"/>
      <c r="AB1544" s="6"/>
      <c r="AC1544" s="6"/>
      <c r="AD1544" s="6"/>
      <c r="AE1544" s="6"/>
      <c r="AF1544" s="6"/>
      <c r="AG1544" s="6"/>
    </row>
    <row r="1545" ht="14.25" customHeight="1">
      <c r="A1545" s="6"/>
      <c r="B1545" s="6"/>
      <c r="C1545" s="6">
        <v>1538.0</v>
      </c>
      <c r="D1545" s="6"/>
      <c r="E1545" s="6">
        <v>8355587.104934216</v>
      </c>
      <c r="F1545" s="6">
        <v>456.9999314024279</v>
      </c>
      <c r="G1545" s="6">
        <v>4.3841825128448795</v>
      </c>
      <c r="H1545" s="6">
        <v>8288638.740297136</v>
      </c>
      <c r="I1545" s="6">
        <v>453.56551155099186</v>
      </c>
      <c r="J1545" s="6">
        <v>3.4414890588597493</v>
      </c>
      <c r="K1545" s="6"/>
      <c r="L1545" s="6"/>
      <c r="M1545" s="6"/>
      <c r="N1545" s="6">
        <f t="shared" ref="N1545:P1545" si="1548">IF(LEN($C1545)&gt;0,H1545-E1545,"")</f>
        <v>-66948.36464</v>
      </c>
      <c r="O1545" s="6">
        <f t="shared" si="1548"/>
        <v>-3.434419851</v>
      </c>
      <c r="P1545" s="6">
        <f t="shared" si="1548"/>
        <v>-0.942693454</v>
      </c>
      <c r="Q1545" s="6"/>
      <c r="R1545" s="6"/>
      <c r="S1545" s="6"/>
      <c r="T1545" s="6"/>
      <c r="U1545" s="6"/>
      <c r="V1545" s="6"/>
      <c r="W1545" s="6"/>
      <c r="X1545" s="6"/>
      <c r="Y1545" s="6"/>
      <c r="Z1545" s="6"/>
      <c r="AA1545" s="6"/>
      <c r="AB1545" s="6"/>
      <c r="AC1545" s="6"/>
      <c r="AD1545" s="6"/>
      <c r="AE1545" s="6"/>
      <c r="AF1545" s="6"/>
      <c r="AG1545" s="6"/>
    </row>
    <row r="1546" ht="14.25" customHeight="1">
      <c r="A1546" s="6"/>
      <c r="B1546" s="6"/>
      <c r="C1546" s="6">
        <v>1539.0</v>
      </c>
      <c r="D1546" s="6"/>
      <c r="E1546" s="6">
        <v>7250986.354509427</v>
      </c>
      <c r="F1546" s="6">
        <v>460.26571054847636</v>
      </c>
      <c r="G1546" s="6">
        <v>3.892639338795236</v>
      </c>
      <c r="H1546" s="6">
        <v>7201495.921404185</v>
      </c>
      <c r="I1546" s="6">
        <v>458.08497138979146</v>
      </c>
      <c r="J1546" s="6">
        <v>3.1314225487425773</v>
      </c>
      <c r="K1546" s="6"/>
      <c r="L1546" s="6"/>
      <c r="M1546" s="6"/>
      <c r="N1546" s="6">
        <f t="shared" ref="N1546:P1546" si="1549">IF(LEN($C1546)&gt;0,H1546-E1546,"")</f>
        <v>-49490.43311</v>
      </c>
      <c r="O1546" s="6">
        <f t="shared" si="1549"/>
        <v>-2.180739159</v>
      </c>
      <c r="P1546" s="6">
        <f t="shared" si="1549"/>
        <v>-0.7612167901</v>
      </c>
      <c r="Q1546" s="6"/>
      <c r="R1546" s="6"/>
      <c r="S1546" s="6"/>
      <c r="T1546" s="6"/>
      <c r="U1546" s="6"/>
      <c r="V1546" s="6"/>
      <c r="W1546" s="6"/>
      <c r="X1546" s="6"/>
      <c r="Y1546" s="6"/>
      <c r="Z1546" s="6"/>
      <c r="AA1546" s="6"/>
      <c r="AB1546" s="6"/>
      <c r="AC1546" s="6"/>
      <c r="AD1546" s="6"/>
      <c r="AE1546" s="6"/>
      <c r="AF1546" s="6"/>
      <c r="AG1546" s="6"/>
    </row>
    <row r="1547" ht="14.25" customHeight="1">
      <c r="A1547" s="6"/>
      <c r="B1547" s="6"/>
      <c r="C1547" s="6">
        <v>1540.0</v>
      </c>
      <c r="D1547" s="6"/>
      <c r="E1547" s="6">
        <v>7110363.740412947</v>
      </c>
      <c r="F1547" s="6">
        <v>482.46915333709876</v>
      </c>
      <c r="G1547" s="6">
        <v>4.299519049989417</v>
      </c>
      <c r="H1547" s="6">
        <v>6962626.495621984</v>
      </c>
      <c r="I1547" s="6">
        <v>475.8021825979608</v>
      </c>
      <c r="J1547" s="6">
        <v>2.957794081638391</v>
      </c>
      <c r="K1547" s="6"/>
      <c r="L1547" s="6"/>
      <c r="M1547" s="6"/>
      <c r="N1547" s="6">
        <f t="shared" ref="N1547:P1547" si="1550">IF(LEN($C1547)&gt;0,H1547-E1547,"")</f>
        <v>-147737.2448</v>
      </c>
      <c r="O1547" s="6">
        <f t="shared" si="1550"/>
        <v>-6.666970739</v>
      </c>
      <c r="P1547" s="6">
        <f t="shared" si="1550"/>
        <v>-1.341724968</v>
      </c>
      <c r="Q1547" s="6"/>
      <c r="R1547" s="6"/>
      <c r="S1547" s="6"/>
      <c r="T1547" s="6"/>
      <c r="U1547" s="6"/>
      <c r="V1547" s="6"/>
      <c r="W1547" s="6"/>
      <c r="X1547" s="6"/>
      <c r="Y1547" s="6"/>
      <c r="Z1547" s="6"/>
      <c r="AA1547" s="6"/>
      <c r="AB1547" s="6"/>
      <c r="AC1547" s="6"/>
      <c r="AD1547" s="6"/>
      <c r="AE1547" s="6"/>
      <c r="AF1547" s="6"/>
      <c r="AG1547" s="6"/>
    </row>
    <row r="1548" ht="14.25" customHeight="1">
      <c r="A1548" s="6"/>
      <c r="B1548" s="6"/>
      <c r="C1548" s="6">
        <v>1541.0</v>
      </c>
      <c r="D1548" s="6"/>
      <c r="E1548" s="6">
        <v>7602770.767774244</v>
      </c>
      <c r="F1548" s="6">
        <v>448.5596811449188</v>
      </c>
      <c r="G1548" s="6">
        <v>4.741093763726809</v>
      </c>
      <c r="H1548" s="6">
        <v>7526518.807991059</v>
      </c>
      <c r="I1548" s="6">
        <v>445.0504483802024</v>
      </c>
      <c r="J1548" s="6">
        <v>3.88682409784309</v>
      </c>
      <c r="K1548" s="6"/>
      <c r="L1548" s="6"/>
      <c r="M1548" s="6"/>
      <c r="N1548" s="6">
        <f t="shared" ref="N1548:P1548" si="1551">IF(LEN($C1548)&gt;0,H1548-E1548,"")</f>
        <v>-76251.95978</v>
      </c>
      <c r="O1548" s="6">
        <f t="shared" si="1551"/>
        <v>-3.509232765</v>
      </c>
      <c r="P1548" s="6">
        <f t="shared" si="1551"/>
        <v>-0.8542696659</v>
      </c>
      <c r="Q1548" s="6"/>
      <c r="R1548" s="6"/>
      <c r="S1548" s="6"/>
      <c r="T1548" s="6"/>
      <c r="U1548" s="6"/>
      <c r="V1548" s="6"/>
      <c r="W1548" s="6"/>
      <c r="X1548" s="6"/>
      <c r="Y1548" s="6"/>
      <c r="Z1548" s="6"/>
      <c r="AA1548" s="6"/>
      <c r="AB1548" s="6"/>
      <c r="AC1548" s="6"/>
      <c r="AD1548" s="6"/>
      <c r="AE1548" s="6"/>
      <c r="AF1548" s="6"/>
      <c r="AG1548" s="6"/>
    </row>
    <row r="1549" ht="14.25" customHeight="1">
      <c r="A1549" s="6"/>
      <c r="B1549" s="6"/>
      <c r="C1549" s="6">
        <v>1542.0</v>
      </c>
      <c r="D1549" s="6"/>
      <c r="E1549" s="6">
        <v>5056884.169734794</v>
      </c>
      <c r="F1549" s="6">
        <v>462.12787912131967</v>
      </c>
      <c r="G1549" s="6">
        <v>5.2122872893329</v>
      </c>
      <c r="H1549" s="6">
        <v>4974096.837034338</v>
      </c>
      <c r="I1549" s="6">
        <v>458.99833007236003</v>
      </c>
      <c r="J1549" s="6">
        <v>3.9333937518450988</v>
      </c>
      <c r="K1549" s="6"/>
      <c r="L1549" s="6"/>
      <c r="M1549" s="6"/>
      <c r="N1549" s="6">
        <f t="shared" ref="N1549:P1549" si="1552">IF(LEN($C1549)&gt;0,H1549-E1549,"")</f>
        <v>-82787.3327</v>
      </c>
      <c r="O1549" s="6">
        <f t="shared" si="1552"/>
        <v>-3.129549049</v>
      </c>
      <c r="P1549" s="6">
        <f t="shared" si="1552"/>
        <v>-1.278893537</v>
      </c>
      <c r="Q1549" s="6"/>
      <c r="R1549" s="6"/>
      <c r="S1549" s="6"/>
      <c r="T1549" s="6"/>
      <c r="U1549" s="6"/>
      <c r="V1549" s="6"/>
      <c r="W1549" s="6"/>
      <c r="X1549" s="6"/>
      <c r="Y1549" s="6"/>
      <c r="Z1549" s="6"/>
      <c r="AA1549" s="6"/>
      <c r="AB1549" s="6"/>
      <c r="AC1549" s="6"/>
      <c r="AD1549" s="6"/>
      <c r="AE1549" s="6"/>
      <c r="AF1549" s="6"/>
      <c r="AG1549" s="6"/>
    </row>
    <row r="1550" ht="14.25" customHeight="1">
      <c r="A1550" s="6"/>
      <c r="B1550" s="6"/>
      <c r="C1550" s="6">
        <v>1543.0</v>
      </c>
      <c r="D1550" s="6"/>
      <c r="E1550" s="6">
        <v>4513456.375182848</v>
      </c>
      <c r="F1550" s="6">
        <v>429.0983642051867</v>
      </c>
      <c r="G1550" s="6">
        <v>5.3668492805817385</v>
      </c>
      <c r="H1550" s="6">
        <v>4428843.294276404</v>
      </c>
      <c r="I1550" s="6">
        <v>427.23694961228665</v>
      </c>
      <c r="J1550" s="6">
        <v>4.156660237122955</v>
      </c>
      <c r="K1550" s="6"/>
      <c r="L1550" s="6"/>
      <c r="M1550" s="6"/>
      <c r="N1550" s="6">
        <f t="shared" ref="N1550:P1550" si="1553">IF(LEN($C1550)&gt;0,H1550-E1550,"")</f>
        <v>-84613.08091</v>
      </c>
      <c r="O1550" s="6">
        <f t="shared" si="1553"/>
        <v>-1.861414593</v>
      </c>
      <c r="P1550" s="6">
        <f t="shared" si="1553"/>
        <v>-1.210189043</v>
      </c>
      <c r="Q1550" s="6"/>
      <c r="R1550" s="6"/>
      <c r="S1550" s="6"/>
      <c r="T1550" s="6"/>
      <c r="U1550" s="6"/>
      <c r="V1550" s="6"/>
      <c r="W1550" s="6"/>
      <c r="X1550" s="6"/>
      <c r="Y1550" s="6"/>
      <c r="Z1550" s="6"/>
      <c r="AA1550" s="6"/>
      <c r="AB1550" s="6"/>
      <c r="AC1550" s="6"/>
      <c r="AD1550" s="6"/>
      <c r="AE1550" s="6"/>
      <c r="AF1550" s="6"/>
      <c r="AG1550" s="6"/>
    </row>
    <row r="1551" ht="14.25" customHeight="1">
      <c r="A1551" s="6"/>
      <c r="B1551" s="6"/>
      <c r="C1551" s="6">
        <v>1544.0</v>
      </c>
      <c r="D1551" s="6"/>
      <c r="E1551" s="6">
        <v>6356924.8881684495</v>
      </c>
      <c r="F1551" s="6">
        <v>434.64760171062784</v>
      </c>
      <c r="G1551" s="6">
        <v>5.795298533666855</v>
      </c>
      <c r="H1551" s="6">
        <v>6316819.761528977</v>
      </c>
      <c r="I1551" s="6">
        <v>433.01618394136875</v>
      </c>
      <c r="J1551" s="6">
        <v>5.07975397991654</v>
      </c>
      <c r="K1551" s="6"/>
      <c r="L1551" s="6"/>
      <c r="M1551" s="6"/>
      <c r="N1551" s="6">
        <f t="shared" ref="N1551:P1551" si="1554">IF(LEN($C1551)&gt;0,H1551-E1551,"")</f>
        <v>-40105.12664</v>
      </c>
      <c r="O1551" s="6">
        <f t="shared" si="1554"/>
        <v>-1.631417769</v>
      </c>
      <c r="P1551" s="6">
        <f t="shared" si="1554"/>
        <v>-0.7155445538</v>
      </c>
      <c r="Q1551" s="6"/>
      <c r="R1551" s="6"/>
      <c r="S1551" s="6"/>
      <c r="T1551" s="6"/>
      <c r="U1551" s="6"/>
      <c r="V1551" s="6"/>
      <c r="W1551" s="6"/>
      <c r="X1551" s="6"/>
      <c r="Y1551" s="6"/>
      <c r="Z1551" s="6"/>
      <c r="AA1551" s="6"/>
      <c r="AB1551" s="6"/>
      <c r="AC1551" s="6"/>
      <c r="AD1551" s="6"/>
      <c r="AE1551" s="6"/>
      <c r="AF1551" s="6"/>
      <c r="AG1551" s="6"/>
    </row>
    <row r="1552" ht="14.25" customHeight="1">
      <c r="A1552" s="6"/>
      <c r="B1552" s="6"/>
      <c r="C1552" s="6">
        <v>1545.0</v>
      </c>
      <c r="D1552" s="6"/>
      <c r="E1552" s="6">
        <v>7048127.238006244</v>
      </c>
      <c r="F1552" s="6">
        <v>478.4099181868572</v>
      </c>
      <c r="G1552" s="6">
        <v>4.847001403071551</v>
      </c>
      <c r="H1552" s="6">
        <v>6938515.065816761</v>
      </c>
      <c r="I1552" s="6">
        <v>475.0012705748912</v>
      </c>
      <c r="J1552" s="6">
        <v>3.3046363108785584</v>
      </c>
      <c r="K1552" s="6"/>
      <c r="L1552" s="6"/>
      <c r="M1552" s="6"/>
      <c r="N1552" s="6">
        <f t="shared" ref="N1552:P1552" si="1555">IF(LEN($C1552)&gt;0,H1552-E1552,"")</f>
        <v>-109612.1722</v>
      </c>
      <c r="O1552" s="6">
        <f t="shared" si="1555"/>
        <v>-3.408647612</v>
      </c>
      <c r="P1552" s="6">
        <f t="shared" si="1555"/>
        <v>-1.542365092</v>
      </c>
      <c r="Q1552" s="6"/>
      <c r="R1552" s="6"/>
      <c r="S1552" s="6"/>
      <c r="T1552" s="6"/>
      <c r="U1552" s="6"/>
      <c r="V1552" s="6"/>
      <c r="W1552" s="6"/>
      <c r="X1552" s="6"/>
      <c r="Y1552" s="6"/>
      <c r="Z1552" s="6"/>
      <c r="AA1552" s="6"/>
      <c r="AB1552" s="6"/>
      <c r="AC1552" s="6"/>
      <c r="AD1552" s="6"/>
      <c r="AE1552" s="6"/>
      <c r="AF1552" s="6"/>
      <c r="AG1552" s="6"/>
    </row>
    <row r="1553" ht="14.25" customHeight="1">
      <c r="A1553" s="6"/>
      <c r="B1553" s="6"/>
      <c r="C1553" s="6">
        <v>1546.0</v>
      </c>
      <c r="D1553" s="6"/>
      <c r="E1553" s="6">
        <v>7470051.828172158</v>
      </c>
      <c r="F1553" s="6">
        <v>455.60015100376586</v>
      </c>
      <c r="G1553" s="6">
        <v>4.882395128648058</v>
      </c>
      <c r="H1553" s="6">
        <v>7425876.506568122</v>
      </c>
      <c r="I1553" s="6">
        <v>453.1672936109244</v>
      </c>
      <c r="J1553" s="6">
        <v>4.314058154291702</v>
      </c>
      <c r="K1553" s="6"/>
      <c r="L1553" s="6"/>
      <c r="M1553" s="6"/>
      <c r="N1553" s="6">
        <f t="shared" ref="N1553:P1553" si="1556">IF(LEN($C1553)&gt;0,H1553-E1553,"")</f>
        <v>-44175.3216</v>
      </c>
      <c r="O1553" s="6">
        <f t="shared" si="1556"/>
        <v>-2.432857393</v>
      </c>
      <c r="P1553" s="6">
        <f t="shared" si="1556"/>
        <v>-0.5683369744</v>
      </c>
      <c r="Q1553" s="6"/>
      <c r="R1553" s="6"/>
      <c r="S1553" s="6"/>
      <c r="T1553" s="6"/>
      <c r="U1553" s="6"/>
      <c r="V1553" s="6"/>
      <c r="W1553" s="6"/>
      <c r="X1553" s="6"/>
      <c r="Y1553" s="6"/>
      <c r="Z1553" s="6"/>
      <c r="AA1553" s="6"/>
      <c r="AB1553" s="6"/>
      <c r="AC1553" s="6"/>
      <c r="AD1553" s="6"/>
      <c r="AE1553" s="6"/>
      <c r="AF1553" s="6"/>
      <c r="AG1553" s="6"/>
    </row>
    <row r="1554" ht="14.25" customHeight="1">
      <c r="A1554" s="6"/>
      <c r="B1554" s="6"/>
      <c r="C1554" s="6">
        <v>1547.0</v>
      </c>
      <c r="D1554" s="6"/>
      <c r="E1554" s="6">
        <v>6231700.419712778</v>
      </c>
      <c r="F1554" s="6">
        <v>487.63738747701433</v>
      </c>
      <c r="G1554" s="6">
        <v>5.264324011115813</v>
      </c>
      <c r="H1554" s="6">
        <v>6055258.096388675</v>
      </c>
      <c r="I1554" s="6">
        <v>479.61518065122914</v>
      </c>
      <c r="J1554" s="6">
        <v>3.8531330307120486</v>
      </c>
      <c r="K1554" s="6"/>
      <c r="L1554" s="6"/>
      <c r="M1554" s="6"/>
      <c r="N1554" s="6">
        <f t="shared" ref="N1554:P1554" si="1557">IF(LEN($C1554)&gt;0,H1554-E1554,"")</f>
        <v>-176442.3233</v>
      </c>
      <c r="O1554" s="6">
        <f t="shared" si="1557"/>
        <v>-8.022206826</v>
      </c>
      <c r="P1554" s="6">
        <f t="shared" si="1557"/>
        <v>-1.41119098</v>
      </c>
      <c r="Q1554" s="6"/>
      <c r="R1554" s="6"/>
      <c r="S1554" s="6"/>
      <c r="T1554" s="6"/>
      <c r="U1554" s="6"/>
      <c r="V1554" s="6"/>
      <c r="W1554" s="6"/>
      <c r="X1554" s="6"/>
      <c r="Y1554" s="6"/>
      <c r="Z1554" s="6"/>
      <c r="AA1554" s="6"/>
      <c r="AB1554" s="6"/>
      <c r="AC1554" s="6"/>
      <c r="AD1554" s="6"/>
      <c r="AE1554" s="6"/>
      <c r="AF1554" s="6"/>
      <c r="AG1554" s="6"/>
    </row>
    <row r="1555" ht="14.25" customHeight="1">
      <c r="A1555" s="6"/>
      <c r="B1555" s="6"/>
      <c r="C1555" s="6">
        <v>1548.0</v>
      </c>
      <c r="D1555" s="6"/>
      <c r="E1555" s="6">
        <v>6288110.280449148</v>
      </c>
      <c r="F1555" s="6">
        <v>465.819050110097</v>
      </c>
      <c r="G1555" s="6">
        <v>3.946776190957861</v>
      </c>
      <c r="H1555" s="6">
        <v>6178200.726558468</v>
      </c>
      <c r="I1555" s="6">
        <v>459.1755227219706</v>
      </c>
      <c r="J1555" s="6">
        <v>2.7136688445946233</v>
      </c>
      <c r="K1555" s="6"/>
      <c r="L1555" s="6"/>
      <c r="M1555" s="6"/>
      <c r="N1555" s="6">
        <f t="shared" ref="N1555:P1555" si="1558">IF(LEN($C1555)&gt;0,H1555-E1555,"")</f>
        <v>-109909.5539</v>
      </c>
      <c r="O1555" s="6">
        <f t="shared" si="1558"/>
        <v>-6.643527388</v>
      </c>
      <c r="P1555" s="6">
        <f t="shared" si="1558"/>
        <v>-1.233107346</v>
      </c>
      <c r="Q1555" s="6"/>
      <c r="R1555" s="6"/>
      <c r="S1555" s="6"/>
      <c r="T1555" s="6"/>
      <c r="U1555" s="6"/>
      <c r="V1555" s="6"/>
      <c r="W1555" s="6"/>
      <c r="X1555" s="6"/>
      <c r="Y1555" s="6"/>
      <c r="Z1555" s="6"/>
      <c r="AA1555" s="6"/>
      <c r="AB1555" s="6"/>
      <c r="AC1555" s="6"/>
      <c r="AD1555" s="6"/>
      <c r="AE1555" s="6"/>
      <c r="AF1555" s="6"/>
      <c r="AG1555" s="6"/>
    </row>
    <row r="1556" ht="14.25" customHeight="1">
      <c r="A1556" s="6"/>
      <c r="B1556" s="6"/>
      <c r="C1556" s="6">
        <v>1549.0</v>
      </c>
      <c r="D1556" s="6"/>
      <c r="E1556" s="6">
        <v>7724271.144091988</v>
      </c>
      <c r="F1556" s="6">
        <v>468.091823656388</v>
      </c>
      <c r="G1556" s="6">
        <v>5.573031298762997</v>
      </c>
      <c r="H1556" s="6">
        <v>7588665.642971854</v>
      </c>
      <c r="I1556" s="6">
        <v>463.8008772678927</v>
      </c>
      <c r="J1556" s="6">
        <v>4.060321255478589</v>
      </c>
      <c r="K1556" s="6"/>
      <c r="L1556" s="6"/>
      <c r="M1556" s="6"/>
      <c r="N1556" s="6">
        <f t="shared" ref="N1556:P1556" si="1559">IF(LEN($C1556)&gt;0,H1556-E1556,"")</f>
        <v>-135605.5011</v>
      </c>
      <c r="O1556" s="6">
        <f t="shared" si="1559"/>
        <v>-4.290946388</v>
      </c>
      <c r="P1556" s="6">
        <f t="shared" si="1559"/>
        <v>-1.512710043</v>
      </c>
      <c r="Q1556" s="6"/>
      <c r="R1556" s="6"/>
      <c r="S1556" s="6"/>
      <c r="T1556" s="6"/>
      <c r="U1556" s="6"/>
      <c r="V1556" s="6"/>
      <c r="W1556" s="6"/>
      <c r="X1556" s="6"/>
      <c r="Y1556" s="6"/>
      <c r="Z1556" s="6"/>
      <c r="AA1556" s="6"/>
      <c r="AB1556" s="6"/>
      <c r="AC1556" s="6"/>
      <c r="AD1556" s="6"/>
      <c r="AE1556" s="6"/>
      <c r="AF1556" s="6"/>
      <c r="AG1556" s="6"/>
    </row>
    <row r="1557" ht="14.25" customHeight="1">
      <c r="A1557" s="6"/>
      <c r="B1557" s="6"/>
      <c r="C1557" s="6">
        <v>1550.0</v>
      </c>
      <c r="D1557" s="6"/>
      <c r="E1557" s="6">
        <v>6032113.951424738</v>
      </c>
      <c r="F1557" s="6">
        <v>440.9854458224823</v>
      </c>
      <c r="G1557" s="6">
        <v>4.762831695559805</v>
      </c>
      <c r="H1557" s="6">
        <v>5951221.597277563</v>
      </c>
      <c r="I1557" s="6">
        <v>437.6508148257494</v>
      </c>
      <c r="J1557" s="6">
        <v>3.688078047323235</v>
      </c>
      <c r="K1557" s="6"/>
      <c r="L1557" s="6"/>
      <c r="M1557" s="6"/>
      <c r="N1557" s="6">
        <f t="shared" ref="N1557:P1557" si="1560">IF(LEN($C1557)&gt;0,H1557-E1557,"")</f>
        <v>-80892.35415</v>
      </c>
      <c r="O1557" s="6">
        <f t="shared" si="1560"/>
        <v>-3.334630997</v>
      </c>
      <c r="P1557" s="6">
        <f t="shared" si="1560"/>
        <v>-1.074753648</v>
      </c>
      <c r="Q1557" s="6"/>
      <c r="R1557" s="6"/>
      <c r="S1557" s="6"/>
      <c r="T1557" s="6"/>
      <c r="U1557" s="6"/>
      <c r="V1557" s="6"/>
      <c r="W1557" s="6"/>
      <c r="X1557" s="6"/>
      <c r="Y1557" s="6"/>
      <c r="Z1557" s="6"/>
      <c r="AA1557" s="6"/>
      <c r="AB1557" s="6"/>
      <c r="AC1557" s="6"/>
      <c r="AD1557" s="6"/>
      <c r="AE1557" s="6"/>
      <c r="AF1557" s="6"/>
      <c r="AG1557" s="6"/>
    </row>
    <row r="1558" ht="14.25" customHeight="1">
      <c r="A1558" s="6"/>
      <c r="B1558" s="6"/>
      <c r="C1558" s="6">
        <v>1551.0</v>
      </c>
      <c r="D1558" s="6"/>
      <c r="E1558" s="6">
        <v>6042659.013379149</v>
      </c>
      <c r="F1558" s="6">
        <v>468.7415937997793</v>
      </c>
      <c r="G1558" s="6">
        <v>5.868458651197277</v>
      </c>
      <c r="H1558" s="6">
        <v>5936150.709076218</v>
      </c>
      <c r="I1558" s="6">
        <v>464.06371402503066</v>
      </c>
      <c r="J1558" s="6">
        <v>4.171016252187753</v>
      </c>
      <c r="K1558" s="6"/>
      <c r="L1558" s="6"/>
      <c r="M1558" s="6"/>
      <c r="N1558" s="6">
        <f t="shared" ref="N1558:P1558" si="1561">IF(LEN($C1558)&gt;0,H1558-E1558,"")</f>
        <v>-106508.3043</v>
      </c>
      <c r="O1558" s="6">
        <f t="shared" si="1561"/>
        <v>-4.677879775</v>
      </c>
      <c r="P1558" s="6">
        <f t="shared" si="1561"/>
        <v>-1.697442399</v>
      </c>
      <c r="Q1558" s="6"/>
      <c r="R1558" s="6"/>
      <c r="S1558" s="6"/>
      <c r="T1558" s="6"/>
      <c r="U1558" s="6"/>
      <c r="V1558" s="6"/>
      <c r="W1558" s="6"/>
      <c r="X1558" s="6"/>
      <c r="Y1558" s="6"/>
      <c r="Z1558" s="6"/>
      <c r="AA1558" s="6"/>
      <c r="AB1558" s="6"/>
      <c r="AC1558" s="6"/>
      <c r="AD1558" s="6"/>
      <c r="AE1558" s="6"/>
      <c r="AF1558" s="6"/>
      <c r="AG1558" s="6"/>
    </row>
    <row r="1559" ht="14.25" customHeight="1">
      <c r="A1559" s="6"/>
      <c r="B1559" s="6"/>
      <c r="C1559" s="6">
        <v>1552.0</v>
      </c>
      <c r="D1559" s="6"/>
      <c r="E1559" s="6">
        <v>6962500.667614401</v>
      </c>
      <c r="F1559" s="6">
        <v>439.22124402586496</v>
      </c>
      <c r="G1559" s="6">
        <v>5.336785251044004</v>
      </c>
      <c r="H1559" s="6">
        <v>6880696.039848648</v>
      </c>
      <c r="I1559" s="6">
        <v>436.1791035628108</v>
      </c>
      <c r="J1559" s="6">
        <v>4.081666418448995</v>
      </c>
      <c r="K1559" s="6"/>
      <c r="L1559" s="6"/>
      <c r="M1559" s="6"/>
      <c r="N1559" s="6">
        <f t="shared" ref="N1559:P1559" si="1562">IF(LEN($C1559)&gt;0,H1559-E1559,"")</f>
        <v>-81804.62777</v>
      </c>
      <c r="O1559" s="6">
        <f t="shared" si="1562"/>
        <v>-3.042140463</v>
      </c>
      <c r="P1559" s="6">
        <f t="shared" si="1562"/>
        <v>-1.255118833</v>
      </c>
      <c r="Q1559" s="6"/>
      <c r="R1559" s="6"/>
      <c r="S1559" s="6"/>
      <c r="T1559" s="6"/>
      <c r="U1559" s="6"/>
      <c r="V1559" s="6"/>
      <c r="W1559" s="6"/>
      <c r="X1559" s="6"/>
      <c r="Y1559" s="6"/>
      <c r="Z1559" s="6"/>
      <c r="AA1559" s="6"/>
      <c r="AB1559" s="6"/>
      <c r="AC1559" s="6"/>
      <c r="AD1559" s="6"/>
      <c r="AE1559" s="6"/>
      <c r="AF1559" s="6"/>
      <c r="AG1559" s="6"/>
    </row>
    <row r="1560" ht="14.25" customHeight="1">
      <c r="A1560" s="6"/>
      <c r="B1560" s="6"/>
      <c r="C1560" s="6">
        <v>1553.0</v>
      </c>
      <c r="D1560" s="6"/>
      <c r="E1560" s="6">
        <v>6039650.419860537</v>
      </c>
      <c r="F1560" s="6">
        <v>438.06755553126067</v>
      </c>
      <c r="G1560" s="6">
        <v>6.792864598541761</v>
      </c>
      <c r="H1560" s="6">
        <v>5909596.289137675</v>
      </c>
      <c r="I1560" s="6">
        <v>434.4995501109655</v>
      </c>
      <c r="J1560" s="6">
        <v>4.3136546373654525</v>
      </c>
      <c r="K1560" s="6"/>
      <c r="L1560" s="6"/>
      <c r="M1560" s="6"/>
      <c r="N1560" s="6">
        <f t="shared" ref="N1560:P1560" si="1563">IF(LEN($C1560)&gt;0,H1560-E1560,"")</f>
        <v>-130054.1307</v>
      </c>
      <c r="O1560" s="6">
        <f t="shared" si="1563"/>
        <v>-3.56800542</v>
      </c>
      <c r="P1560" s="6">
        <f t="shared" si="1563"/>
        <v>-2.479209961</v>
      </c>
      <c r="Q1560" s="6"/>
      <c r="R1560" s="6"/>
      <c r="S1560" s="6"/>
      <c r="T1560" s="6"/>
      <c r="U1560" s="6"/>
      <c r="V1560" s="6"/>
      <c r="W1560" s="6"/>
      <c r="X1560" s="6"/>
      <c r="Y1560" s="6"/>
      <c r="Z1560" s="6"/>
      <c r="AA1560" s="6"/>
      <c r="AB1560" s="6"/>
      <c r="AC1560" s="6"/>
      <c r="AD1560" s="6"/>
      <c r="AE1560" s="6"/>
      <c r="AF1560" s="6"/>
      <c r="AG1560" s="6"/>
    </row>
    <row r="1561" ht="14.25" customHeight="1">
      <c r="A1561" s="6"/>
      <c r="B1561" s="6"/>
      <c r="C1561" s="6">
        <v>1554.0</v>
      </c>
      <c r="D1561" s="6"/>
      <c r="E1561" s="6">
        <v>6490468.183814445</v>
      </c>
      <c r="F1561" s="6">
        <v>482.52975483273116</v>
      </c>
      <c r="G1561" s="6">
        <v>6.017548701643564</v>
      </c>
      <c r="H1561" s="6">
        <v>6421908.123365644</v>
      </c>
      <c r="I1561" s="6">
        <v>479.81138606034136</v>
      </c>
      <c r="J1561" s="6">
        <v>4.631099101755095</v>
      </c>
      <c r="K1561" s="6"/>
      <c r="L1561" s="6"/>
      <c r="M1561" s="6"/>
      <c r="N1561" s="6">
        <f t="shared" ref="N1561:P1561" si="1564">IF(LEN($C1561)&gt;0,H1561-E1561,"")</f>
        <v>-68560.06045</v>
      </c>
      <c r="O1561" s="6">
        <f t="shared" si="1564"/>
        <v>-2.718368772</v>
      </c>
      <c r="P1561" s="6">
        <f t="shared" si="1564"/>
        <v>-1.3864496</v>
      </c>
      <c r="Q1561" s="6"/>
      <c r="R1561" s="6"/>
      <c r="S1561" s="6"/>
      <c r="T1561" s="6"/>
      <c r="U1561" s="6"/>
      <c r="V1561" s="6"/>
      <c r="W1561" s="6"/>
      <c r="X1561" s="6"/>
      <c r="Y1561" s="6"/>
      <c r="Z1561" s="6"/>
      <c r="AA1561" s="6"/>
      <c r="AB1561" s="6"/>
      <c r="AC1561" s="6"/>
      <c r="AD1561" s="6"/>
      <c r="AE1561" s="6"/>
      <c r="AF1561" s="6"/>
      <c r="AG1561" s="6"/>
    </row>
    <row r="1562" ht="14.25" customHeight="1">
      <c r="A1562" s="6"/>
      <c r="B1562" s="6"/>
      <c r="C1562" s="6">
        <v>1555.0</v>
      </c>
      <c r="D1562" s="6"/>
      <c r="E1562" s="6">
        <v>7796094.478461365</v>
      </c>
      <c r="F1562" s="6">
        <v>435.20924233822916</v>
      </c>
      <c r="G1562" s="6">
        <v>4.992334254586</v>
      </c>
      <c r="H1562" s="6">
        <v>7716836.744539698</v>
      </c>
      <c r="I1562" s="6">
        <v>432.40532827320857</v>
      </c>
      <c r="J1562" s="6">
        <v>4.027952738580921</v>
      </c>
      <c r="K1562" s="6"/>
      <c r="L1562" s="6"/>
      <c r="M1562" s="6"/>
      <c r="N1562" s="6">
        <f t="shared" ref="N1562:P1562" si="1565">IF(LEN($C1562)&gt;0,H1562-E1562,"")</f>
        <v>-79257.73392</v>
      </c>
      <c r="O1562" s="6">
        <f t="shared" si="1565"/>
        <v>-2.803914065</v>
      </c>
      <c r="P1562" s="6">
        <f t="shared" si="1565"/>
        <v>-0.964381516</v>
      </c>
      <c r="Q1562" s="6"/>
      <c r="R1562" s="6"/>
      <c r="S1562" s="6"/>
      <c r="T1562" s="6"/>
      <c r="U1562" s="6"/>
      <c r="V1562" s="6"/>
      <c r="W1562" s="6"/>
      <c r="X1562" s="6"/>
      <c r="Y1562" s="6"/>
      <c r="Z1562" s="6"/>
      <c r="AA1562" s="6"/>
      <c r="AB1562" s="6"/>
      <c r="AC1562" s="6"/>
      <c r="AD1562" s="6"/>
      <c r="AE1562" s="6"/>
      <c r="AF1562" s="6"/>
      <c r="AG1562" s="6"/>
    </row>
    <row r="1563" ht="14.25" customHeight="1">
      <c r="A1563" s="6"/>
      <c r="B1563" s="6"/>
      <c r="C1563" s="6">
        <v>1556.0</v>
      </c>
      <c r="D1563" s="6"/>
      <c r="E1563" s="6">
        <v>5729941.093146881</v>
      </c>
      <c r="F1563" s="6">
        <v>449.11735562789244</v>
      </c>
      <c r="G1563" s="6">
        <v>2.8205913009773247</v>
      </c>
      <c r="H1563" s="6">
        <v>5660528.79617945</v>
      </c>
      <c r="I1563" s="6">
        <v>444.7767131961873</v>
      </c>
      <c r="J1563" s="6">
        <v>2.063306304598488</v>
      </c>
      <c r="K1563" s="6"/>
      <c r="L1563" s="6"/>
      <c r="M1563" s="6"/>
      <c r="N1563" s="6">
        <f t="shared" ref="N1563:P1563" si="1566">IF(LEN($C1563)&gt;0,H1563-E1563,"")</f>
        <v>-69412.29697</v>
      </c>
      <c r="O1563" s="6">
        <f t="shared" si="1566"/>
        <v>-4.340642432</v>
      </c>
      <c r="P1563" s="6">
        <f t="shared" si="1566"/>
        <v>-0.7572849964</v>
      </c>
      <c r="Q1563" s="6"/>
      <c r="R1563" s="6"/>
      <c r="S1563" s="6"/>
      <c r="T1563" s="6"/>
      <c r="U1563" s="6"/>
      <c r="V1563" s="6"/>
      <c r="W1563" s="6"/>
      <c r="X1563" s="6"/>
      <c r="Y1563" s="6"/>
      <c r="Z1563" s="6"/>
      <c r="AA1563" s="6"/>
      <c r="AB1563" s="6"/>
      <c r="AC1563" s="6"/>
      <c r="AD1563" s="6"/>
      <c r="AE1563" s="6"/>
      <c r="AF1563" s="6"/>
      <c r="AG1563" s="6"/>
    </row>
    <row r="1564" ht="14.25" customHeight="1">
      <c r="A1564" s="6"/>
      <c r="B1564" s="6"/>
      <c r="C1564" s="6">
        <v>1557.0</v>
      </c>
      <c r="D1564" s="6"/>
      <c r="E1564" s="6">
        <v>6147218.451473056</v>
      </c>
      <c r="F1564" s="6">
        <v>475.42634564865216</v>
      </c>
      <c r="G1564" s="6">
        <v>5.464440832244938</v>
      </c>
      <c r="H1564" s="6">
        <v>6022966.417275799</v>
      </c>
      <c r="I1564" s="6">
        <v>469.35075155796204</v>
      </c>
      <c r="J1564" s="6">
        <v>4.231881075332191</v>
      </c>
      <c r="K1564" s="6"/>
      <c r="L1564" s="6"/>
      <c r="M1564" s="6"/>
      <c r="N1564" s="6">
        <f t="shared" ref="N1564:P1564" si="1567">IF(LEN($C1564)&gt;0,H1564-E1564,"")</f>
        <v>-124252.0342</v>
      </c>
      <c r="O1564" s="6">
        <f t="shared" si="1567"/>
        <v>-6.075594091</v>
      </c>
      <c r="P1564" s="6">
        <f t="shared" si="1567"/>
        <v>-1.232559757</v>
      </c>
      <c r="Q1564" s="6"/>
      <c r="R1564" s="6"/>
      <c r="S1564" s="6"/>
      <c r="T1564" s="6"/>
      <c r="U1564" s="6"/>
      <c r="V1564" s="6"/>
      <c r="W1564" s="6"/>
      <c r="X1564" s="6"/>
      <c r="Y1564" s="6"/>
      <c r="Z1564" s="6"/>
      <c r="AA1564" s="6"/>
      <c r="AB1564" s="6"/>
      <c r="AC1564" s="6"/>
      <c r="AD1564" s="6"/>
      <c r="AE1564" s="6"/>
      <c r="AF1564" s="6"/>
      <c r="AG1564" s="6"/>
    </row>
    <row r="1565" ht="14.25" customHeight="1">
      <c r="A1565" s="6"/>
      <c r="B1565" s="6"/>
      <c r="C1565" s="6">
        <v>1558.0</v>
      </c>
      <c r="D1565" s="6"/>
      <c r="E1565" s="6">
        <v>6061999.427353456</v>
      </c>
      <c r="F1565" s="6">
        <v>471.0140512820655</v>
      </c>
      <c r="G1565" s="6">
        <v>5.887868672868078</v>
      </c>
      <c r="H1565" s="6">
        <v>5923686.833879063</v>
      </c>
      <c r="I1565" s="6">
        <v>467.2040572576142</v>
      </c>
      <c r="J1565" s="6">
        <v>3.9580696991406237</v>
      </c>
      <c r="K1565" s="6"/>
      <c r="L1565" s="6"/>
      <c r="M1565" s="6"/>
      <c r="N1565" s="6">
        <f t="shared" ref="N1565:P1565" si="1568">IF(LEN($C1565)&gt;0,H1565-E1565,"")</f>
        <v>-138312.5935</v>
      </c>
      <c r="O1565" s="6">
        <f t="shared" si="1568"/>
        <v>-3.809994024</v>
      </c>
      <c r="P1565" s="6">
        <f t="shared" si="1568"/>
        <v>-1.929798974</v>
      </c>
      <c r="Q1565" s="6"/>
      <c r="R1565" s="6"/>
      <c r="S1565" s="6"/>
      <c r="T1565" s="6"/>
      <c r="U1565" s="6"/>
      <c r="V1565" s="6"/>
      <c r="W1565" s="6"/>
      <c r="X1565" s="6"/>
      <c r="Y1565" s="6"/>
      <c r="Z1565" s="6"/>
      <c r="AA1565" s="6"/>
      <c r="AB1565" s="6"/>
      <c r="AC1565" s="6"/>
      <c r="AD1565" s="6"/>
      <c r="AE1565" s="6"/>
      <c r="AF1565" s="6"/>
      <c r="AG1565" s="6"/>
    </row>
    <row r="1566" ht="14.25" customHeight="1">
      <c r="A1566" s="6"/>
      <c r="B1566" s="6"/>
      <c r="C1566" s="6">
        <v>1559.0</v>
      </c>
      <c r="D1566" s="6"/>
      <c r="E1566" s="6">
        <v>6754394.631908785</v>
      </c>
      <c r="F1566" s="6">
        <v>455.06255638841225</v>
      </c>
      <c r="G1566" s="6">
        <v>5.710509119868027</v>
      </c>
      <c r="H1566" s="6">
        <v>6669588.988397101</v>
      </c>
      <c r="I1566" s="6">
        <v>451.7143377528992</v>
      </c>
      <c r="J1566" s="6">
        <v>4.588087779471368</v>
      </c>
      <c r="K1566" s="6"/>
      <c r="L1566" s="6"/>
      <c r="M1566" s="6"/>
      <c r="N1566" s="6">
        <f t="shared" ref="N1566:P1566" si="1569">IF(LEN($C1566)&gt;0,H1566-E1566,"")</f>
        <v>-84805.64351</v>
      </c>
      <c r="O1566" s="6">
        <f t="shared" si="1569"/>
        <v>-3.348218636</v>
      </c>
      <c r="P1566" s="6">
        <f t="shared" si="1569"/>
        <v>-1.12242134</v>
      </c>
      <c r="Q1566" s="6"/>
      <c r="R1566" s="6"/>
      <c r="S1566" s="6"/>
      <c r="T1566" s="6"/>
      <c r="U1566" s="6"/>
      <c r="V1566" s="6"/>
      <c r="W1566" s="6"/>
      <c r="X1566" s="6"/>
      <c r="Y1566" s="6"/>
      <c r="Z1566" s="6"/>
      <c r="AA1566" s="6"/>
      <c r="AB1566" s="6"/>
      <c r="AC1566" s="6"/>
      <c r="AD1566" s="6"/>
      <c r="AE1566" s="6"/>
      <c r="AF1566" s="6"/>
      <c r="AG1566" s="6"/>
    </row>
    <row r="1567" ht="14.25" customHeight="1">
      <c r="A1567" s="6"/>
      <c r="B1567" s="6"/>
      <c r="C1567" s="6">
        <v>1560.0</v>
      </c>
      <c r="D1567" s="6"/>
      <c r="E1567" s="6">
        <v>7420410.822049618</v>
      </c>
      <c r="F1567" s="6">
        <v>460.48865505003624</v>
      </c>
      <c r="G1567" s="6">
        <v>5.229629321007988</v>
      </c>
      <c r="H1567" s="6">
        <v>7365525.245166775</v>
      </c>
      <c r="I1567" s="6">
        <v>458.0500834649372</v>
      </c>
      <c r="J1567" s="6">
        <v>4.353668506913445</v>
      </c>
      <c r="K1567" s="6"/>
      <c r="L1567" s="6"/>
      <c r="M1567" s="6"/>
      <c r="N1567" s="6">
        <f t="shared" ref="N1567:P1567" si="1570">IF(LEN($C1567)&gt;0,H1567-E1567,"")</f>
        <v>-54885.57688</v>
      </c>
      <c r="O1567" s="6">
        <f t="shared" si="1570"/>
        <v>-2.438571585</v>
      </c>
      <c r="P1567" s="6">
        <f t="shared" si="1570"/>
        <v>-0.8759608141</v>
      </c>
      <c r="Q1567" s="6"/>
      <c r="R1567" s="6"/>
      <c r="S1567" s="6"/>
      <c r="T1567" s="6"/>
      <c r="U1567" s="6"/>
      <c r="V1567" s="6"/>
      <c r="W1567" s="6"/>
      <c r="X1567" s="6"/>
      <c r="Y1567" s="6"/>
      <c r="Z1567" s="6"/>
      <c r="AA1567" s="6"/>
      <c r="AB1567" s="6"/>
      <c r="AC1567" s="6"/>
      <c r="AD1567" s="6"/>
      <c r="AE1567" s="6"/>
      <c r="AF1567" s="6"/>
      <c r="AG1567" s="6"/>
    </row>
    <row r="1568" ht="14.25" customHeight="1">
      <c r="A1568" s="6"/>
      <c r="B1568" s="6"/>
      <c r="C1568" s="6">
        <v>1561.0</v>
      </c>
      <c r="D1568" s="6"/>
      <c r="E1568" s="6">
        <v>7899893.527015142</v>
      </c>
      <c r="F1568" s="6">
        <v>440.6656907372296</v>
      </c>
      <c r="G1568" s="6">
        <v>4.088771930348251</v>
      </c>
      <c r="H1568" s="6">
        <v>7792159.405934304</v>
      </c>
      <c r="I1568" s="6">
        <v>436.7146452106229</v>
      </c>
      <c r="J1568" s="6">
        <v>2.877402717081348</v>
      </c>
      <c r="K1568" s="6"/>
      <c r="L1568" s="6"/>
      <c r="M1568" s="6"/>
      <c r="N1568" s="6">
        <f t="shared" ref="N1568:P1568" si="1571">IF(LEN($C1568)&gt;0,H1568-E1568,"")</f>
        <v>-107734.1211</v>
      </c>
      <c r="O1568" s="6">
        <f t="shared" si="1571"/>
        <v>-3.951045527</v>
      </c>
      <c r="P1568" s="6">
        <f t="shared" si="1571"/>
        <v>-1.211369213</v>
      </c>
      <c r="Q1568" s="6"/>
      <c r="R1568" s="6"/>
      <c r="S1568" s="6"/>
      <c r="T1568" s="6"/>
      <c r="U1568" s="6"/>
      <c r="V1568" s="6"/>
      <c r="W1568" s="6"/>
      <c r="X1568" s="6"/>
      <c r="Y1568" s="6"/>
      <c r="Z1568" s="6"/>
      <c r="AA1568" s="6"/>
      <c r="AB1568" s="6"/>
      <c r="AC1568" s="6"/>
      <c r="AD1568" s="6"/>
      <c r="AE1568" s="6"/>
      <c r="AF1568" s="6"/>
      <c r="AG1568" s="6"/>
    </row>
    <row r="1569" ht="14.25" customHeight="1">
      <c r="A1569" s="6"/>
      <c r="B1569" s="6"/>
      <c r="C1569" s="6">
        <v>1562.0</v>
      </c>
      <c r="D1569" s="6"/>
      <c r="E1569" s="6">
        <v>7634810.353642657</v>
      </c>
      <c r="F1569" s="6">
        <v>475.0084393062963</v>
      </c>
      <c r="G1569" s="6">
        <v>4.757535967825235</v>
      </c>
      <c r="H1569" s="6">
        <v>7499506.028975431</v>
      </c>
      <c r="I1569" s="6">
        <v>467.68950013016365</v>
      </c>
      <c r="J1569" s="6">
        <v>3.5566540573271457</v>
      </c>
      <c r="K1569" s="6"/>
      <c r="L1569" s="6"/>
      <c r="M1569" s="6"/>
      <c r="N1569" s="6">
        <f t="shared" ref="N1569:P1569" si="1572">IF(LEN($C1569)&gt;0,H1569-E1569,"")</f>
        <v>-135304.3247</v>
      </c>
      <c r="O1569" s="6">
        <f t="shared" si="1572"/>
        <v>-7.318939176</v>
      </c>
      <c r="P1569" s="6">
        <f t="shared" si="1572"/>
        <v>-1.20088191</v>
      </c>
      <c r="Q1569" s="6"/>
      <c r="R1569" s="6"/>
      <c r="S1569" s="6"/>
      <c r="T1569" s="6"/>
      <c r="U1569" s="6"/>
      <c r="V1569" s="6"/>
      <c r="W1569" s="6"/>
      <c r="X1569" s="6"/>
      <c r="Y1569" s="6"/>
      <c r="Z1569" s="6"/>
      <c r="AA1569" s="6"/>
      <c r="AB1569" s="6"/>
      <c r="AC1569" s="6"/>
      <c r="AD1569" s="6"/>
      <c r="AE1569" s="6"/>
      <c r="AF1569" s="6"/>
      <c r="AG1569" s="6"/>
    </row>
    <row r="1570" ht="14.25" customHeight="1">
      <c r="A1570" s="6"/>
      <c r="B1570" s="6"/>
      <c r="C1570" s="6">
        <v>1563.0</v>
      </c>
      <c r="D1570" s="6"/>
      <c r="E1570" s="6">
        <v>6397137.5484034</v>
      </c>
      <c r="F1570" s="6">
        <v>502.86546812371034</v>
      </c>
      <c r="G1570" s="6">
        <v>5.81177894775651</v>
      </c>
      <c r="H1570" s="6">
        <v>6225498.313873679</v>
      </c>
      <c r="I1570" s="6">
        <v>495.5485729842677</v>
      </c>
      <c r="J1570" s="6">
        <v>4.1263806267823275</v>
      </c>
      <c r="K1570" s="6"/>
      <c r="L1570" s="6"/>
      <c r="M1570" s="6"/>
      <c r="N1570" s="6">
        <f t="shared" ref="N1570:P1570" si="1573">IF(LEN($C1570)&gt;0,H1570-E1570,"")</f>
        <v>-171639.2345</v>
      </c>
      <c r="O1570" s="6">
        <f t="shared" si="1573"/>
        <v>-7.316895139</v>
      </c>
      <c r="P1570" s="6">
        <f t="shared" si="1573"/>
        <v>-1.685398321</v>
      </c>
      <c r="Q1570" s="6"/>
      <c r="R1570" s="6"/>
      <c r="S1570" s="6"/>
      <c r="T1570" s="6"/>
      <c r="U1570" s="6"/>
      <c r="V1570" s="6"/>
      <c r="W1570" s="6"/>
      <c r="X1570" s="6"/>
      <c r="Y1570" s="6"/>
      <c r="Z1570" s="6"/>
      <c r="AA1570" s="6"/>
      <c r="AB1570" s="6"/>
      <c r="AC1570" s="6"/>
      <c r="AD1570" s="6"/>
      <c r="AE1570" s="6"/>
      <c r="AF1570" s="6"/>
      <c r="AG1570" s="6"/>
    </row>
    <row r="1571" ht="14.25" customHeight="1">
      <c r="A1571" s="6"/>
      <c r="B1571" s="6"/>
      <c r="C1571" s="6">
        <v>1564.0</v>
      </c>
      <c r="D1571" s="6"/>
      <c r="E1571" s="6">
        <v>7348298.571546969</v>
      </c>
      <c r="F1571" s="6">
        <v>442.54476401206927</v>
      </c>
      <c r="G1571" s="6">
        <v>5.932865186530527</v>
      </c>
      <c r="H1571" s="6">
        <v>7246933.590747</v>
      </c>
      <c r="I1571" s="6">
        <v>439.3490205595716</v>
      </c>
      <c r="J1571" s="6">
        <v>4.56283450313807</v>
      </c>
      <c r="K1571" s="6"/>
      <c r="L1571" s="6"/>
      <c r="M1571" s="6"/>
      <c r="N1571" s="6">
        <f t="shared" ref="N1571:P1571" si="1574">IF(LEN($C1571)&gt;0,H1571-E1571,"")</f>
        <v>-101364.9808</v>
      </c>
      <c r="O1571" s="6">
        <f t="shared" si="1574"/>
        <v>-3.195743452</v>
      </c>
      <c r="P1571" s="6">
        <f t="shared" si="1574"/>
        <v>-1.370030683</v>
      </c>
      <c r="Q1571" s="6"/>
      <c r="R1571" s="6"/>
      <c r="S1571" s="6"/>
      <c r="T1571" s="6"/>
      <c r="U1571" s="6"/>
      <c r="V1571" s="6"/>
      <c r="W1571" s="6"/>
      <c r="X1571" s="6"/>
      <c r="Y1571" s="6"/>
      <c r="Z1571" s="6"/>
      <c r="AA1571" s="6"/>
      <c r="AB1571" s="6"/>
      <c r="AC1571" s="6"/>
      <c r="AD1571" s="6"/>
      <c r="AE1571" s="6"/>
      <c r="AF1571" s="6"/>
      <c r="AG1571" s="6"/>
    </row>
    <row r="1572" ht="14.25" customHeight="1">
      <c r="A1572" s="6"/>
      <c r="B1572" s="6"/>
      <c r="C1572" s="6">
        <v>1565.0</v>
      </c>
      <c r="D1572" s="6"/>
      <c r="E1572" s="6">
        <v>7409239.875287281</v>
      </c>
      <c r="F1572" s="6">
        <v>465.9104455802149</v>
      </c>
      <c r="G1572" s="6">
        <v>4.263926065080009</v>
      </c>
      <c r="H1572" s="6">
        <v>7357421.104483546</v>
      </c>
      <c r="I1572" s="6">
        <v>464.02557669438573</v>
      </c>
      <c r="J1572" s="6">
        <v>3.588237997252407</v>
      </c>
      <c r="K1572" s="6"/>
      <c r="L1572" s="6"/>
      <c r="M1572" s="6"/>
      <c r="N1572" s="6">
        <f t="shared" ref="N1572:P1572" si="1575">IF(LEN($C1572)&gt;0,H1572-E1572,"")</f>
        <v>-51818.7708</v>
      </c>
      <c r="O1572" s="6">
        <f t="shared" si="1575"/>
        <v>-1.884868886</v>
      </c>
      <c r="P1572" s="6">
        <f t="shared" si="1575"/>
        <v>-0.6756880678</v>
      </c>
      <c r="Q1572" s="6"/>
      <c r="R1572" s="6"/>
      <c r="S1572" s="6"/>
      <c r="T1572" s="6"/>
      <c r="U1572" s="6"/>
      <c r="V1572" s="6"/>
      <c r="W1572" s="6"/>
      <c r="X1572" s="6"/>
      <c r="Y1572" s="6"/>
      <c r="Z1572" s="6"/>
      <c r="AA1572" s="6"/>
      <c r="AB1572" s="6"/>
      <c r="AC1572" s="6"/>
      <c r="AD1572" s="6"/>
      <c r="AE1572" s="6"/>
      <c r="AF1572" s="6"/>
      <c r="AG1572" s="6"/>
    </row>
    <row r="1573" ht="14.25" customHeight="1">
      <c r="A1573" s="6"/>
      <c r="B1573" s="6"/>
      <c r="C1573" s="6">
        <v>1566.0</v>
      </c>
      <c r="D1573" s="6"/>
      <c r="E1573" s="6">
        <v>5755587.771987541</v>
      </c>
      <c r="F1573" s="6">
        <v>498.6407911280158</v>
      </c>
      <c r="G1573" s="6">
        <v>4.201972674415896</v>
      </c>
      <c r="H1573" s="6">
        <v>5665077.022451613</v>
      </c>
      <c r="I1573" s="6">
        <v>494.1501997616071</v>
      </c>
      <c r="J1573" s="6">
        <v>3.17330290898227</v>
      </c>
      <c r="K1573" s="6"/>
      <c r="L1573" s="6"/>
      <c r="M1573" s="6"/>
      <c r="N1573" s="6">
        <f t="shared" ref="N1573:P1573" si="1576">IF(LEN($C1573)&gt;0,H1573-E1573,"")</f>
        <v>-90510.74954</v>
      </c>
      <c r="O1573" s="6">
        <f t="shared" si="1576"/>
        <v>-4.490591366</v>
      </c>
      <c r="P1573" s="6">
        <f t="shared" si="1576"/>
        <v>-1.028669765</v>
      </c>
      <c r="Q1573" s="6"/>
      <c r="R1573" s="6"/>
      <c r="S1573" s="6"/>
      <c r="T1573" s="6"/>
      <c r="U1573" s="6"/>
      <c r="V1573" s="6"/>
      <c r="W1573" s="6"/>
      <c r="X1573" s="6"/>
      <c r="Y1573" s="6"/>
      <c r="Z1573" s="6"/>
      <c r="AA1573" s="6"/>
      <c r="AB1573" s="6"/>
      <c r="AC1573" s="6"/>
      <c r="AD1573" s="6"/>
      <c r="AE1573" s="6"/>
      <c r="AF1573" s="6"/>
      <c r="AG1573" s="6"/>
    </row>
    <row r="1574" ht="14.25" customHeight="1">
      <c r="A1574" s="6"/>
      <c r="B1574" s="6"/>
      <c r="C1574" s="6">
        <v>1567.0</v>
      </c>
      <c r="D1574" s="6"/>
      <c r="E1574" s="6">
        <v>6568908.461799438</v>
      </c>
      <c r="F1574" s="6">
        <v>493.1879723720472</v>
      </c>
      <c r="G1574" s="6">
        <v>5.509607517203092</v>
      </c>
      <c r="H1574" s="6">
        <v>6420264.484909003</v>
      </c>
      <c r="I1574" s="6">
        <v>487.6211918273673</v>
      </c>
      <c r="J1574" s="6">
        <v>4.100245856173963</v>
      </c>
      <c r="K1574" s="6"/>
      <c r="L1574" s="6"/>
      <c r="M1574" s="6"/>
      <c r="N1574" s="6">
        <f t="shared" ref="N1574:P1574" si="1577">IF(LEN($C1574)&gt;0,H1574-E1574,"")</f>
        <v>-148643.9769</v>
      </c>
      <c r="O1574" s="6">
        <f t="shared" si="1577"/>
        <v>-5.566780545</v>
      </c>
      <c r="P1574" s="6">
        <f t="shared" si="1577"/>
        <v>-1.409361661</v>
      </c>
      <c r="Q1574" s="6"/>
      <c r="R1574" s="6"/>
      <c r="S1574" s="6"/>
      <c r="T1574" s="6"/>
      <c r="U1574" s="6"/>
      <c r="V1574" s="6"/>
      <c r="W1574" s="6"/>
      <c r="X1574" s="6"/>
      <c r="Y1574" s="6"/>
      <c r="Z1574" s="6"/>
      <c r="AA1574" s="6"/>
      <c r="AB1574" s="6"/>
      <c r="AC1574" s="6"/>
      <c r="AD1574" s="6"/>
      <c r="AE1574" s="6"/>
      <c r="AF1574" s="6"/>
      <c r="AG1574" s="6"/>
    </row>
    <row r="1575" ht="14.25" customHeight="1">
      <c r="A1575" s="6"/>
      <c r="B1575" s="6"/>
      <c r="C1575" s="6">
        <v>1568.0</v>
      </c>
      <c r="D1575" s="6"/>
      <c r="E1575" s="6">
        <v>7443333.254735295</v>
      </c>
      <c r="F1575" s="6">
        <v>452.98858648379615</v>
      </c>
      <c r="G1575" s="6">
        <v>5.6596768009423455</v>
      </c>
      <c r="H1575" s="6">
        <v>7323345.434103894</v>
      </c>
      <c r="I1575" s="6">
        <v>448.3620581122393</v>
      </c>
      <c r="J1575" s="6">
        <v>4.221788627093794</v>
      </c>
      <c r="K1575" s="6"/>
      <c r="L1575" s="6"/>
      <c r="M1575" s="6"/>
      <c r="N1575" s="6">
        <f t="shared" ref="N1575:P1575" si="1578">IF(LEN($C1575)&gt;0,H1575-E1575,"")</f>
        <v>-119987.8206</v>
      </c>
      <c r="O1575" s="6">
        <f t="shared" si="1578"/>
        <v>-4.626528372</v>
      </c>
      <c r="P1575" s="6">
        <f t="shared" si="1578"/>
        <v>-1.437888174</v>
      </c>
      <c r="Q1575" s="6"/>
      <c r="R1575" s="6"/>
      <c r="S1575" s="6"/>
      <c r="T1575" s="6"/>
      <c r="U1575" s="6"/>
      <c r="V1575" s="6"/>
      <c r="W1575" s="6"/>
      <c r="X1575" s="6"/>
      <c r="Y1575" s="6"/>
      <c r="Z1575" s="6"/>
      <c r="AA1575" s="6"/>
      <c r="AB1575" s="6"/>
      <c r="AC1575" s="6"/>
      <c r="AD1575" s="6"/>
      <c r="AE1575" s="6"/>
      <c r="AF1575" s="6"/>
      <c r="AG1575" s="6"/>
    </row>
    <row r="1576" ht="14.25" customHeight="1">
      <c r="A1576" s="6"/>
      <c r="B1576" s="6"/>
      <c r="C1576" s="6">
        <v>1569.0</v>
      </c>
      <c r="D1576" s="6"/>
      <c r="E1576" s="6">
        <v>8248616.441283118</v>
      </c>
      <c r="F1576" s="6">
        <v>477.4378709629264</v>
      </c>
      <c r="G1576" s="6">
        <v>5.698578893585934</v>
      </c>
      <c r="H1576" s="6">
        <v>8023117.524584592</v>
      </c>
      <c r="I1576" s="6">
        <v>469.08938108650887</v>
      </c>
      <c r="J1576" s="6">
        <v>3.7656458025950688</v>
      </c>
      <c r="K1576" s="6"/>
      <c r="L1576" s="6"/>
      <c r="M1576" s="6"/>
      <c r="N1576" s="6">
        <f t="shared" ref="N1576:P1576" si="1579">IF(LEN($C1576)&gt;0,H1576-E1576,"")</f>
        <v>-225498.9167</v>
      </c>
      <c r="O1576" s="6">
        <f t="shared" si="1579"/>
        <v>-8.348489876</v>
      </c>
      <c r="P1576" s="6">
        <f t="shared" si="1579"/>
        <v>-1.932933091</v>
      </c>
      <c r="Q1576" s="6"/>
      <c r="R1576" s="6"/>
      <c r="S1576" s="6"/>
      <c r="T1576" s="6"/>
      <c r="U1576" s="6"/>
      <c r="V1576" s="6"/>
      <c r="W1576" s="6"/>
      <c r="X1576" s="6"/>
      <c r="Y1576" s="6"/>
      <c r="Z1576" s="6"/>
      <c r="AA1576" s="6"/>
      <c r="AB1576" s="6"/>
      <c r="AC1576" s="6"/>
      <c r="AD1576" s="6"/>
      <c r="AE1576" s="6"/>
      <c r="AF1576" s="6"/>
      <c r="AG1576" s="6"/>
    </row>
    <row r="1577" ht="14.25" customHeight="1">
      <c r="A1577" s="6"/>
      <c r="B1577" s="6"/>
      <c r="C1577" s="6">
        <v>1570.0</v>
      </c>
      <c r="D1577" s="6"/>
      <c r="E1577" s="6">
        <v>5487110.598714648</v>
      </c>
      <c r="F1577" s="6">
        <v>453.2897190994168</v>
      </c>
      <c r="G1577" s="6">
        <v>5.494630485331725</v>
      </c>
      <c r="H1577" s="6">
        <v>5350267.128888657</v>
      </c>
      <c r="I1577" s="6">
        <v>446.1246242203864</v>
      </c>
      <c r="J1577" s="6">
        <v>3.873561923675602</v>
      </c>
      <c r="K1577" s="6"/>
      <c r="L1577" s="6"/>
      <c r="M1577" s="6"/>
      <c r="N1577" s="6">
        <f t="shared" ref="N1577:P1577" si="1580">IF(LEN($C1577)&gt;0,H1577-E1577,"")</f>
        <v>-136843.4698</v>
      </c>
      <c r="O1577" s="6">
        <f t="shared" si="1580"/>
        <v>-7.165094879</v>
      </c>
      <c r="P1577" s="6">
        <f t="shared" si="1580"/>
        <v>-1.621068562</v>
      </c>
      <c r="Q1577" s="6"/>
      <c r="R1577" s="6"/>
      <c r="S1577" s="6"/>
      <c r="T1577" s="6"/>
      <c r="U1577" s="6"/>
      <c r="V1577" s="6"/>
      <c r="W1577" s="6"/>
      <c r="X1577" s="6"/>
      <c r="Y1577" s="6"/>
      <c r="Z1577" s="6"/>
      <c r="AA1577" s="6"/>
      <c r="AB1577" s="6"/>
      <c r="AC1577" s="6"/>
      <c r="AD1577" s="6"/>
      <c r="AE1577" s="6"/>
      <c r="AF1577" s="6"/>
      <c r="AG1577" s="6"/>
    </row>
    <row r="1578" ht="14.25" customHeight="1">
      <c r="A1578" s="6"/>
      <c r="B1578" s="6"/>
      <c r="C1578" s="6">
        <v>1571.0</v>
      </c>
      <c r="D1578" s="6"/>
      <c r="E1578" s="6">
        <v>5641501.172484552</v>
      </c>
      <c r="F1578" s="6">
        <v>464.2036724173308</v>
      </c>
      <c r="G1578" s="6">
        <v>4.662297786504693</v>
      </c>
      <c r="H1578" s="6">
        <v>5625304.795378805</v>
      </c>
      <c r="I1578" s="6">
        <v>463.69084882129437</v>
      </c>
      <c r="J1578" s="6">
        <v>4.449968843455461</v>
      </c>
      <c r="K1578" s="6"/>
      <c r="L1578" s="6"/>
      <c r="M1578" s="6"/>
      <c r="N1578" s="6">
        <f t="shared" ref="N1578:P1578" si="1581">IF(LEN($C1578)&gt;0,H1578-E1578,"")</f>
        <v>-16196.37711</v>
      </c>
      <c r="O1578" s="6">
        <f t="shared" si="1581"/>
        <v>-0.512823596</v>
      </c>
      <c r="P1578" s="6">
        <f t="shared" si="1581"/>
        <v>-0.212328943</v>
      </c>
      <c r="Q1578" s="6"/>
      <c r="R1578" s="6"/>
      <c r="S1578" s="6"/>
      <c r="T1578" s="6"/>
      <c r="U1578" s="6"/>
      <c r="V1578" s="6"/>
      <c r="W1578" s="6"/>
      <c r="X1578" s="6"/>
      <c r="Y1578" s="6"/>
      <c r="Z1578" s="6"/>
      <c r="AA1578" s="6"/>
      <c r="AB1578" s="6"/>
      <c r="AC1578" s="6"/>
      <c r="AD1578" s="6"/>
      <c r="AE1578" s="6"/>
      <c r="AF1578" s="6"/>
      <c r="AG1578" s="6"/>
    </row>
    <row r="1579" ht="14.25" customHeight="1">
      <c r="A1579" s="6"/>
      <c r="B1579" s="6"/>
      <c r="C1579" s="6">
        <v>1572.0</v>
      </c>
      <c r="D1579" s="6"/>
      <c r="E1579" s="6">
        <v>6544894.738444831</v>
      </c>
      <c r="F1579" s="6">
        <v>478.1291782277271</v>
      </c>
      <c r="G1579" s="6">
        <v>6.439548906747993</v>
      </c>
      <c r="H1579" s="6">
        <v>6412430.620852826</v>
      </c>
      <c r="I1579" s="6">
        <v>473.5399095612668</v>
      </c>
      <c r="J1579" s="6">
        <v>4.863040860263156</v>
      </c>
      <c r="K1579" s="6"/>
      <c r="L1579" s="6"/>
      <c r="M1579" s="6"/>
      <c r="N1579" s="6">
        <f t="shared" ref="N1579:P1579" si="1582">IF(LEN($C1579)&gt;0,H1579-E1579,"")</f>
        <v>-132464.1176</v>
      </c>
      <c r="O1579" s="6">
        <f t="shared" si="1582"/>
        <v>-4.589268666</v>
      </c>
      <c r="P1579" s="6">
        <f t="shared" si="1582"/>
        <v>-1.576508046</v>
      </c>
      <c r="Q1579" s="6"/>
      <c r="R1579" s="6"/>
      <c r="S1579" s="6"/>
      <c r="T1579" s="6"/>
      <c r="U1579" s="6"/>
      <c r="V1579" s="6"/>
      <c r="W1579" s="6"/>
      <c r="X1579" s="6"/>
      <c r="Y1579" s="6"/>
      <c r="Z1579" s="6"/>
      <c r="AA1579" s="6"/>
      <c r="AB1579" s="6"/>
      <c r="AC1579" s="6"/>
      <c r="AD1579" s="6"/>
      <c r="AE1579" s="6"/>
      <c r="AF1579" s="6"/>
      <c r="AG1579" s="6"/>
    </row>
    <row r="1580" ht="14.25" customHeight="1">
      <c r="A1580" s="6"/>
      <c r="B1580" s="6"/>
      <c r="C1580" s="6">
        <v>1573.0</v>
      </c>
      <c r="D1580" s="6"/>
      <c r="E1580" s="6">
        <v>7197528.650961409</v>
      </c>
      <c r="F1580" s="6">
        <v>452.55766390301216</v>
      </c>
      <c r="G1580" s="6">
        <v>5.184742279063576</v>
      </c>
      <c r="H1580" s="6">
        <v>7074341.794611492</v>
      </c>
      <c r="I1580" s="6">
        <v>447.3020146587731</v>
      </c>
      <c r="J1580" s="6">
        <v>3.7485584068425704</v>
      </c>
      <c r="K1580" s="6"/>
      <c r="L1580" s="6"/>
      <c r="M1580" s="6"/>
      <c r="N1580" s="6">
        <f t="shared" ref="N1580:P1580" si="1583">IF(LEN($C1580)&gt;0,H1580-E1580,"")</f>
        <v>-123186.8563</v>
      </c>
      <c r="O1580" s="6">
        <f t="shared" si="1583"/>
        <v>-5.255649244</v>
      </c>
      <c r="P1580" s="6">
        <f t="shared" si="1583"/>
        <v>-1.436183872</v>
      </c>
      <c r="Q1580" s="6"/>
      <c r="R1580" s="6"/>
      <c r="S1580" s="6"/>
      <c r="T1580" s="6"/>
      <c r="U1580" s="6"/>
      <c r="V1580" s="6"/>
      <c r="W1580" s="6"/>
      <c r="X1580" s="6"/>
      <c r="Y1580" s="6"/>
      <c r="Z1580" s="6"/>
      <c r="AA1580" s="6"/>
      <c r="AB1580" s="6"/>
      <c r="AC1580" s="6"/>
      <c r="AD1580" s="6"/>
      <c r="AE1580" s="6"/>
      <c r="AF1580" s="6"/>
      <c r="AG1580" s="6"/>
    </row>
    <row r="1581" ht="14.25" customHeight="1">
      <c r="A1581" s="6"/>
      <c r="B1581" s="6"/>
      <c r="C1581" s="6">
        <v>1574.0</v>
      </c>
      <c r="D1581" s="6"/>
      <c r="E1581" s="6">
        <v>6235533.2598052425</v>
      </c>
      <c r="F1581" s="6">
        <v>454.1014616248286</v>
      </c>
      <c r="G1581" s="6">
        <v>5.627938904606312</v>
      </c>
      <c r="H1581" s="6">
        <v>6128250.776408522</v>
      </c>
      <c r="I1581" s="6">
        <v>448.462414470261</v>
      </c>
      <c r="J1581" s="6">
        <v>4.468455411141764</v>
      </c>
      <c r="K1581" s="6"/>
      <c r="L1581" s="6"/>
      <c r="M1581" s="6"/>
      <c r="N1581" s="6">
        <f t="shared" ref="N1581:P1581" si="1584">IF(LEN($C1581)&gt;0,H1581-E1581,"")</f>
        <v>-107282.4834</v>
      </c>
      <c r="O1581" s="6">
        <f t="shared" si="1584"/>
        <v>-5.639047155</v>
      </c>
      <c r="P1581" s="6">
        <f t="shared" si="1584"/>
        <v>-1.159483493</v>
      </c>
      <c r="Q1581" s="6"/>
      <c r="R1581" s="6"/>
      <c r="S1581" s="6"/>
      <c r="T1581" s="6"/>
      <c r="U1581" s="6"/>
      <c r="V1581" s="6"/>
      <c r="W1581" s="6"/>
      <c r="X1581" s="6"/>
      <c r="Y1581" s="6"/>
      <c r="Z1581" s="6"/>
      <c r="AA1581" s="6"/>
      <c r="AB1581" s="6"/>
      <c r="AC1581" s="6"/>
      <c r="AD1581" s="6"/>
      <c r="AE1581" s="6"/>
      <c r="AF1581" s="6"/>
      <c r="AG1581" s="6"/>
    </row>
    <row r="1582" ht="14.25" customHeight="1">
      <c r="A1582" s="6"/>
      <c r="B1582" s="6"/>
      <c r="C1582" s="6">
        <v>1575.0</v>
      </c>
      <c r="D1582" s="6"/>
      <c r="E1582" s="6">
        <v>1.0398521073776625E7</v>
      </c>
      <c r="F1582" s="6">
        <v>474.8130821189924</v>
      </c>
      <c r="G1582" s="6">
        <v>4.034097299272925</v>
      </c>
      <c r="H1582" s="6">
        <v>1.0271454994157713E7</v>
      </c>
      <c r="I1582" s="6">
        <v>469.8372472609724</v>
      </c>
      <c r="J1582" s="6">
        <v>3.0275107686284346</v>
      </c>
      <c r="K1582" s="6"/>
      <c r="L1582" s="6"/>
      <c r="M1582" s="6"/>
      <c r="N1582" s="6">
        <f t="shared" ref="N1582:P1582" si="1585">IF(LEN($C1582)&gt;0,H1582-E1582,"")</f>
        <v>-127066.0796</v>
      </c>
      <c r="O1582" s="6">
        <f t="shared" si="1585"/>
        <v>-4.975834858</v>
      </c>
      <c r="P1582" s="6">
        <f t="shared" si="1585"/>
        <v>-1.006586531</v>
      </c>
      <c r="Q1582" s="6"/>
      <c r="R1582" s="6"/>
      <c r="S1582" s="6"/>
      <c r="T1582" s="6"/>
      <c r="U1582" s="6"/>
      <c r="V1582" s="6"/>
      <c r="W1582" s="6"/>
      <c r="X1582" s="6"/>
      <c r="Y1582" s="6"/>
      <c r="Z1582" s="6"/>
      <c r="AA1582" s="6"/>
      <c r="AB1582" s="6"/>
      <c r="AC1582" s="6"/>
      <c r="AD1582" s="6"/>
      <c r="AE1582" s="6"/>
      <c r="AF1582" s="6"/>
      <c r="AG1582" s="6"/>
    </row>
    <row r="1583" ht="14.25" customHeight="1">
      <c r="A1583" s="6"/>
      <c r="B1583" s="6"/>
      <c r="C1583" s="6">
        <v>1576.0</v>
      </c>
      <c r="D1583" s="6"/>
      <c r="E1583" s="6">
        <v>5871505.332868109</v>
      </c>
      <c r="F1583" s="6">
        <v>469.3000817309155</v>
      </c>
      <c r="G1583" s="6">
        <v>4.414058817336117</v>
      </c>
      <c r="H1583" s="6">
        <v>5812809.654805126</v>
      </c>
      <c r="I1583" s="6">
        <v>466.61289348832474</v>
      </c>
      <c r="J1583" s="6">
        <v>3.033320972940208</v>
      </c>
      <c r="K1583" s="6"/>
      <c r="L1583" s="6"/>
      <c r="M1583" s="6"/>
      <c r="N1583" s="6">
        <f t="shared" ref="N1583:P1583" si="1586">IF(LEN($C1583)&gt;0,H1583-E1583,"")</f>
        <v>-58695.67806</v>
      </c>
      <c r="O1583" s="6">
        <f t="shared" si="1586"/>
        <v>-2.687188243</v>
      </c>
      <c r="P1583" s="6">
        <f t="shared" si="1586"/>
        <v>-1.380737844</v>
      </c>
      <c r="Q1583" s="6"/>
      <c r="R1583" s="6"/>
      <c r="S1583" s="6"/>
      <c r="T1583" s="6"/>
      <c r="U1583" s="6"/>
      <c r="V1583" s="6"/>
      <c r="W1583" s="6"/>
      <c r="X1583" s="6"/>
      <c r="Y1583" s="6"/>
      <c r="Z1583" s="6"/>
      <c r="AA1583" s="6"/>
      <c r="AB1583" s="6"/>
      <c r="AC1583" s="6"/>
      <c r="AD1583" s="6"/>
      <c r="AE1583" s="6"/>
      <c r="AF1583" s="6"/>
      <c r="AG1583" s="6"/>
    </row>
    <row r="1584" ht="14.25" customHeight="1">
      <c r="A1584" s="6"/>
      <c r="B1584" s="6"/>
      <c r="C1584" s="6">
        <v>1577.0</v>
      </c>
      <c r="D1584" s="6"/>
      <c r="E1584" s="6">
        <v>6338224.177785337</v>
      </c>
      <c r="F1584" s="6">
        <v>470.4308580331348</v>
      </c>
      <c r="G1584" s="6">
        <v>4.99710433076197</v>
      </c>
      <c r="H1584" s="6">
        <v>6249448.16396917</v>
      </c>
      <c r="I1584" s="6">
        <v>464.9022816356404</v>
      </c>
      <c r="J1584" s="6">
        <v>3.8735165653839636</v>
      </c>
      <c r="K1584" s="6"/>
      <c r="L1584" s="6"/>
      <c r="M1584" s="6"/>
      <c r="N1584" s="6">
        <f t="shared" ref="N1584:P1584" si="1587">IF(LEN($C1584)&gt;0,H1584-E1584,"")</f>
        <v>-88776.01382</v>
      </c>
      <c r="O1584" s="6">
        <f t="shared" si="1587"/>
        <v>-5.528576397</v>
      </c>
      <c r="P1584" s="6">
        <f t="shared" si="1587"/>
        <v>-1.123587765</v>
      </c>
      <c r="Q1584" s="6"/>
      <c r="R1584" s="6"/>
      <c r="S1584" s="6"/>
      <c r="T1584" s="6"/>
      <c r="U1584" s="6"/>
      <c r="V1584" s="6"/>
      <c r="W1584" s="6"/>
      <c r="X1584" s="6"/>
      <c r="Y1584" s="6"/>
      <c r="Z1584" s="6"/>
      <c r="AA1584" s="6"/>
      <c r="AB1584" s="6"/>
      <c r="AC1584" s="6"/>
      <c r="AD1584" s="6"/>
      <c r="AE1584" s="6"/>
      <c r="AF1584" s="6"/>
      <c r="AG1584" s="6"/>
    </row>
    <row r="1585" ht="14.25" customHeight="1">
      <c r="A1585" s="6"/>
      <c r="B1585" s="6"/>
      <c r="C1585" s="6">
        <v>1578.0</v>
      </c>
      <c r="D1585" s="6"/>
      <c r="E1585" s="6">
        <v>5458347.373610047</v>
      </c>
      <c r="F1585" s="6">
        <v>449.02793475200815</v>
      </c>
      <c r="G1585" s="6">
        <v>4.344033743819374</v>
      </c>
      <c r="H1585" s="6">
        <v>5351155.386392302</v>
      </c>
      <c r="I1585" s="6">
        <v>443.25493893954445</v>
      </c>
      <c r="J1585" s="6">
        <v>3.3015522043384986</v>
      </c>
      <c r="K1585" s="6"/>
      <c r="L1585" s="6"/>
      <c r="M1585" s="6"/>
      <c r="N1585" s="6">
        <f t="shared" ref="N1585:P1585" si="1588">IF(LEN($C1585)&gt;0,H1585-E1585,"")</f>
        <v>-107191.9872</v>
      </c>
      <c r="O1585" s="6">
        <f t="shared" si="1588"/>
        <v>-5.772995812</v>
      </c>
      <c r="P1585" s="6">
        <f t="shared" si="1588"/>
        <v>-1.042481539</v>
      </c>
      <c r="Q1585" s="6"/>
      <c r="R1585" s="6"/>
      <c r="S1585" s="6"/>
      <c r="T1585" s="6"/>
      <c r="U1585" s="6"/>
      <c r="V1585" s="6"/>
      <c r="W1585" s="6"/>
      <c r="X1585" s="6"/>
      <c r="Y1585" s="6"/>
      <c r="Z1585" s="6"/>
      <c r="AA1585" s="6"/>
      <c r="AB1585" s="6"/>
      <c r="AC1585" s="6"/>
      <c r="AD1585" s="6"/>
      <c r="AE1585" s="6"/>
      <c r="AF1585" s="6"/>
      <c r="AG1585" s="6"/>
    </row>
    <row r="1586" ht="14.25" customHeight="1">
      <c r="A1586" s="6"/>
      <c r="B1586" s="6"/>
      <c r="C1586" s="6">
        <v>1579.0</v>
      </c>
      <c r="D1586" s="6"/>
      <c r="E1586" s="6">
        <v>6428713.3263433445</v>
      </c>
      <c r="F1586" s="6">
        <v>469.36719756071506</v>
      </c>
      <c r="G1586" s="6">
        <v>5.221706822683872</v>
      </c>
      <c r="H1586" s="6">
        <v>6306441.540895909</v>
      </c>
      <c r="I1586" s="6">
        <v>463.59372708040394</v>
      </c>
      <c r="J1586" s="6">
        <v>3.597233194732823</v>
      </c>
      <c r="K1586" s="6"/>
      <c r="L1586" s="6"/>
      <c r="M1586" s="6"/>
      <c r="N1586" s="6">
        <f t="shared" ref="N1586:P1586" si="1589">IF(LEN($C1586)&gt;0,H1586-E1586,"")</f>
        <v>-122271.7854</v>
      </c>
      <c r="O1586" s="6">
        <f t="shared" si="1589"/>
        <v>-5.77347048</v>
      </c>
      <c r="P1586" s="6">
        <f t="shared" si="1589"/>
        <v>-1.624473628</v>
      </c>
      <c r="Q1586" s="6"/>
      <c r="R1586" s="6"/>
      <c r="S1586" s="6"/>
      <c r="T1586" s="6"/>
      <c r="U1586" s="6"/>
      <c r="V1586" s="6"/>
      <c r="W1586" s="6"/>
      <c r="X1586" s="6"/>
      <c r="Y1586" s="6"/>
      <c r="Z1586" s="6"/>
      <c r="AA1586" s="6"/>
      <c r="AB1586" s="6"/>
      <c r="AC1586" s="6"/>
      <c r="AD1586" s="6"/>
      <c r="AE1586" s="6"/>
      <c r="AF1586" s="6"/>
      <c r="AG1586" s="6"/>
    </row>
    <row r="1587" ht="14.25" customHeight="1">
      <c r="A1587" s="6"/>
      <c r="B1587" s="6"/>
      <c r="C1587" s="6">
        <v>1580.0</v>
      </c>
      <c r="D1587" s="6"/>
      <c r="E1587" s="6">
        <v>5536334.026756865</v>
      </c>
      <c r="F1587" s="6">
        <v>456.60666467742857</v>
      </c>
      <c r="G1587" s="6">
        <v>5.08312205456905</v>
      </c>
      <c r="H1587" s="6">
        <v>5488835.815611498</v>
      </c>
      <c r="I1587" s="6">
        <v>455.3823883579146</v>
      </c>
      <c r="J1587" s="6">
        <v>4.221453000820225</v>
      </c>
      <c r="K1587" s="6"/>
      <c r="L1587" s="6"/>
      <c r="M1587" s="6"/>
      <c r="N1587" s="6">
        <f t="shared" ref="N1587:P1587" si="1590">IF(LEN($C1587)&gt;0,H1587-E1587,"")</f>
        <v>-47498.21115</v>
      </c>
      <c r="O1587" s="6">
        <f t="shared" si="1590"/>
        <v>-1.22427632</v>
      </c>
      <c r="P1587" s="6">
        <f t="shared" si="1590"/>
        <v>-0.8616690537</v>
      </c>
      <c r="Q1587" s="6"/>
      <c r="R1587" s="6"/>
      <c r="S1587" s="6"/>
      <c r="T1587" s="6"/>
      <c r="U1587" s="6"/>
      <c r="V1587" s="6"/>
      <c r="W1587" s="6"/>
      <c r="X1587" s="6"/>
      <c r="Y1587" s="6"/>
      <c r="Z1587" s="6"/>
      <c r="AA1587" s="6"/>
      <c r="AB1587" s="6"/>
      <c r="AC1587" s="6"/>
      <c r="AD1587" s="6"/>
      <c r="AE1587" s="6"/>
      <c r="AF1587" s="6"/>
      <c r="AG1587" s="6"/>
    </row>
    <row r="1588" ht="14.25" customHeight="1">
      <c r="A1588" s="6"/>
      <c r="B1588" s="6"/>
      <c r="C1588" s="6">
        <v>1581.0</v>
      </c>
      <c r="D1588" s="6"/>
      <c r="E1588" s="6">
        <v>7762822.351210858</v>
      </c>
      <c r="F1588" s="6">
        <v>438.9210379348503</v>
      </c>
      <c r="G1588" s="6">
        <v>4.2739566809501275</v>
      </c>
      <c r="H1588" s="6">
        <v>7613355.893500316</v>
      </c>
      <c r="I1588" s="6">
        <v>433.83388682657875</v>
      </c>
      <c r="J1588" s="6">
        <v>2.962434113563775</v>
      </c>
      <c r="K1588" s="6"/>
      <c r="L1588" s="6"/>
      <c r="M1588" s="6"/>
      <c r="N1588" s="6">
        <f t="shared" ref="N1588:P1588" si="1591">IF(LEN($C1588)&gt;0,H1588-E1588,"")</f>
        <v>-149466.4577</v>
      </c>
      <c r="O1588" s="6">
        <f t="shared" si="1591"/>
        <v>-5.087151108</v>
      </c>
      <c r="P1588" s="6">
        <f t="shared" si="1591"/>
        <v>-1.311522567</v>
      </c>
      <c r="Q1588" s="6"/>
      <c r="R1588" s="6"/>
      <c r="S1588" s="6"/>
      <c r="T1588" s="6"/>
      <c r="U1588" s="6"/>
      <c r="V1588" s="6"/>
      <c r="W1588" s="6"/>
      <c r="X1588" s="6"/>
      <c r="Y1588" s="6"/>
      <c r="Z1588" s="6"/>
      <c r="AA1588" s="6"/>
      <c r="AB1588" s="6"/>
      <c r="AC1588" s="6"/>
      <c r="AD1588" s="6"/>
      <c r="AE1588" s="6"/>
      <c r="AF1588" s="6"/>
      <c r="AG1588" s="6"/>
    </row>
    <row r="1589" ht="14.25" customHeight="1">
      <c r="A1589" s="6"/>
      <c r="B1589" s="6"/>
      <c r="C1589" s="6">
        <v>1582.0</v>
      </c>
      <c r="D1589" s="6"/>
      <c r="E1589" s="6">
        <v>6345489.5007467605</v>
      </c>
      <c r="F1589" s="6">
        <v>434.48842201600434</v>
      </c>
      <c r="G1589" s="6">
        <v>4.343014043563929</v>
      </c>
      <c r="H1589" s="6">
        <v>6268857.430420806</v>
      </c>
      <c r="I1589" s="6">
        <v>431.55032066574717</v>
      </c>
      <c r="J1589" s="6">
        <v>3.1883450060200755</v>
      </c>
      <c r="K1589" s="6"/>
      <c r="L1589" s="6"/>
      <c r="M1589" s="6"/>
      <c r="N1589" s="6">
        <f t="shared" ref="N1589:P1589" si="1592">IF(LEN($C1589)&gt;0,H1589-E1589,"")</f>
        <v>-76632.07033</v>
      </c>
      <c r="O1589" s="6">
        <f t="shared" si="1592"/>
        <v>-2.93810135</v>
      </c>
      <c r="P1589" s="6">
        <f t="shared" si="1592"/>
        <v>-1.154669038</v>
      </c>
      <c r="Q1589" s="6"/>
      <c r="R1589" s="6"/>
      <c r="S1589" s="6"/>
      <c r="T1589" s="6"/>
      <c r="U1589" s="6"/>
      <c r="V1589" s="6"/>
      <c r="W1589" s="6"/>
      <c r="X1589" s="6"/>
      <c r="Y1589" s="6"/>
      <c r="Z1589" s="6"/>
      <c r="AA1589" s="6"/>
      <c r="AB1589" s="6"/>
      <c r="AC1589" s="6"/>
      <c r="AD1589" s="6"/>
      <c r="AE1589" s="6"/>
      <c r="AF1589" s="6"/>
      <c r="AG1589" s="6"/>
    </row>
    <row r="1590" ht="14.25" customHeight="1">
      <c r="A1590" s="6"/>
      <c r="B1590" s="6"/>
      <c r="C1590" s="6">
        <v>1583.0</v>
      </c>
      <c r="D1590" s="6"/>
      <c r="E1590" s="6">
        <v>6543412.551156695</v>
      </c>
      <c r="F1590" s="6">
        <v>445.4117898976103</v>
      </c>
      <c r="G1590" s="6">
        <v>6.712430214450858</v>
      </c>
      <c r="H1590" s="6">
        <v>6392221.4289531</v>
      </c>
      <c r="I1590" s="6">
        <v>440.3477727160518</v>
      </c>
      <c r="J1590" s="6">
        <v>4.625133082426694</v>
      </c>
      <c r="K1590" s="6"/>
      <c r="L1590" s="6"/>
      <c r="M1590" s="6"/>
      <c r="N1590" s="6">
        <f t="shared" ref="N1590:P1590" si="1593">IF(LEN($C1590)&gt;0,H1590-E1590,"")</f>
        <v>-151191.1222</v>
      </c>
      <c r="O1590" s="6">
        <f t="shared" si="1593"/>
        <v>-5.064017182</v>
      </c>
      <c r="P1590" s="6">
        <f t="shared" si="1593"/>
        <v>-2.087297132</v>
      </c>
      <c r="Q1590" s="6"/>
      <c r="R1590" s="6"/>
      <c r="S1590" s="6"/>
      <c r="T1590" s="6"/>
      <c r="U1590" s="6"/>
      <c r="V1590" s="6"/>
      <c r="W1590" s="6"/>
      <c r="X1590" s="6"/>
      <c r="Y1590" s="6"/>
      <c r="Z1590" s="6"/>
      <c r="AA1590" s="6"/>
      <c r="AB1590" s="6"/>
      <c r="AC1590" s="6"/>
      <c r="AD1590" s="6"/>
      <c r="AE1590" s="6"/>
      <c r="AF1590" s="6"/>
      <c r="AG1590" s="6"/>
    </row>
    <row r="1591" ht="14.25" customHeight="1">
      <c r="A1591" s="6"/>
      <c r="B1591" s="6"/>
      <c r="C1591" s="6">
        <v>1584.0</v>
      </c>
      <c r="D1591" s="6"/>
      <c r="E1591" s="6">
        <v>7185454.60980499</v>
      </c>
      <c r="F1591" s="6">
        <v>441.3362033805507</v>
      </c>
      <c r="G1591" s="6">
        <v>5.577958943182898</v>
      </c>
      <c r="H1591" s="6">
        <v>7068227.666449941</v>
      </c>
      <c r="I1591" s="6">
        <v>435.4600058213488</v>
      </c>
      <c r="J1591" s="6">
        <v>4.25025853501717</v>
      </c>
      <c r="K1591" s="6"/>
      <c r="L1591" s="6"/>
      <c r="M1591" s="6"/>
      <c r="N1591" s="6">
        <f t="shared" ref="N1591:P1591" si="1594">IF(LEN($C1591)&gt;0,H1591-E1591,"")</f>
        <v>-117226.9434</v>
      </c>
      <c r="O1591" s="6">
        <f t="shared" si="1594"/>
        <v>-5.876197559</v>
      </c>
      <c r="P1591" s="6">
        <f t="shared" si="1594"/>
        <v>-1.327700408</v>
      </c>
      <c r="Q1591" s="6"/>
      <c r="R1591" s="6"/>
      <c r="S1591" s="6"/>
      <c r="T1591" s="6"/>
      <c r="U1591" s="6"/>
      <c r="V1591" s="6"/>
      <c r="W1591" s="6"/>
      <c r="X1591" s="6"/>
      <c r="Y1591" s="6"/>
      <c r="Z1591" s="6"/>
      <c r="AA1591" s="6"/>
      <c r="AB1591" s="6"/>
      <c r="AC1591" s="6"/>
      <c r="AD1591" s="6"/>
      <c r="AE1591" s="6"/>
      <c r="AF1591" s="6"/>
      <c r="AG1591" s="6"/>
    </row>
    <row r="1592" ht="14.25" customHeight="1">
      <c r="A1592" s="6"/>
      <c r="B1592" s="6"/>
      <c r="C1592" s="6">
        <v>1585.0</v>
      </c>
      <c r="D1592" s="6"/>
      <c r="E1592" s="6">
        <v>9396939.660961919</v>
      </c>
      <c r="F1592" s="6">
        <v>502.01504052658106</v>
      </c>
      <c r="G1592" s="6">
        <v>4.719261837029214</v>
      </c>
      <c r="H1592" s="6">
        <v>9267144.610686988</v>
      </c>
      <c r="I1592" s="6">
        <v>497.21687109719505</v>
      </c>
      <c r="J1592" s="6">
        <v>3.3660906521295546</v>
      </c>
      <c r="K1592" s="6"/>
      <c r="L1592" s="6"/>
      <c r="M1592" s="6"/>
      <c r="N1592" s="6">
        <f t="shared" ref="N1592:P1592" si="1595">IF(LEN($C1592)&gt;0,H1592-E1592,"")</f>
        <v>-129795.0503</v>
      </c>
      <c r="O1592" s="6">
        <f t="shared" si="1595"/>
        <v>-4.798169429</v>
      </c>
      <c r="P1592" s="6">
        <f t="shared" si="1595"/>
        <v>-1.353171185</v>
      </c>
      <c r="Q1592" s="6"/>
      <c r="R1592" s="6"/>
      <c r="S1592" s="6"/>
      <c r="T1592" s="6"/>
      <c r="U1592" s="6"/>
      <c r="V1592" s="6"/>
      <c r="W1592" s="6"/>
      <c r="X1592" s="6"/>
      <c r="Y1592" s="6"/>
      <c r="Z1592" s="6"/>
      <c r="AA1592" s="6"/>
      <c r="AB1592" s="6"/>
      <c r="AC1592" s="6"/>
      <c r="AD1592" s="6"/>
      <c r="AE1592" s="6"/>
      <c r="AF1592" s="6"/>
      <c r="AG1592" s="6"/>
    </row>
    <row r="1593" ht="14.25" customHeight="1">
      <c r="A1593" s="6"/>
      <c r="B1593" s="6"/>
      <c r="C1593" s="6">
        <v>1586.0</v>
      </c>
      <c r="D1593" s="6"/>
      <c r="E1593" s="6">
        <v>6026560.402984664</v>
      </c>
      <c r="F1593" s="6">
        <v>480.38461545816176</v>
      </c>
      <c r="G1593" s="6">
        <v>4.595404340870848</v>
      </c>
      <c r="H1593" s="6">
        <v>5928570.532579198</v>
      </c>
      <c r="I1593" s="6">
        <v>474.6170816123287</v>
      </c>
      <c r="J1593" s="6">
        <v>3.249821125234141</v>
      </c>
      <c r="K1593" s="6"/>
      <c r="L1593" s="6"/>
      <c r="M1593" s="6"/>
      <c r="N1593" s="6">
        <f t="shared" ref="N1593:P1593" si="1596">IF(LEN($C1593)&gt;0,H1593-E1593,"")</f>
        <v>-97989.87041</v>
      </c>
      <c r="O1593" s="6">
        <f t="shared" si="1596"/>
        <v>-5.767533846</v>
      </c>
      <c r="P1593" s="6">
        <f t="shared" si="1596"/>
        <v>-1.345583216</v>
      </c>
      <c r="Q1593" s="6"/>
      <c r="R1593" s="6"/>
      <c r="S1593" s="6"/>
      <c r="T1593" s="6"/>
      <c r="U1593" s="6"/>
      <c r="V1593" s="6"/>
      <c r="W1593" s="6"/>
      <c r="X1593" s="6"/>
      <c r="Y1593" s="6"/>
      <c r="Z1593" s="6"/>
      <c r="AA1593" s="6"/>
      <c r="AB1593" s="6"/>
      <c r="AC1593" s="6"/>
      <c r="AD1593" s="6"/>
      <c r="AE1593" s="6"/>
      <c r="AF1593" s="6"/>
      <c r="AG1593" s="6"/>
    </row>
    <row r="1594" ht="14.25" customHeight="1">
      <c r="A1594" s="6"/>
      <c r="B1594" s="6"/>
      <c r="C1594" s="6">
        <v>1587.0</v>
      </c>
      <c r="D1594" s="6"/>
      <c r="E1594" s="6">
        <v>7255083.670123794</v>
      </c>
      <c r="F1594" s="6">
        <v>459.9324943230564</v>
      </c>
      <c r="G1594" s="6">
        <v>6.269680680445356</v>
      </c>
      <c r="H1594" s="6">
        <v>7078260.44970801</v>
      </c>
      <c r="I1594" s="6">
        <v>454.82644254117537</v>
      </c>
      <c r="J1594" s="6">
        <v>4.110564281462681</v>
      </c>
      <c r="K1594" s="6"/>
      <c r="L1594" s="6"/>
      <c r="M1594" s="6"/>
      <c r="N1594" s="6">
        <f t="shared" ref="N1594:P1594" si="1597">IF(LEN($C1594)&gt;0,H1594-E1594,"")</f>
        <v>-176823.2204</v>
      </c>
      <c r="O1594" s="6">
        <f t="shared" si="1597"/>
        <v>-5.106051782</v>
      </c>
      <c r="P1594" s="6">
        <f t="shared" si="1597"/>
        <v>-2.159116399</v>
      </c>
      <c r="Q1594" s="6"/>
      <c r="R1594" s="6"/>
      <c r="S1594" s="6"/>
      <c r="T1594" s="6"/>
      <c r="U1594" s="6"/>
      <c r="V1594" s="6"/>
      <c r="W1594" s="6"/>
      <c r="X1594" s="6"/>
      <c r="Y1594" s="6"/>
      <c r="Z1594" s="6"/>
      <c r="AA1594" s="6"/>
      <c r="AB1594" s="6"/>
      <c r="AC1594" s="6"/>
      <c r="AD1594" s="6"/>
      <c r="AE1594" s="6"/>
      <c r="AF1594" s="6"/>
      <c r="AG1594" s="6"/>
    </row>
    <row r="1595" ht="14.25" customHeight="1">
      <c r="A1595" s="6"/>
      <c r="B1595" s="6"/>
      <c r="C1595" s="6">
        <v>1588.0</v>
      </c>
      <c r="D1595" s="6"/>
      <c r="E1595" s="6">
        <v>6609038.9377179155</v>
      </c>
      <c r="F1595" s="6">
        <v>474.00794999310864</v>
      </c>
      <c r="G1595" s="6">
        <v>4.61625082300024</v>
      </c>
      <c r="H1595" s="6">
        <v>6517028.5955464505</v>
      </c>
      <c r="I1595" s="6">
        <v>470.8198015166428</v>
      </c>
      <c r="J1595" s="6">
        <v>3.3275467554886506</v>
      </c>
      <c r="K1595" s="6"/>
      <c r="L1595" s="6"/>
      <c r="M1595" s="6"/>
      <c r="N1595" s="6">
        <f t="shared" ref="N1595:P1595" si="1598">IF(LEN($C1595)&gt;0,H1595-E1595,"")</f>
        <v>-92010.34217</v>
      </c>
      <c r="O1595" s="6">
        <f t="shared" si="1598"/>
        <v>-3.188148476</v>
      </c>
      <c r="P1595" s="6">
        <f t="shared" si="1598"/>
        <v>-1.288704068</v>
      </c>
      <c r="Q1595" s="6"/>
      <c r="R1595" s="6"/>
      <c r="S1595" s="6"/>
      <c r="T1595" s="6"/>
      <c r="U1595" s="6"/>
      <c r="V1595" s="6"/>
      <c r="W1595" s="6"/>
      <c r="X1595" s="6"/>
      <c r="Y1595" s="6"/>
      <c r="Z1595" s="6"/>
      <c r="AA1595" s="6"/>
      <c r="AB1595" s="6"/>
      <c r="AC1595" s="6"/>
      <c r="AD1595" s="6"/>
      <c r="AE1595" s="6"/>
      <c r="AF1595" s="6"/>
      <c r="AG1595" s="6"/>
    </row>
    <row r="1596" ht="14.25" customHeight="1">
      <c r="A1596" s="6"/>
      <c r="B1596" s="6"/>
      <c r="C1596" s="6">
        <v>1589.0</v>
      </c>
      <c r="D1596" s="6"/>
      <c r="E1596" s="6">
        <v>6485414.691268032</v>
      </c>
      <c r="F1596" s="6">
        <v>454.94569352252256</v>
      </c>
      <c r="G1596" s="6">
        <v>4.875550681434723</v>
      </c>
      <c r="H1596" s="6">
        <v>6382887.257640355</v>
      </c>
      <c r="I1596" s="6">
        <v>452.15979142153475</v>
      </c>
      <c r="J1596" s="6">
        <v>3.7574654824743847</v>
      </c>
      <c r="K1596" s="6"/>
      <c r="L1596" s="6"/>
      <c r="M1596" s="6"/>
      <c r="N1596" s="6">
        <f t="shared" ref="N1596:P1596" si="1599">IF(LEN($C1596)&gt;0,H1596-E1596,"")</f>
        <v>-102527.4336</v>
      </c>
      <c r="O1596" s="6">
        <f t="shared" si="1599"/>
        <v>-2.785902101</v>
      </c>
      <c r="P1596" s="6">
        <f t="shared" si="1599"/>
        <v>-1.118085199</v>
      </c>
      <c r="Q1596" s="6"/>
      <c r="R1596" s="6"/>
      <c r="S1596" s="6"/>
      <c r="T1596" s="6"/>
      <c r="U1596" s="6"/>
      <c r="V1596" s="6"/>
      <c r="W1596" s="6"/>
      <c r="X1596" s="6"/>
      <c r="Y1596" s="6"/>
      <c r="Z1596" s="6"/>
      <c r="AA1596" s="6"/>
      <c r="AB1596" s="6"/>
      <c r="AC1596" s="6"/>
      <c r="AD1596" s="6"/>
      <c r="AE1596" s="6"/>
      <c r="AF1596" s="6"/>
      <c r="AG1596" s="6"/>
    </row>
    <row r="1597" ht="14.25" customHeight="1">
      <c r="A1597" s="6"/>
      <c r="B1597" s="6"/>
      <c r="C1597" s="6">
        <v>1590.0</v>
      </c>
      <c r="D1597" s="6"/>
      <c r="E1597" s="6">
        <v>7556608.613156027</v>
      </c>
      <c r="F1597" s="6">
        <v>487.55142925737795</v>
      </c>
      <c r="G1597" s="6">
        <v>3.935901121041536</v>
      </c>
      <c r="H1597" s="6">
        <v>7418287.690084043</v>
      </c>
      <c r="I1597" s="6">
        <v>481.258921376377</v>
      </c>
      <c r="J1597" s="6">
        <v>2.8016267109215036</v>
      </c>
      <c r="K1597" s="6"/>
      <c r="L1597" s="6"/>
      <c r="M1597" s="6"/>
      <c r="N1597" s="6">
        <f t="shared" ref="N1597:P1597" si="1600">IF(LEN($C1597)&gt;0,H1597-E1597,"")</f>
        <v>-138320.9231</v>
      </c>
      <c r="O1597" s="6">
        <f t="shared" si="1600"/>
        <v>-6.292507881</v>
      </c>
      <c r="P1597" s="6">
        <f t="shared" si="1600"/>
        <v>-1.13427441</v>
      </c>
      <c r="Q1597" s="6"/>
      <c r="R1597" s="6"/>
      <c r="S1597" s="6"/>
      <c r="T1597" s="6"/>
      <c r="U1597" s="6"/>
      <c r="V1597" s="6"/>
      <c r="W1597" s="6"/>
      <c r="X1597" s="6"/>
      <c r="Y1597" s="6"/>
      <c r="Z1597" s="6"/>
      <c r="AA1597" s="6"/>
      <c r="AB1597" s="6"/>
      <c r="AC1597" s="6"/>
      <c r="AD1597" s="6"/>
      <c r="AE1597" s="6"/>
      <c r="AF1597" s="6"/>
      <c r="AG1597" s="6"/>
    </row>
    <row r="1598" ht="14.25" customHeight="1">
      <c r="A1598" s="6"/>
      <c r="B1598" s="6"/>
      <c r="C1598" s="6">
        <v>1591.0</v>
      </c>
      <c r="D1598" s="6"/>
      <c r="E1598" s="6">
        <v>8677316.305532591</v>
      </c>
      <c r="F1598" s="6">
        <v>474.97036084009983</v>
      </c>
      <c r="G1598" s="6">
        <v>4.6874652683211</v>
      </c>
      <c r="H1598" s="6">
        <v>8587638.874667425</v>
      </c>
      <c r="I1598" s="6">
        <v>471.89178970527746</v>
      </c>
      <c r="J1598" s="6">
        <v>3.5709283106158702</v>
      </c>
      <c r="K1598" s="6"/>
      <c r="L1598" s="6"/>
      <c r="M1598" s="6"/>
      <c r="N1598" s="6">
        <f t="shared" ref="N1598:P1598" si="1601">IF(LEN($C1598)&gt;0,H1598-E1598,"")</f>
        <v>-89677.43087</v>
      </c>
      <c r="O1598" s="6">
        <f t="shared" si="1601"/>
        <v>-3.078571135</v>
      </c>
      <c r="P1598" s="6">
        <f t="shared" si="1601"/>
        <v>-1.116536958</v>
      </c>
      <c r="Q1598" s="6"/>
      <c r="R1598" s="6"/>
      <c r="S1598" s="6"/>
      <c r="T1598" s="6"/>
      <c r="U1598" s="6"/>
      <c r="V1598" s="6"/>
      <c r="W1598" s="6"/>
      <c r="X1598" s="6"/>
      <c r="Y1598" s="6"/>
      <c r="Z1598" s="6"/>
      <c r="AA1598" s="6"/>
      <c r="AB1598" s="6"/>
      <c r="AC1598" s="6"/>
      <c r="AD1598" s="6"/>
      <c r="AE1598" s="6"/>
      <c r="AF1598" s="6"/>
      <c r="AG1598" s="6"/>
    </row>
    <row r="1599" ht="14.25" customHeight="1">
      <c r="A1599" s="6"/>
      <c r="B1599" s="6"/>
      <c r="C1599" s="6">
        <v>1592.0</v>
      </c>
      <c r="D1599" s="6"/>
      <c r="E1599" s="6">
        <v>9026564.054668741</v>
      </c>
      <c r="F1599" s="6">
        <v>455.9350425213971</v>
      </c>
      <c r="G1599" s="6">
        <v>5.425739202072587</v>
      </c>
      <c r="H1599" s="6">
        <v>8859694.033016792</v>
      </c>
      <c r="I1599" s="6">
        <v>449.2052681757822</v>
      </c>
      <c r="J1599" s="6">
        <v>4.055161313556708</v>
      </c>
      <c r="K1599" s="6"/>
      <c r="L1599" s="6"/>
      <c r="M1599" s="6"/>
      <c r="N1599" s="6">
        <f t="shared" ref="N1599:P1599" si="1602">IF(LEN($C1599)&gt;0,H1599-E1599,"")</f>
        <v>-166870.0217</v>
      </c>
      <c r="O1599" s="6">
        <f t="shared" si="1602"/>
        <v>-6.729774346</v>
      </c>
      <c r="P1599" s="6">
        <f t="shared" si="1602"/>
        <v>-1.370577889</v>
      </c>
      <c r="Q1599" s="6"/>
      <c r="R1599" s="6"/>
      <c r="S1599" s="6"/>
      <c r="T1599" s="6"/>
      <c r="U1599" s="6"/>
      <c r="V1599" s="6"/>
      <c r="W1599" s="6"/>
      <c r="X1599" s="6"/>
      <c r="Y1599" s="6"/>
      <c r="Z1599" s="6"/>
      <c r="AA1599" s="6"/>
      <c r="AB1599" s="6"/>
      <c r="AC1599" s="6"/>
      <c r="AD1599" s="6"/>
      <c r="AE1599" s="6"/>
      <c r="AF1599" s="6"/>
      <c r="AG1599" s="6"/>
    </row>
    <row r="1600" ht="14.25" customHeight="1">
      <c r="A1600" s="6"/>
      <c r="B1600" s="6"/>
      <c r="C1600" s="6">
        <v>1593.0</v>
      </c>
      <c r="D1600" s="6"/>
      <c r="E1600" s="6">
        <v>6210823.987150733</v>
      </c>
      <c r="F1600" s="6">
        <v>454.64739144638094</v>
      </c>
      <c r="G1600" s="6">
        <v>5.2073550816592284</v>
      </c>
      <c r="H1600" s="6">
        <v>6072162.456594942</v>
      </c>
      <c r="I1600" s="6">
        <v>447.45624148994267</v>
      </c>
      <c r="J1600" s="6">
        <v>3.5787762556875258</v>
      </c>
      <c r="K1600" s="6"/>
      <c r="L1600" s="6"/>
      <c r="M1600" s="6"/>
      <c r="N1600" s="6">
        <f t="shared" ref="N1600:P1600" si="1603">IF(LEN($C1600)&gt;0,H1600-E1600,"")</f>
        <v>-138661.5306</v>
      </c>
      <c r="O1600" s="6">
        <f t="shared" si="1603"/>
        <v>-7.191149956</v>
      </c>
      <c r="P1600" s="6">
        <f t="shared" si="1603"/>
        <v>-1.628578826</v>
      </c>
      <c r="Q1600" s="6"/>
      <c r="R1600" s="6"/>
      <c r="S1600" s="6"/>
      <c r="T1600" s="6"/>
      <c r="U1600" s="6"/>
      <c r="V1600" s="6"/>
      <c r="W1600" s="6"/>
      <c r="X1600" s="6"/>
      <c r="Y1600" s="6"/>
      <c r="Z1600" s="6"/>
      <c r="AA1600" s="6"/>
      <c r="AB1600" s="6"/>
      <c r="AC1600" s="6"/>
      <c r="AD1600" s="6"/>
      <c r="AE1600" s="6"/>
      <c r="AF1600" s="6"/>
      <c r="AG1600" s="6"/>
    </row>
    <row r="1601" ht="14.25" customHeight="1">
      <c r="A1601" s="6"/>
      <c r="B1601" s="6"/>
      <c r="C1601" s="6">
        <v>1594.0</v>
      </c>
      <c r="D1601" s="6"/>
      <c r="E1601" s="6">
        <v>6508953.492014328</v>
      </c>
      <c r="F1601" s="6">
        <v>448.3756424891139</v>
      </c>
      <c r="G1601" s="6">
        <v>5.657100907267138</v>
      </c>
      <c r="H1601" s="6">
        <v>6477861.1508463025</v>
      </c>
      <c r="I1601" s="6">
        <v>447.28736406877</v>
      </c>
      <c r="J1601" s="6">
        <v>5.128315331912339</v>
      </c>
      <c r="K1601" s="6"/>
      <c r="L1601" s="6"/>
      <c r="M1601" s="6"/>
      <c r="N1601" s="6">
        <f t="shared" ref="N1601:P1601" si="1604">IF(LEN($C1601)&gt;0,H1601-E1601,"")</f>
        <v>-31092.34117</v>
      </c>
      <c r="O1601" s="6">
        <f t="shared" si="1604"/>
        <v>-1.08827842</v>
      </c>
      <c r="P1601" s="6">
        <f t="shared" si="1604"/>
        <v>-0.5287855754</v>
      </c>
      <c r="Q1601" s="6"/>
      <c r="R1601" s="6"/>
      <c r="S1601" s="6"/>
      <c r="T1601" s="6"/>
      <c r="U1601" s="6"/>
      <c r="V1601" s="6"/>
      <c r="W1601" s="6"/>
      <c r="X1601" s="6"/>
      <c r="Y1601" s="6"/>
      <c r="Z1601" s="6"/>
      <c r="AA1601" s="6"/>
      <c r="AB1601" s="6"/>
      <c r="AC1601" s="6"/>
      <c r="AD1601" s="6"/>
      <c r="AE1601" s="6"/>
      <c r="AF1601" s="6"/>
      <c r="AG1601" s="6"/>
    </row>
    <row r="1602" ht="14.25" customHeight="1">
      <c r="A1602" s="6"/>
      <c r="B1602" s="6"/>
      <c r="C1602" s="6">
        <v>1595.0</v>
      </c>
      <c r="D1602" s="6"/>
      <c r="E1602" s="6">
        <v>7811936.18390027</v>
      </c>
      <c r="F1602" s="6">
        <v>447.37188858402277</v>
      </c>
      <c r="G1602" s="6">
        <v>4.847149377514276</v>
      </c>
      <c r="H1602" s="6">
        <v>7744732.99494721</v>
      </c>
      <c r="I1602" s="6">
        <v>444.2054308748143</v>
      </c>
      <c r="J1602" s="6">
        <v>3.9546741107472134</v>
      </c>
      <c r="K1602" s="6"/>
      <c r="L1602" s="6"/>
      <c r="M1602" s="6"/>
      <c r="N1602" s="6">
        <f t="shared" ref="N1602:P1602" si="1605">IF(LEN($C1602)&gt;0,H1602-E1602,"")</f>
        <v>-67203.18895</v>
      </c>
      <c r="O1602" s="6">
        <f t="shared" si="1605"/>
        <v>-3.166457709</v>
      </c>
      <c r="P1602" s="6">
        <f t="shared" si="1605"/>
        <v>-0.8924752668</v>
      </c>
      <c r="Q1602" s="6"/>
      <c r="R1602" s="6"/>
      <c r="S1602" s="6"/>
      <c r="T1602" s="6"/>
      <c r="U1602" s="6"/>
      <c r="V1602" s="6"/>
      <c r="W1602" s="6"/>
      <c r="X1602" s="6"/>
      <c r="Y1602" s="6"/>
      <c r="Z1602" s="6"/>
      <c r="AA1602" s="6"/>
      <c r="AB1602" s="6"/>
      <c r="AC1602" s="6"/>
      <c r="AD1602" s="6"/>
      <c r="AE1602" s="6"/>
      <c r="AF1602" s="6"/>
      <c r="AG1602" s="6"/>
    </row>
    <row r="1603" ht="14.25" customHeight="1">
      <c r="A1603" s="6"/>
      <c r="B1603" s="6"/>
      <c r="C1603" s="6">
        <v>1596.0</v>
      </c>
      <c r="D1603" s="6"/>
      <c r="E1603" s="6">
        <v>6709490.735202694</v>
      </c>
      <c r="F1603" s="6">
        <v>496.0171367561087</v>
      </c>
      <c r="G1603" s="6">
        <v>6.631590223500372</v>
      </c>
      <c r="H1603" s="6">
        <v>6589560.083767207</v>
      </c>
      <c r="I1603" s="6">
        <v>491.850699920254</v>
      </c>
      <c r="J1603" s="6">
        <v>5.119641904368375</v>
      </c>
      <c r="K1603" s="6"/>
      <c r="L1603" s="6"/>
      <c r="M1603" s="6"/>
      <c r="N1603" s="6">
        <f t="shared" ref="N1603:P1603" si="1606">IF(LEN($C1603)&gt;0,H1603-E1603,"")</f>
        <v>-119930.6514</v>
      </c>
      <c r="O1603" s="6">
        <f t="shared" si="1606"/>
        <v>-4.166436836</v>
      </c>
      <c r="P1603" s="6">
        <f t="shared" si="1606"/>
        <v>-1.511948319</v>
      </c>
      <c r="Q1603" s="6"/>
      <c r="R1603" s="6"/>
      <c r="S1603" s="6"/>
      <c r="T1603" s="6"/>
      <c r="U1603" s="6"/>
      <c r="V1603" s="6"/>
      <c r="W1603" s="6"/>
      <c r="X1603" s="6"/>
      <c r="Y1603" s="6"/>
      <c r="Z1603" s="6"/>
      <c r="AA1603" s="6"/>
      <c r="AB1603" s="6"/>
      <c r="AC1603" s="6"/>
      <c r="AD1603" s="6"/>
      <c r="AE1603" s="6"/>
      <c r="AF1603" s="6"/>
      <c r="AG1603" s="6"/>
    </row>
    <row r="1604" ht="14.25" customHeight="1">
      <c r="A1604" s="6"/>
      <c r="B1604" s="6"/>
      <c r="C1604" s="6">
        <v>1597.0</v>
      </c>
      <c r="D1604" s="6"/>
      <c r="E1604" s="6">
        <v>5743700.547724006</v>
      </c>
      <c r="F1604" s="6">
        <v>481.81334119320337</v>
      </c>
      <c r="G1604" s="6">
        <v>7.4827654187329875</v>
      </c>
      <c r="H1604" s="6">
        <v>5692447.029029629</v>
      </c>
      <c r="I1604" s="6">
        <v>480.2006271530961</v>
      </c>
      <c r="J1604" s="6">
        <v>6.63751707895855</v>
      </c>
      <c r="K1604" s="6"/>
      <c r="L1604" s="6"/>
      <c r="M1604" s="6"/>
      <c r="N1604" s="6">
        <f t="shared" ref="N1604:P1604" si="1607">IF(LEN($C1604)&gt;0,H1604-E1604,"")</f>
        <v>-51253.51869</v>
      </c>
      <c r="O1604" s="6">
        <f t="shared" si="1607"/>
        <v>-1.61271404</v>
      </c>
      <c r="P1604" s="6">
        <f t="shared" si="1607"/>
        <v>-0.8452483398</v>
      </c>
      <c r="Q1604" s="6"/>
      <c r="R1604" s="6"/>
      <c r="S1604" s="6"/>
      <c r="T1604" s="6"/>
      <c r="U1604" s="6"/>
      <c r="V1604" s="6"/>
      <c r="W1604" s="6"/>
      <c r="X1604" s="6"/>
      <c r="Y1604" s="6"/>
      <c r="Z1604" s="6"/>
      <c r="AA1604" s="6"/>
      <c r="AB1604" s="6"/>
      <c r="AC1604" s="6"/>
      <c r="AD1604" s="6"/>
      <c r="AE1604" s="6"/>
      <c r="AF1604" s="6"/>
      <c r="AG1604" s="6"/>
    </row>
    <row r="1605" ht="14.25" customHeight="1">
      <c r="A1605" s="6"/>
      <c r="B1605" s="6"/>
      <c r="C1605" s="6">
        <v>1598.0</v>
      </c>
      <c r="D1605" s="6"/>
      <c r="E1605" s="6">
        <v>7779983.734558893</v>
      </c>
      <c r="F1605" s="6">
        <v>495.4536565713337</v>
      </c>
      <c r="G1605" s="6">
        <v>5.732979578050541</v>
      </c>
      <c r="H1605" s="6">
        <v>7562404.480512424</v>
      </c>
      <c r="I1605" s="6">
        <v>488.87764820750823</v>
      </c>
      <c r="J1605" s="6">
        <v>3.7307804794552895</v>
      </c>
      <c r="K1605" s="6"/>
      <c r="L1605" s="6"/>
      <c r="M1605" s="6"/>
      <c r="N1605" s="6">
        <f t="shared" ref="N1605:P1605" si="1608">IF(LEN($C1605)&gt;0,H1605-E1605,"")</f>
        <v>-217579.254</v>
      </c>
      <c r="O1605" s="6">
        <f t="shared" si="1608"/>
        <v>-6.576008364</v>
      </c>
      <c r="P1605" s="6">
        <f t="shared" si="1608"/>
        <v>-2.002199099</v>
      </c>
      <c r="Q1605" s="6"/>
      <c r="R1605" s="6"/>
      <c r="S1605" s="6"/>
      <c r="T1605" s="6"/>
      <c r="U1605" s="6"/>
      <c r="V1605" s="6"/>
      <c r="W1605" s="6"/>
      <c r="X1605" s="6"/>
      <c r="Y1605" s="6"/>
      <c r="Z1605" s="6"/>
      <c r="AA1605" s="6"/>
      <c r="AB1605" s="6"/>
      <c r="AC1605" s="6"/>
      <c r="AD1605" s="6"/>
      <c r="AE1605" s="6"/>
      <c r="AF1605" s="6"/>
      <c r="AG1605" s="6"/>
    </row>
    <row r="1606" ht="14.25" customHeight="1">
      <c r="A1606" s="6"/>
      <c r="B1606" s="6"/>
      <c r="C1606" s="6">
        <v>1599.0</v>
      </c>
      <c r="D1606" s="6"/>
      <c r="E1606" s="6">
        <v>7501300.330225328</v>
      </c>
      <c r="F1606" s="6">
        <v>504.8676289103149</v>
      </c>
      <c r="G1606" s="6">
        <v>4.777398803858038</v>
      </c>
      <c r="H1606" s="6">
        <v>7355786.802885276</v>
      </c>
      <c r="I1606" s="6">
        <v>497.71146007588163</v>
      </c>
      <c r="J1606" s="6">
        <v>3.1576919784771427</v>
      </c>
      <c r="K1606" s="6"/>
      <c r="L1606" s="6"/>
      <c r="M1606" s="6"/>
      <c r="N1606" s="6">
        <f t="shared" ref="N1606:P1606" si="1609">IF(LEN($C1606)&gt;0,H1606-E1606,"")</f>
        <v>-145513.5273</v>
      </c>
      <c r="O1606" s="6">
        <f t="shared" si="1609"/>
        <v>-7.156168834</v>
      </c>
      <c r="P1606" s="6">
        <f t="shared" si="1609"/>
        <v>-1.619706825</v>
      </c>
      <c r="Q1606" s="6"/>
      <c r="R1606" s="6"/>
      <c r="S1606" s="6"/>
      <c r="T1606" s="6"/>
      <c r="U1606" s="6"/>
      <c r="V1606" s="6"/>
      <c r="W1606" s="6"/>
      <c r="X1606" s="6"/>
      <c r="Y1606" s="6"/>
      <c r="Z1606" s="6"/>
      <c r="AA1606" s="6"/>
      <c r="AB1606" s="6"/>
      <c r="AC1606" s="6"/>
      <c r="AD1606" s="6"/>
      <c r="AE1606" s="6"/>
      <c r="AF1606" s="6"/>
      <c r="AG1606" s="6"/>
    </row>
    <row r="1607" ht="14.25" customHeight="1">
      <c r="A1607" s="6"/>
      <c r="B1607" s="6"/>
      <c r="C1607" s="6">
        <v>1600.0</v>
      </c>
      <c r="D1607" s="6"/>
      <c r="E1607" s="6">
        <v>7468483.359468946</v>
      </c>
      <c r="F1607" s="6">
        <v>467.37912437492287</v>
      </c>
      <c r="G1607" s="6">
        <v>5.481233268882833</v>
      </c>
      <c r="H1607" s="6">
        <v>7353336.427011373</v>
      </c>
      <c r="I1607" s="6">
        <v>461.8436986109847</v>
      </c>
      <c r="J1607" s="6">
        <v>4.207483643388648</v>
      </c>
      <c r="K1607" s="6"/>
      <c r="L1607" s="6"/>
      <c r="M1607" s="6"/>
      <c r="N1607" s="6">
        <f t="shared" ref="N1607:P1607" si="1610">IF(LEN($C1607)&gt;0,H1607-E1607,"")</f>
        <v>-115146.9325</v>
      </c>
      <c r="O1607" s="6">
        <f t="shared" si="1610"/>
        <v>-5.535425764</v>
      </c>
      <c r="P1607" s="6">
        <f t="shared" si="1610"/>
        <v>-1.273749625</v>
      </c>
      <c r="Q1607" s="6"/>
      <c r="R1607" s="6"/>
      <c r="S1607" s="6"/>
      <c r="T1607" s="6"/>
      <c r="U1607" s="6"/>
      <c r="V1607" s="6"/>
      <c r="W1607" s="6"/>
      <c r="X1607" s="6"/>
      <c r="Y1607" s="6"/>
      <c r="Z1607" s="6"/>
      <c r="AA1607" s="6"/>
      <c r="AB1607" s="6"/>
      <c r="AC1607" s="6"/>
      <c r="AD1607" s="6"/>
      <c r="AE1607" s="6"/>
      <c r="AF1607" s="6"/>
      <c r="AG1607" s="6"/>
    </row>
    <row r="1608" ht="14.25" customHeight="1">
      <c r="A1608" s="6"/>
      <c r="B1608" s="6"/>
      <c r="C1608" s="6">
        <v>1601.0</v>
      </c>
      <c r="D1608" s="6"/>
      <c r="E1608" s="6">
        <v>8346098.650032073</v>
      </c>
      <c r="F1608" s="6">
        <v>458.84145101659044</v>
      </c>
      <c r="G1608" s="6">
        <v>4.85395089955774</v>
      </c>
      <c r="H1608" s="6">
        <v>8230890.029190154</v>
      </c>
      <c r="I1608" s="6">
        <v>453.0593281583906</v>
      </c>
      <c r="J1608" s="6">
        <v>3.600426908736906</v>
      </c>
      <c r="K1608" s="6"/>
      <c r="L1608" s="6"/>
      <c r="M1608" s="6"/>
      <c r="N1608" s="6">
        <f t="shared" ref="N1608:P1608" si="1611">IF(LEN($C1608)&gt;0,H1608-E1608,"")</f>
        <v>-115208.6208</v>
      </c>
      <c r="O1608" s="6">
        <f t="shared" si="1611"/>
        <v>-5.782122858</v>
      </c>
      <c r="P1608" s="6">
        <f t="shared" si="1611"/>
        <v>-1.253523991</v>
      </c>
      <c r="Q1608" s="6"/>
      <c r="R1608" s="6"/>
      <c r="S1608" s="6"/>
      <c r="T1608" s="6"/>
      <c r="U1608" s="6"/>
      <c r="V1608" s="6"/>
      <c r="W1608" s="6"/>
      <c r="X1608" s="6"/>
      <c r="Y1608" s="6"/>
      <c r="Z1608" s="6"/>
      <c r="AA1608" s="6"/>
      <c r="AB1608" s="6"/>
      <c r="AC1608" s="6"/>
      <c r="AD1608" s="6"/>
      <c r="AE1608" s="6"/>
      <c r="AF1608" s="6"/>
      <c r="AG1608" s="6"/>
    </row>
    <row r="1609" ht="14.25" customHeight="1">
      <c r="A1609" s="6"/>
      <c r="B1609" s="6"/>
      <c r="C1609" s="6">
        <v>1602.0</v>
      </c>
      <c r="D1609" s="6"/>
      <c r="E1609" s="6">
        <v>5879696.572223133</v>
      </c>
      <c r="F1609" s="6">
        <v>461.74237582764215</v>
      </c>
      <c r="G1609" s="6">
        <v>5.267319312401542</v>
      </c>
      <c r="H1609" s="6">
        <v>5754073.631483558</v>
      </c>
      <c r="I1609" s="6">
        <v>457.17562348173726</v>
      </c>
      <c r="J1609" s="6">
        <v>3.8860624499850647</v>
      </c>
      <c r="K1609" s="6"/>
      <c r="L1609" s="6"/>
      <c r="M1609" s="6"/>
      <c r="N1609" s="6">
        <f t="shared" ref="N1609:P1609" si="1612">IF(LEN($C1609)&gt;0,H1609-E1609,"")</f>
        <v>-125622.9407</v>
      </c>
      <c r="O1609" s="6">
        <f t="shared" si="1612"/>
        <v>-4.566752346</v>
      </c>
      <c r="P1609" s="6">
        <f t="shared" si="1612"/>
        <v>-1.381256862</v>
      </c>
      <c r="Q1609" s="6"/>
      <c r="R1609" s="6"/>
      <c r="S1609" s="6"/>
      <c r="T1609" s="6"/>
      <c r="U1609" s="6"/>
      <c r="V1609" s="6"/>
      <c r="W1609" s="6"/>
      <c r="X1609" s="6"/>
      <c r="Y1609" s="6"/>
      <c r="Z1609" s="6"/>
      <c r="AA1609" s="6"/>
      <c r="AB1609" s="6"/>
      <c r="AC1609" s="6"/>
      <c r="AD1609" s="6"/>
      <c r="AE1609" s="6"/>
      <c r="AF1609" s="6"/>
      <c r="AG1609" s="6"/>
    </row>
    <row r="1610" ht="14.25" customHeight="1">
      <c r="A1610" s="6"/>
      <c r="B1610" s="6"/>
      <c r="C1610" s="6">
        <v>1603.0</v>
      </c>
      <c r="D1610" s="6"/>
      <c r="E1610" s="6">
        <v>5488867.635583096</v>
      </c>
      <c r="F1610" s="6">
        <v>475.01718962061244</v>
      </c>
      <c r="G1610" s="6">
        <v>4.5688452529620704</v>
      </c>
      <c r="H1610" s="6">
        <v>5430238.394064024</v>
      </c>
      <c r="I1610" s="6">
        <v>473.61618046537114</v>
      </c>
      <c r="J1610" s="6">
        <v>3.6368923237742474</v>
      </c>
      <c r="K1610" s="6"/>
      <c r="L1610" s="6"/>
      <c r="M1610" s="6"/>
      <c r="N1610" s="6">
        <f t="shared" ref="N1610:P1610" si="1613">IF(LEN($C1610)&gt;0,H1610-E1610,"")</f>
        <v>-58629.24152</v>
      </c>
      <c r="O1610" s="6">
        <f t="shared" si="1613"/>
        <v>-1.401009155</v>
      </c>
      <c r="P1610" s="6">
        <f t="shared" si="1613"/>
        <v>-0.9319529292</v>
      </c>
      <c r="Q1610" s="6"/>
      <c r="R1610" s="6"/>
      <c r="S1610" s="6"/>
      <c r="T1610" s="6"/>
      <c r="U1610" s="6"/>
      <c r="V1610" s="6"/>
      <c r="W1610" s="6"/>
      <c r="X1610" s="6"/>
      <c r="Y1610" s="6"/>
      <c r="Z1610" s="6"/>
      <c r="AA1610" s="6"/>
      <c r="AB1610" s="6"/>
      <c r="AC1610" s="6"/>
      <c r="AD1610" s="6"/>
      <c r="AE1610" s="6"/>
      <c r="AF1610" s="6"/>
      <c r="AG1610" s="6"/>
    </row>
    <row r="1611" ht="14.25" customHeight="1">
      <c r="A1611" s="6"/>
      <c r="B1611" s="6"/>
      <c r="C1611" s="6">
        <v>1604.0</v>
      </c>
      <c r="D1611" s="6"/>
      <c r="E1611" s="6">
        <v>5979354.653363128</v>
      </c>
      <c r="F1611" s="6">
        <v>475.0529763707389</v>
      </c>
      <c r="G1611" s="6">
        <v>5.71371902592261</v>
      </c>
      <c r="H1611" s="6">
        <v>5866564.353143466</v>
      </c>
      <c r="I1611" s="6">
        <v>470.31035837168804</v>
      </c>
      <c r="J1611" s="6">
        <v>4.291527563871885</v>
      </c>
      <c r="K1611" s="6"/>
      <c r="L1611" s="6"/>
      <c r="M1611" s="6"/>
      <c r="N1611" s="6">
        <f t="shared" ref="N1611:P1611" si="1614">IF(LEN($C1611)&gt;0,H1611-E1611,"")</f>
        <v>-112790.3002</v>
      </c>
      <c r="O1611" s="6">
        <f t="shared" si="1614"/>
        <v>-4.742617999</v>
      </c>
      <c r="P1611" s="6">
        <f t="shared" si="1614"/>
        <v>-1.422191462</v>
      </c>
      <c r="Q1611" s="6"/>
      <c r="R1611" s="6"/>
      <c r="S1611" s="6"/>
      <c r="T1611" s="6"/>
      <c r="U1611" s="6"/>
      <c r="V1611" s="6"/>
      <c r="W1611" s="6"/>
      <c r="X1611" s="6"/>
      <c r="Y1611" s="6"/>
      <c r="Z1611" s="6"/>
      <c r="AA1611" s="6"/>
      <c r="AB1611" s="6"/>
      <c r="AC1611" s="6"/>
      <c r="AD1611" s="6"/>
      <c r="AE1611" s="6"/>
      <c r="AF1611" s="6"/>
      <c r="AG1611" s="6"/>
    </row>
    <row r="1612" ht="14.25" customHeight="1">
      <c r="A1612" s="6"/>
      <c r="B1612" s="6"/>
      <c r="C1612" s="6">
        <v>1605.0</v>
      </c>
      <c r="D1612" s="6"/>
      <c r="E1612" s="6">
        <v>7133452.305783296</v>
      </c>
      <c r="F1612" s="6">
        <v>470.55189788095157</v>
      </c>
      <c r="G1612" s="6">
        <v>5.203042624524419</v>
      </c>
      <c r="H1612" s="6">
        <v>7033142.27661873</v>
      </c>
      <c r="I1612" s="6">
        <v>467.5418645485266</v>
      </c>
      <c r="J1612" s="6">
        <v>3.746412371562234</v>
      </c>
      <c r="K1612" s="6"/>
      <c r="L1612" s="6"/>
      <c r="M1612" s="6"/>
      <c r="N1612" s="6">
        <f t="shared" ref="N1612:P1612" si="1615">IF(LEN($C1612)&gt;0,H1612-E1612,"")</f>
        <v>-100310.0292</v>
      </c>
      <c r="O1612" s="6">
        <f t="shared" si="1615"/>
        <v>-3.010033332</v>
      </c>
      <c r="P1612" s="6">
        <f t="shared" si="1615"/>
        <v>-1.456630253</v>
      </c>
      <c r="Q1612" s="6"/>
      <c r="R1612" s="6"/>
      <c r="S1612" s="6"/>
      <c r="T1612" s="6"/>
      <c r="U1612" s="6"/>
      <c r="V1612" s="6"/>
      <c r="W1612" s="6"/>
      <c r="X1612" s="6"/>
      <c r="Y1612" s="6"/>
      <c r="Z1612" s="6"/>
      <c r="AA1612" s="6"/>
      <c r="AB1612" s="6"/>
      <c r="AC1612" s="6"/>
      <c r="AD1612" s="6"/>
      <c r="AE1612" s="6"/>
      <c r="AF1612" s="6"/>
      <c r="AG1612" s="6"/>
    </row>
    <row r="1613" ht="14.25" customHeight="1">
      <c r="A1613" s="6"/>
      <c r="B1613" s="6"/>
      <c r="C1613" s="6">
        <v>1606.0</v>
      </c>
      <c r="D1613" s="6"/>
      <c r="E1613" s="6">
        <v>6749874.00275922</v>
      </c>
      <c r="F1613" s="6">
        <v>481.44995257541376</v>
      </c>
      <c r="G1613" s="6">
        <v>4.182921217415416</v>
      </c>
      <c r="H1613" s="6">
        <v>6685220.225584647</v>
      </c>
      <c r="I1613" s="6">
        <v>478.24925421845876</v>
      </c>
      <c r="J1613" s="6">
        <v>3.0633161978859285</v>
      </c>
      <c r="K1613" s="6"/>
      <c r="L1613" s="6"/>
      <c r="M1613" s="6"/>
      <c r="N1613" s="6">
        <f t="shared" ref="N1613:P1613" si="1616">IF(LEN($C1613)&gt;0,H1613-E1613,"")</f>
        <v>-64653.77717</v>
      </c>
      <c r="O1613" s="6">
        <f t="shared" si="1616"/>
        <v>-3.200698357</v>
      </c>
      <c r="P1613" s="6">
        <f t="shared" si="1616"/>
        <v>-1.11960502</v>
      </c>
      <c r="Q1613" s="6"/>
      <c r="R1613" s="6"/>
      <c r="S1613" s="6"/>
      <c r="T1613" s="6"/>
      <c r="U1613" s="6"/>
      <c r="V1613" s="6"/>
      <c r="W1613" s="6"/>
      <c r="X1613" s="6"/>
      <c r="Y1613" s="6"/>
      <c r="Z1613" s="6"/>
      <c r="AA1613" s="6"/>
      <c r="AB1613" s="6"/>
      <c r="AC1613" s="6"/>
      <c r="AD1613" s="6"/>
      <c r="AE1613" s="6"/>
      <c r="AF1613" s="6"/>
      <c r="AG1613" s="6"/>
    </row>
    <row r="1614" ht="14.25" customHeight="1">
      <c r="A1614" s="6"/>
      <c r="B1614" s="6"/>
      <c r="C1614" s="6">
        <v>1607.0</v>
      </c>
      <c r="D1614" s="6"/>
      <c r="E1614" s="6">
        <v>9384288.185780196</v>
      </c>
      <c r="F1614" s="6">
        <v>474.10408775739546</v>
      </c>
      <c r="G1614" s="6">
        <v>5.248919504750714</v>
      </c>
      <c r="H1614" s="6">
        <v>9269566.954061363</v>
      </c>
      <c r="I1614" s="6">
        <v>469.42320340743055</v>
      </c>
      <c r="J1614" s="6">
        <v>4.170114760493201</v>
      </c>
      <c r="K1614" s="6"/>
      <c r="L1614" s="6"/>
      <c r="M1614" s="6"/>
      <c r="N1614" s="6">
        <f t="shared" ref="N1614:P1614" si="1617">IF(LEN($C1614)&gt;0,H1614-E1614,"")</f>
        <v>-114721.2317</v>
      </c>
      <c r="O1614" s="6">
        <f t="shared" si="1617"/>
        <v>-4.68088435</v>
      </c>
      <c r="P1614" s="6">
        <f t="shared" si="1617"/>
        <v>-1.078804744</v>
      </c>
      <c r="Q1614" s="6"/>
      <c r="R1614" s="6"/>
      <c r="S1614" s="6"/>
      <c r="T1614" s="6"/>
      <c r="U1614" s="6"/>
      <c r="V1614" s="6"/>
      <c r="W1614" s="6"/>
      <c r="X1614" s="6"/>
      <c r="Y1614" s="6"/>
      <c r="Z1614" s="6"/>
      <c r="AA1614" s="6"/>
      <c r="AB1614" s="6"/>
      <c r="AC1614" s="6"/>
      <c r="AD1614" s="6"/>
      <c r="AE1614" s="6"/>
      <c r="AF1614" s="6"/>
      <c r="AG1614" s="6"/>
    </row>
    <row r="1615" ht="14.25" customHeight="1">
      <c r="A1615" s="6"/>
      <c r="B1615" s="6"/>
      <c r="C1615" s="6">
        <v>1608.0</v>
      </c>
      <c r="D1615" s="6"/>
      <c r="E1615" s="6">
        <v>7320434.364349845</v>
      </c>
      <c r="F1615" s="6">
        <v>473.41024910140044</v>
      </c>
      <c r="G1615" s="6">
        <v>4.772179157948519</v>
      </c>
      <c r="H1615" s="6">
        <v>7232905.273407576</v>
      </c>
      <c r="I1615" s="6">
        <v>469.0665589877674</v>
      </c>
      <c r="J1615" s="6">
        <v>3.7027600062022152</v>
      </c>
      <c r="K1615" s="6"/>
      <c r="L1615" s="6"/>
      <c r="M1615" s="6"/>
      <c r="N1615" s="6">
        <f t="shared" ref="N1615:P1615" si="1618">IF(LEN($C1615)&gt;0,H1615-E1615,"")</f>
        <v>-87529.09094</v>
      </c>
      <c r="O1615" s="6">
        <f t="shared" si="1618"/>
        <v>-4.343690114</v>
      </c>
      <c r="P1615" s="6">
        <f t="shared" si="1618"/>
        <v>-1.069419152</v>
      </c>
      <c r="Q1615" s="6"/>
      <c r="R1615" s="6"/>
      <c r="S1615" s="6"/>
      <c r="T1615" s="6"/>
      <c r="U1615" s="6"/>
      <c r="V1615" s="6"/>
      <c r="W1615" s="6"/>
      <c r="X1615" s="6"/>
      <c r="Y1615" s="6"/>
      <c r="Z1615" s="6"/>
      <c r="AA1615" s="6"/>
      <c r="AB1615" s="6"/>
      <c r="AC1615" s="6"/>
      <c r="AD1615" s="6"/>
      <c r="AE1615" s="6"/>
      <c r="AF1615" s="6"/>
      <c r="AG1615" s="6"/>
    </row>
    <row r="1616" ht="14.25" customHeight="1">
      <c r="A1616" s="6"/>
      <c r="B1616" s="6"/>
      <c r="C1616" s="6">
        <v>1609.0</v>
      </c>
      <c r="D1616" s="6"/>
      <c r="E1616" s="6">
        <v>6951364.7089902675</v>
      </c>
      <c r="F1616" s="6">
        <v>443.7548114870051</v>
      </c>
      <c r="G1616" s="6">
        <v>5.9444084887276665</v>
      </c>
      <c r="H1616" s="6">
        <v>6817331.450250695</v>
      </c>
      <c r="I1616" s="6">
        <v>438.96121428135183</v>
      </c>
      <c r="J1616" s="6">
        <v>4.396652721171185</v>
      </c>
      <c r="K1616" s="6"/>
      <c r="L1616" s="6"/>
      <c r="M1616" s="6"/>
      <c r="N1616" s="6">
        <f t="shared" ref="N1616:P1616" si="1619">IF(LEN($C1616)&gt;0,H1616-E1616,"")</f>
        <v>-134033.2587</v>
      </c>
      <c r="O1616" s="6">
        <f t="shared" si="1619"/>
        <v>-4.793597206</v>
      </c>
      <c r="P1616" s="6">
        <f t="shared" si="1619"/>
        <v>-1.547755768</v>
      </c>
      <c r="Q1616" s="6"/>
      <c r="R1616" s="6"/>
      <c r="S1616" s="6"/>
      <c r="T1616" s="6"/>
      <c r="U1616" s="6"/>
      <c r="V1616" s="6"/>
      <c r="W1616" s="6"/>
      <c r="X1616" s="6"/>
      <c r="Y1616" s="6"/>
      <c r="Z1616" s="6"/>
      <c r="AA1616" s="6"/>
      <c r="AB1616" s="6"/>
      <c r="AC1616" s="6"/>
      <c r="AD1616" s="6"/>
      <c r="AE1616" s="6"/>
      <c r="AF1616" s="6"/>
      <c r="AG1616" s="6"/>
    </row>
    <row r="1617" ht="14.25" customHeight="1">
      <c r="A1617" s="6"/>
      <c r="B1617" s="6"/>
      <c r="C1617" s="6">
        <v>1610.0</v>
      </c>
      <c r="D1617" s="6"/>
      <c r="E1617" s="6">
        <v>9473930.249329036</v>
      </c>
      <c r="F1617" s="6">
        <v>496.54006232742825</v>
      </c>
      <c r="G1617" s="6">
        <v>6.040189811979453</v>
      </c>
      <c r="H1617" s="6">
        <v>9331550.61644256</v>
      </c>
      <c r="I1617" s="6">
        <v>491.41551220604026</v>
      </c>
      <c r="J1617" s="6">
        <v>4.414961738986655</v>
      </c>
      <c r="K1617" s="6"/>
      <c r="L1617" s="6"/>
      <c r="M1617" s="6"/>
      <c r="N1617" s="6">
        <f t="shared" ref="N1617:P1617" si="1620">IF(LEN($C1617)&gt;0,H1617-E1617,"")</f>
        <v>-142379.6329</v>
      </c>
      <c r="O1617" s="6">
        <f t="shared" si="1620"/>
        <v>-5.124550121</v>
      </c>
      <c r="P1617" s="6">
        <f t="shared" si="1620"/>
        <v>-1.625228073</v>
      </c>
      <c r="Q1617" s="6"/>
      <c r="R1617" s="6"/>
      <c r="S1617" s="6"/>
      <c r="T1617" s="6"/>
      <c r="U1617" s="6"/>
      <c r="V1617" s="6"/>
      <c r="W1617" s="6"/>
      <c r="X1617" s="6"/>
      <c r="Y1617" s="6"/>
      <c r="Z1617" s="6"/>
      <c r="AA1617" s="6"/>
      <c r="AB1617" s="6"/>
      <c r="AC1617" s="6"/>
      <c r="AD1617" s="6"/>
      <c r="AE1617" s="6"/>
      <c r="AF1617" s="6"/>
      <c r="AG1617" s="6"/>
    </row>
    <row r="1618" ht="14.25" customHeight="1">
      <c r="A1618" s="6"/>
      <c r="B1618" s="6"/>
      <c r="C1618" s="6">
        <v>1611.0</v>
      </c>
      <c r="D1618" s="6"/>
      <c r="E1618" s="6">
        <v>7029838.290135518</v>
      </c>
      <c r="F1618" s="6">
        <v>483.5083096849364</v>
      </c>
      <c r="G1618" s="6">
        <v>4.676562312847942</v>
      </c>
      <c r="H1618" s="6">
        <v>6890277.286493291</v>
      </c>
      <c r="I1618" s="6">
        <v>478.346541213122</v>
      </c>
      <c r="J1618" s="6">
        <v>3.0842404542238224</v>
      </c>
      <c r="K1618" s="6"/>
      <c r="L1618" s="6"/>
      <c r="M1618" s="6"/>
      <c r="N1618" s="6">
        <f t="shared" ref="N1618:P1618" si="1621">IF(LEN($C1618)&gt;0,H1618-E1618,"")</f>
        <v>-139561.0036</v>
      </c>
      <c r="O1618" s="6">
        <f t="shared" si="1621"/>
        <v>-5.161768472</v>
      </c>
      <c r="P1618" s="6">
        <f t="shared" si="1621"/>
        <v>-1.592321859</v>
      </c>
      <c r="Q1618" s="6"/>
      <c r="R1618" s="6"/>
      <c r="S1618" s="6"/>
      <c r="T1618" s="6"/>
      <c r="U1618" s="6"/>
      <c r="V1618" s="6"/>
      <c r="W1618" s="6"/>
      <c r="X1618" s="6"/>
      <c r="Y1618" s="6"/>
      <c r="Z1618" s="6"/>
      <c r="AA1618" s="6"/>
      <c r="AB1618" s="6"/>
      <c r="AC1618" s="6"/>
      <c r="AD1618" s="6"/>
      <c r="AE1618" s="6"/>
      <c r="AF1618" s="6"/>
      <c r="AG1618" s="6"/>
    </row>
    <row r="1619" ht="14.25" customHeight="1">
      <c r="A1619" s="6"/>
      <c r="B1619" s="6"/>
      <c r="C1619" s="6">
        <v>1612.0</v>
      </c>
      <c r="D1619" s="6"/>
      <c r="E1619" s="6">
        <v>7626278.503474265</v>
      </c>
      <c r="F1619" s="6">
        <v>451.7317952809524</v>
      </c>
      <c r="G1619" s="6">
        <v>4.9645077590645545</v>
      </c>
      <c r="H1619" s="6">
        <v>7537590.565189919</v>
      </c>
      <c r="I1619" s="6">
        <v>449.3419333884417</v>
      </c>
      <c r="J1619" s="6">
        <v>3.855123646815163</v>
      </c>
      <c r="K1619" s="6"/>
      <c r="L1619" s="6"/>
      <c r="M1619" s="6"/>
      <c r="N1619" s="6">
        <f t="shared" ref="N1619:P1619" si="1622">IF(LEN($C1619)&gt;0,H1619-E1619,"")</f>
        <v>-88687.93828</v>
      </c>
      <c r="O1619" s="6">
        <f t="shared" si="1622"/>
        <v>-2.389861893</v>
      </c>
      <c r="P1619" s="6">
        <f t="shared" si="1622"/>
        <v>-1.109384112</v>
      </c>
      <c r="Q1619" s="6"/>
      <c r="R1619" s="6"/>
      <c r="S1619" s="6"/>
      <c r="T1619" s="6"/>
      <c r="U1619" s="6"/>
      <c r="V1619" s="6"/>
      <c r="W1619" s="6"/>
      <c r="X1619" s="6"/>
      <c r="Y1619" s="6"/>
      <c r="Z1619" s="6"/>
      <c r="AA1619" s="6"/>
      <c r="AB1619" s="6"/>
      <c r="AC1619" s="6"/>
      <c r="AD1619" s="6"/>
      <c r="AE1619" s="6"/>
      <c r="AF1619" s="6"/>
      <c r="AG1619" s="6"/>
    </row>
    <row r="1620" ht="14.25" customHeight="1">
      <c r="A1620" s="6"/>
      <c r="B1620" s="6"/>
      <c r="C1620" s="6">
        <v>1613.0</v>
      </c>
      <c r="D1620" s="6"/>
      <c r="E1620" s="6">
        <v>6574067.501170775</v>
      </c>
      <c r="F1620" s="6">
        <v>478.7349933172477</v>
      </c>
      <c r="G1620" s="6">
        <v>6.0435801008216945</v>
      </c>
      <c r="H1620" s="6">
        <v>6444976.801645318</v>
      </c>
      <c r="I1620" s="6">
        <v>474.79489350847797</v>
      </c>
      <c r="J1620" s="6">
        <v>3.6782056269390626</v>
      </c>
      <c r="K1620" s="6"/>
      <c r="L1620" s="6"/>
      <c r="M1620" s="6"/>
      <c r="N1620" s="6">
        <f t="shared" ref="N1620:P1620" si="1623">IF(LEN($C1620)&gt;0,H1620-E1620,"")</f>
        <v>-129090.6995</v>
      </c>
      <c r="O1620" s="6">
        <f t="shared" si="1623"/>
        <v>-3.940099809</v>
      </c>
      <c r="P1620" s="6">
        <f t="shared" si="1623"/>
        <v>-2.365374474</v>
      </c>
      <c r="Q1620" s="6"/>
      <c r="R1620" s="6"/>
      <c r="S1620" s="6"/>
      <c r="T1620" s="6"/>
      <c r="U1620" s="6"/>
      <c r="V1620" s="6"/>
      <c r="W1620" s="6"/>
      <c r="X1620" s="6"/>
      <c r="Y1620" s="6"/>
      <c r="Z1620" s="6"/>
      <c r="AA1620" s="6"/>
      <c r="AB1620" s="6"/>
      <c r="AC1620" s="6"/>
      <c r="AD1620" s="6"/>
      <c r="AE1620" s="6"/>
      <c r="AF1620" s="6"/>
      <c r="AG1620" s="6"/>
    </row>
    <row r="1621" ht="14.25" customHeight="1">
      <c r="A1621" s="6"/>
      <c r="B1621" s="6"/>
      <c r="C1621" s="6">
        <v>1614.0</v>
      </c>
      <c r="D1621" s="6"/>
      <c r="E1621" s="6">
        <v>8600921.748664165</v>
      </c>
      <c r="F1621" s="6">
        <v>484.54939717559995</v>
      </c>
      <c r="G1621" s="6">
        <v>5.065937953749231</v>
      </c>
      <c r="H1621" s="6">
        <v>8423487.788243573</v>
      </c>
      <c r="I1621" s="6">
        <v>476.74194981899456</v>
      </c>
      <c r="J1621" s="6">
        <v>3.4505981271855135</v>
      </c>
      <c r="K1621" s="6"/>
      <c r="L1621" s="6"/>
      <c r="M1621" s="6"/>
      <c r="N1621" s="6">
        <f t="shared" ref="N1621:P1621" si="1624">IF(LEN($C1621)&gt;0,H1621-E1621,"")</f>
        <v>-177433.9604</v>
      </c>
      <c r="O1621" s="6">
        <f t="shared" si="1624"/>
        <v>-7.807447357</v>
      </c>
      <c r="P1621" s="6">
        <f t="shared" si="1624"/>
        <v>-1.615339827</v>
      </c>
      <c r="Q1621" s="6"/>
      <c r="R1621" s="6"/>
      <c r="S1621" s="6"/>
      <c r="T1621" s="6"/>
      <c r="U1621" s="6"/>
      <c r="V1621" s="6"/>
      <c r="W1621" s="6"/>
      <c r="X1621" s="6"/>
      <c r="Y1621" s="6"/>
      <c r="Z1621" s="6"/>
      <c r="AA1621" s="6"/>
      <c r="AB1621" s="6"/>
      <c r="AC1621" s="6"/>
      <c r="AD1621" s="6"/>
      <c r="AE1621" s="6"/>
      <c r="AF1621" s="6"/>
      <c r="AG1621" s="6"/>
    </row>
    <row r="1622" ht="14.25" customHeight="1">
      <c r="A1622" s="6"/>
      <c r="B1622" s="6"/>
      <c r="C1622" s="6">
        <v>1615.0</v>
      </c>
      <c r="D1622" s="6"/>
      <c r="E1622" s="6">
        <v>8562367.33762925</v>
      </c>
      <c r="F1622" s="6">
        <v>492.6680542135004</v>
      </c>
      <c r="G1622" s="6">
        <v>4.23724670515292</v>
      </c>
      <c r="H1622" s="6">
        <v>8500237.419928966</v>
      </c>
      <c r="I1622" s="6">
        <v>489.2803030532373</v>
      </c>
      <c r="J1622" s="6">
        <v>3.6204712843693287</v>
      </c>
      <c r="K1622" s="6"/>
      <c r="L1622" s="6"/>
      <c r="M1622" s="6"/>
      <c r="N1622" s="6">
        <f t="shared" ref="N1622:P1622" si="1625">IF(LEN($C1622)&gt;0,H1622-E1622,"")</f>
        <v>-62129.9177</v>
      </c>
      <c r="O1622" s="6">
        <f t="shared" si="1625"/>
        <v>-3.38775116</v>
      </c>
      <c r="P1622" s="6">
        <f t="shared" si="1625"/>
        <v>-0.6167754208</v>
      </c>
      <c r="Q1622" s="6"/>
      <c r="R1622" s="6"/>
      <c r="S1622" s="6"/>
      <c r="T1622" s="6"/>
      <c r="U1622" s="6"/>
      <c r="V1622" s="6"/>
      <c r="W1622" s="6"/>
      <c r="X1622" s="6"/>
      <c r="Y1622" s="6"/>
      <c r="Z1622" s="6"/>
      <c r="AA1622" s="6"/>
      <c r="AB1622" s="6"/>
      <c r="AC1622" s="6"/>
      <c r="AD1622" s="6"/>
      <c r="AE1622" s="6"/>
      <c r="AF1622" s="6"/>
      <c r="AG1622" s="6"/>
    </row>
    <row r="1623" ht="14.25" customHeight="1">
      <c r="A1623" s="6"/>
      <c r="B1623" s="6"/>
      <c r="C1623" s="6">
        <v>1616.0</v>
      </c>
      <c r="D1623" s="6"/>
      <c r="E1623" s="6">
        <v>7659026.950625544</v>
      </c>
      <c r="F1623" s="6">
        <v>487.4899020449148</v>
      </c>
      <c r="G1623" s="6">
        <v>4.199436011903483</v>
      </c>
      <c r="H1623" s="6">
        <v>7578333.266033195</v>
      </c>
      <c r="I1623" s="6">
        <v>483.66789007441423</v>
      </c>
      <c r="J1623" s="6">
        <v>3.045419660263041</v>
      </c>
      <c r="K1623" s="6"/>
      <c r="L1623" s="6"/>
      <c r="M1623" s="6"/>
      <c r="N1623" s="6">
        <f t="shared" ref="N1623:P1623" si="1626">IF(LEN($C1623)&gt;0,H1623-E1623,"")</f>
        <v>-80693.68459</v>
      </c>
      <c r="O1623" s="6">
        <f t="shared" si="1626"/>
        <v>-3.822011971</v>
      </c>
      <c r="P1623" s="6">
        <f t="shared" si="1626"/>
        <v>-1.154016352</v>
      </c>
      <c r="Q1623" s="6"/>
      <c r="R1623" s="6"/>
      <c r="S1623" s="6"/>
      <c r="T1623" s="6"/>
      <c r="U1623" s="6"/>
      <c r="V1623" s="6"/>
      <c r="W1623" s="6"/>
      <c r="X1623" s="6"/>
      <c r="Y1623" s="6"/>
      <c r="Z1623" s="6"/>
      <c r="AA1623" s="6"/>
      <c r="AB1623" s="6"/>
      <c r="AC1623" s="6"/>
      <c r="AD1623" s="6"/>
      <c r="AE1623" s="6"/>
      <c r="AF1623" s="6"/>
      <c r="AG1623" s="6"/>
    </row>
    <row r="1624" ht="14.25" customHeight="1">
      <c r="A1624" s="6"/>
      <c r="B1624" s="6"/>
      <c r="C1624" s="6">
        <v>1617.0</v>
      </c>
      <c r="D1624" s="6"/>
      <c r="E1624" s="6">
        <v>5356353.8644805</v>
      </c>
      <c r="F1624" s="6">
        <v>438.9449306421554</v>
      </c>
      <c r="G1624" s="6">
        <v>4.292243761390288</v>
      </c>
      <c r="H1624" s="6">
        <v>5251044.627209841</v>
      </c>
      <c r="I1624" s="6">
        <v>433.95361451653054</v>
      </c>
      <c r="J1624" s="6">
        <v>3.0889911751126147</v>
      </c>
      <c r="K1624" s="6"/>
      <c r="L1624" s="6"/>
      <c r="M1624" s="6"/>
      <c r="N1624" s="6">
        <f t="shared" ref="N1624:P1624" si="1627">IF(LEN($C1624)&gt;0,H1624-E1624,"")</f>
        <v>-105309.2373</v>
      </c>
      <c r="O1624" s="6">
        <f t="shared" si="1627"/>
        <v>-4.991316126</v>
      </c>
      <c r="P1624" s="6">
        <f t="shared" si="1627"/>
        <v>-1.203252586</v>
      </c>
      <c r="Q1624" s="6"/>
      <c r="R1624" s="6"/>
      <c r="S1624" s="6"/>
      <c r="T1624" s="6"/>
      <c r="U1624" s="6"/>
      <c r="V1624" s="6"/>
      <c r="W1624" s="6"/>
      <c r="X1624" s="6"/>
      <c r="Y1624" s="6"/>
      <c r="Z1624" s="6"/>
      <c r="AA1624" s="6"/>
      <c r="AB1624" s="6"/>
      <c r="AC1624" s="6"/>
      <c r="AD1624" s="6"/>
      <c r="AE1624" s="6"/>
      <c r="AF1624" s="6"/>
      <c r="AG1624" s="6"/>
    </row>
    <row r="1625" ht="14.25" customHeight="1">
      <c r="A1625" s="6"/>
      <c r="B1625" s="6"/>
      <c r="C1625" s="6">
        <v>1618.0</v>
      </c>
      <c r="D1625" s="6"/>
      <c r="E1625" s="6">
        <v>6360732.794613407</v>
      </c>
      <c r="F1625" s="6">
        <v>469.0144565671851</v>
      </c>
      <c r="G1625" s="6">
        <v>6.03664738498854</v>
      </c>
      <c r="H1625" s="6">
        <v>6245686.962972516</v>
      </c>
      <c r="I1625" s="6">
        <v>463.918027861905</v>
      </c>
      <c r="J1625" s="6">
        <v>4.561389218541008</v>
      </c>
      <c r="K1625" s="6"/>
      <c r="L1625" s="6"/>
      <c r="M1625" s="6"/>
      <c r="N1625" s="6">
        <f t="shared" ref="N1625:P1625" si="1628">IF(LEN($C1625)&gt;0,H1625-E1625,"")</f>
        <v>-115045.8316</v>
      </c>
      <c r="O1625" s="6">
        <f t="shared" si="1628"/>
        <v>-5.096428705</v>
      </c>
      <c r="P1625" s="6">
        <f t="shared" si="1628"/>
        <v>-1.475258166</v>
      </c>
      <c r="Q1625" s="6"/>
      <c r="R1625" s="6"/>
      <c r="S1625" s="6"/>
      <c r="T1625" s="6"/>
      <c r="U1625" s="6"/>
      <c r="V1625" s="6"/>
      <c r="W1625" s="6"/>
      <c r="X1625" s="6"/>
      <c r="Y1625" s="6"/>
      <c r="Z1625" s="6"/>
      <c r="AA1625" s="6"/>
      <c r="AB1625" s="6"/>
      <c r="AC1625" s="6"/>
      <c r="AD1625" s="6"/>
      <c r="AE1625" s="6"/>
      <c r="AF1625" s="6"/>
      <c r="AG1625" s="6"/>
    </row>
    <row r="1626" ht="14.25" customHeight="1">
      <c r="A1626" s="6"/>
      <c r="B1626" s="6"/>
      <c r="C1626" s="6">
        <v>1619.0</v>
      </c>
      <c r="D1626" s="6"/>
      <c r="E1626" s="6">
        <v>6936032.636465283</v>
      </c>
      <c r="F1626" s="6">
        <v>474.23625240777835</v>
      </c>
      <c r="G1626" s="6">
        <v>5.204575434865982</v>
      </c>
      <c r="H1626" s="6">
        <v>6899728.590482449</v>
      </c>
      <c r="I1626" s="6">
        <v>472.62045548330764</v>
      </c>
      <c r="J1626" s="6">
        <v>4.381009801449975</v>
      </c>
      <c r="K1626" s="6"/>
      <c r="L1626" s="6"/>
      <c r="M1626" s="6"/>
      <c r="N1626" s="6">
        <f t="shared" ref="N1626:P1626" si="1629">IF(LEN($C1626)&gt;0,H1626-E1626,"")</f>
        <v>-36304.04598</v>
      </c>
      <c r="O1626" s="6">
        <f t="shared" si="1629"/>
        <v>-1.615796924</v>
      </c>
      <c r="P1626" s="6">
        <f t="shared" si="1629"/>
        <v>-0.8235656334</v>
      </c>
      <c r="Q1626" s="6"/>
      <c r="R1626" s="6"/>
      <c r="S1626" s="6"/>
      <c r="T1626" s="6"/>
      <c r="U1626" s="6"/>
      <c r="V1626" s="6"/>
      <c r="W1626" s="6"/>
      <c r="X1626" s="6"/>
      <c r="Y1626" s="6"/>
      <c r="Z1626" s="6"/>
      <c r="AA1626" s="6"/>
      <c r="AB1626" s="6"/>
      <c r="AC1626" s="6"/>
      <c r="AD1626" s="6"/>
      <c r="AE1626" s="6"/>
      <c r="AF1626" s="6"/>
      <c r="AG1626" s="6"/>
    </row>
    <row r="1627" ht="14.25" customHeight="1">
      <c r="A1627" s="6"/>
      <c r="B1627" s="6"/>
      <c r="C1627" s="6">
        <v>1620.0</v>
      </c>
      <c r="D1627" s="6"/>
      <c r="E1627" s="6">
        <v>7340027.278624679</v>
      </c>
      <c r="F1627" s="6">
        <v>488.0477245919901</v>
      </c>
      <c r="G1627" s="6">
        <v>5.0045061443668715</v>
      </c>
      <c r="H1627" s="6">
        <v>7280544.896071988</v>
      </c>
      <c r="I1627" s="6">
        <v>484.1467194412882</v>
      </c>
      <c r="J1627" s="6">
        <v>4.079715052530965</v>
      </c>
      <c r="K1627" s="6"/>
      <c r="L1627" s="6"/>
      <c r="M1627" s="6"/>
      <c r="N1627" s="6">
        <f t="shared" ref="N1627:P1627" si="1630">IF(LEN($C1627)&gt;0,H1627-E1627,"")</f>
        <v>-59482.38255</v>
      </c>
      <c r="O1627" s="6">
        <f t="shared" si="1630"/>
        <v>-3.901005151</v>
      </c>
      <c r="P1627" s="6">
        <f t="shared" si="1630"/>
        <v>-0.9247910918</v>
      </c>
      <c r="Q1627" s="6"/>
      <c r="R1627" s="6"/>
      <c r="S1627" s="6"/>
      <c r="T1627" s="6"/>
      <c r="U1627" s="6"/>
      <c r="V1627" s="6"/>
      <c r="W1627" s="6"/>
      <c r="X1627" s="6"/>
      <c r="Y1627" s="6"/>
      <c r="Z1627" s="6"/>
      <c r="AA1627" s="6"/>
      <c r="AB1627" s="6"/>
      <c r="AC1627" s="6"/>
      <c r="AD1627" s="6"/>
      <c r="AE1627" s="6"/>
      <c r="AF1627" s="6"/>
      <c r="AG1627" s="6"/>
    </row>
    <row r="1628" ht="14.25" customHeight="1">
      <c r="A1628" s="6"/>
      <c r="B1628" s="6"/>
      <c r="C1628" s="6">
        <v>1621.0</v>
      </c>
      <c r="D1628" s="6"/>
      <c r="E1628" s="6">
        <v>7651068.863053796</v>
      </c>
      <c r="F1628" s="6">
        <v>456.4142456828032</v>
      </c>
      <c r="G1628" s="6">
        <v>5.039534314563563</v>
      </c>
      <c r="H1628" s="6">
        <v>7539421.653661572</v>
      </c>
      <c r="I1628" s="6">
        <v>452.35104295887754</v>
      </c>
      <c r="J1628" s="6">
        <v>3.4442961451728062</v>
      </c>
      <c r="K1628" s="6"/>
      <c r="L1628" s="6"/>
      <c r="M1628" s="6"/>
      <c r="N1628" s="6">
        <f t="shared" ref="N1628:P1628" si="1631">IF(LEN($C1628)&gt;0,H1628-E1628,"")</f>
        <v>-111647.2094</v>
      </c>
      <c r="O1628" s="6">
        <f t="shared" si="1631"/>
        <v>-4.063202724</v>
      </c>
      <c r="P1628" s="6">
        <f t="shared" si="1631"/>
        <v>-1.595238169</v>
      </c>
      <c r="Q1628" s="6"/>
      <c r="R1628" s="6"/>
      <c r="S1628" s="6"/>
      <c r="T1628" s="6"/>
      <c r="U1628" s="6"/>
      <c r="V1628" s="6"/>
      <c r="W1628" s="6"/>
      <c r="X1628" s="6"/>
      <c r="Y1628" s="6"/>
      <c r="Z1628" s="6"/>
      <c r="AA1628" s="6"/>
      <c r="AB1628" s="6"/>
      <c r="AC1628" s="6"/>
      <c r="AD1628" s="6"/>
      <c r="AE1628" s="6"/>
      <c r="AF1628" s="6"/>
      <c r="AG1628" s="6"/>
    </row>
    <row r="1629" ht="14.25" customHeight="1">
      <c r="A1629" s="6"/>
      <c r="B1629" s="6"/>
      <c r="C1629" s="6">
        <v>1622.0</v>
      </c>
      <c r="D1629" s="6"/>
      <c r="E1629" s="6">
        <v>6453967.113989122</v>
      </c>
      <c r="F1629" s="6">
        <v>475.5810137522515</v>
      </c>
      <c r="G1629" s="6">
        <v>4.9752235187594245</v>
      </c>
      <c r="H1629" s="6">
        <v>6404912.610530086</v>
      </c>
      <c r="I1629" s="6">
        <v>473.28621261386604</v>
      </c>
      <c r="J1629" s="6">
        <v>4.173730265157043</v>
      </c>
      <c r="K1629" s="6"/>
      <c r="L1629" s="6"/>
      <c r="M1629" s="6"/>
      <c r="N1629" s="6">
        <f t="shared" ref="N1629:P1629" si="1632">IF(LEN($C1629)&gt;0,H1629-E1629,"")</f>
        <v>-49054.50346</v>
      </c>
      <c r="O1629" s="6">
        <f t="shared" si="1632"/>
        <v>-2.294801138</v>
      </c>
      <c r="P1629" s="6">
        <f t="shared" si="1632"/>
        <v>-0.8014932536</v>
      </c>
      <c r="Q1629" s="6"/>
      <c r="R1629" s="6"/>
      <c r="S1629" s="6"/>
      <c r="T1629" s="6"/>
      <c r="U1629" s="6"/>
      <c r="V1629" s="6"/>
      <c r="W1629" s="6"/>
      <c r="X1629" s="6"/>
      <c r="Y1629" s="6"/>
      <c r="Z1629" s="6"/>
      <c r="AA1629" s="6"/>
      <c r="AB1629" s="6"/>
      <c r="AC1629" s="6"/>
      <c r="AD1629" s="6"/>
      <c r="AE1629" s="6"/>
      <c r="AF1629" s="6"/>
      <c r="AG1629" s="6"/>
    </row>
    <row r="1630" ht="14.25" customHeight="1">
      <c r="A1630" s="6"/>
      <c r="B1630" s="6"/>
      <c r="C1630" s="6">
        <v>1623.0</v>
      </c>
      <c r="D1630" s="6"/>
      <c r="E1630" s="6">
        <v>7994348.08423028</v>
      </c>
      <c r="F1630" s="6">
        <v>472.63602681815735</v>
      </c>
      <c r="G1630" s="6">
        <v>4.503206815788829</v>
      </c>
      <c r="H1630" s="6">
        <v>7914911.230327571</v>
      </c>
      <c r="I1630" s="6">
        <v>468.4130577151817</v>
      </c>
      <c r="J1630" s="6">
        <v>3.589170509128006</v>
      </c>
      <c r="K1630" s="6"/>
      <c r="L1630" s="6"/>
      <c r="M1630" s="6"/>
      <c r="N1630" s="6">
        <f t="shared" ref="N1630:P1630" si="1633">IF(LEN($C1630)&gt;0,H1630-E1630,"")</f>
        <v>-79436.8539</v>
      </c>
      <c r="O1630" s="6">
        <f t="shared" si="1633"/>
        <v>-4.222969103</v>
      </c>
      <c r="P1630" s="6">
        <f t="shared" si="1633"/>
        <v>-0.9140363067</v>
      </c>
      <c r="Q1630" s="6"/>
      <c r="R1630" s="6"/>
      <c r="S1630" s="6"/>
      <c r="T1630" s="6"/>
      <c r="U1630" s="6"/>
      <c r="V1630" s="6"/>
      <c r="W1630" s="6"/>
      <c r="X1630" s="6"/>
      <c r="Y1630" s="6"/>
      <c r="Z1630" s="6"/>
      <c r="AA1630" s="6"/>
      <c r="AB1630" s="6"/>
      <c r="AC1630" s="6"/>
      <c r="AD1630" s="6"/>
      <c r="AE1630" s="6"/>
      <c r="AF1630" s="6"/>
      <c r="AG1630" s="6"/>
    </row>
    <row r="1631" ht="14.25" customHeight="1">
      <c r="A1631" s="6"/>
      <c r="B1631" s="6"/>
      <c r="C1631" s="6">
        <v>1624.0</v>
      </c>
      <c r="D1631" s="6"/>
      <c r="E1631" s="6">
        <v>7994644.606181052</v>
      </c>
      <c r="F1631" s="6">
        <v>453.703104110902</v>
      </c>
      <c r="G1631" s="6">
        <v>3.786532255022413</v>
      </c>
      <c r="H1631" s="6">
        <v>7858677.450010894</v>
      </c>
      <c r="I1631" s="6">
        <v>446.21534726396766</v>
      </c>
      <c r="J1631" s="6">
        <v>2.7880489713235805</v>
      </c>
      <c r="K1631" s="6"/>
      <c r="L1631" s="6"/>
      <c r="M1631" s="6"/>
      <c r="N1631" s="6">
        <f t="shared" ref="N1631:P1631" si="1634">IF(LEN($C1631)&gt;0,H1631-E1631,"")</f>
        <v>-135967.1562</v>
      </c>
      <c r="O1631" s="6">
        <f t="shared" si="1634"/>
        <v>-7.487756847</v>
      </c>
      <c r="P1631" s="6">
        <f t="shared" si="1634"/>
        <v>-0.9984832837</v>
      </c>
      <c r="Q1631" s="6"/>
      <c r="R1631" s="6"/>
      <c r="S1631" s="6"/>
      <c r="T1631" s="6"/>
      <c r="U1631" s="6"/>
      <c r="V1631" s="6"/>
      <c r="W1631" s="6"/>
      <c r="X1631" s="6"/>
      <c r="Y1631" s="6"/>
      <c r="Z1631" s="6"/>
      <c r="AA1631" s="6"/>
      <c r="AB1631" s="6"/>
      <c r="AC1631" s="6"/>
      <c r="AD1631" s="6"/>
      <c r="AE1631" s="6"/>
      <c r="AF1631" s="6"/>
      <c r="AG1631" s="6"/>
    </row>
    <row r="1632" ht="14.25" customHeight="1">
      <c r="A1632" s="6"/>
      <c r="B1632" s="6"/>
      <c r="C1632" s="6">
        <v>1625.0</v>
      </c>
      <c r="D1632" s="6"/>
      <c r="E1632" s="6">
        <v>6186610.3581096735</v>
      </c>
      <c r="F1632" s="6">
        <v>437.68684793734656</v>
      </c>
      <c r="G1632" s="6">
        <v>4.325807092118309</v>
      </c>
      <c r="H1632" s="6">
        <v>6085093.560598456</v>
      </c>
      <c r="I1632" s="6">
        <v>433.3316329452718</v>
      </c>
      <c r="J1632" s="6">
        <v>3.1053441237510775</v>
      </c>
      <c r="K1632" s="6"/>
      <c r="L1632" s="6"/>
      <c r="M1632" s="6"/>
      <c r="N1632" s="6">
        <f t="shared" ref="N1632:P1632" si="1635">IF(LEN($C1632)&gt;0,H1632-E1632,"")</f>
        <v>-101516.7975</v>
      </c>
      <c r="O1632" s="6">
        <f t="shared" si="1635"/>
        <v>-4.355214992</v>
      </c>
      <c r="P1632" s="6">
        <f t="shared" si="1635"/>
        <v>-1.220462968</v>
      </c>
      <c r="Q1632" s="6"/>
      <c r="R1632" s="6"/>
      <c r="S1632" s="6"/>
      <c r="T1632" s="6"/>
      <c r="U1632" s="6"/>
      <c r="V1632" s="6"/>
      <c r="W1632" s="6"/>
      <c r="X1632" s="6"/>
      <c r="Y1632" s="6"/>
      <c r="Z1632" s="6"/>
      <c r="AA1632" s="6"/>
      <c r="AB1632" s="6"/>
      <c r="AC1632" s="6"/>
      <c r="AD1632" s="6"/>
      <c r="AE1632" s="6"/>
      <c r="AF1632" s="6"/>
      <c r="AG1632" s="6"/>
    </row>
    <row r="1633" ht="14.25" customHeight="1">
      <c r="A1633" s="6"/>
      <c r="B1633" s="6"/>
      <c r="C1633" s="6">
        <v>1626.0</v>
      </c>
      <c r="D1633" s="6"/>
      <c r="E1633" s="6">
        <v>8722435.383159563</v>
      </c>
      <c r="F1633" s="6">
        <v>480.26369666672065</v>
      </c>
      <c r="G1633" s="6">
        <v>4.365991315262878</v>
      </c>
      <c r="H1633" s="6">
        <v>8570946.796547718</v>
      </c>
      <c r="I1633" s="6">
        <v>473.60501753687805</v>
      </c>
      <c r="J1633" s="6">
        <v>3.3557187810706974</v>
      </c>
      <c r="K1633" s="6"/>
      <c r="L1633" s="6"/>
      <c r="M1633" s="6"/>
      <c r="N1633" s="6">
        <f t="shared" ref="N1633:P1633" si="1636">IF(LEN($C1633)&gt;0,H1633-E1633,"")</f>
        <v>-151488.5866</v>
      </c>
      <c r="O1633" s="6">
        <f t="shared" si="1636"/>
        <v>-6.65867913</v>
      </c>
      <c r="P1633" s="6">
        <f t="shared" si="1636"/>
        <v>-1.010272534</v>
      </c>
      <c r="Q1633" s="6"/>
      <c r="R1633" s="6"/>
      <c r="S1633" s="6"/>
      <c r="T1633" s="6"/>
      <c r="U1633" s="6"/>
      <c r="V1633" s="6"/>
      <c r="W1633" s="6"/>
      <c r="X1633" s="6"/>
      <c r="Y1633" s="6"/>
      <c r="Z1633" s="6"/>
      <c r="AA1633" s="6"/>
      <c r="AB1633" s="6"/>
      <c r="AC1633" s="6"/>
      <c r="AD1633" s="6"/>
      <c r="AE1633" s="6"/>
      <c r="AF1633" s="6"/>
      <c r="AG1633" s="6"/>
    </row>
    <row r="1634" ht="14.25" customHeight="1">
      <c r="A1634" s="6"/>
      <c r="B1634" s="6"/>
      <c r="C1634" s="6">
        <v>1627.0</v>
      </c>
      <c r="D1634" s="6"/>
      <c r="E1634" s="6">
        <v>7273680.670531225</v>
      </c>
      <c r="F1634" s="6">
        <v>474.7409415899117</v>
      </c>
      <c r="G1634" s="6">
        <v>4.871602437344699</v>
      </c>
      <c r="H1634" s="6">
        <v>7192343.704713511</v>
      </c>
      <c r="I1634" s="6">
        <v>471.3732986941663</v>
      </c>
      <c r="J1634" s="6">
        <v>3.673117224165846</v>
      </c>
      <c r="K1634" s="6"/>
      <c r="L1634" s="6"/>
      <c r="M1634" s="6"/>
      <c r="N1634" s="6">
        <f t="shared" ref="N1634:P1634" si="1637">IF(LEN($C1634)&gt;0,H1634-E1634,"")</f>
        <v>-81336.96582</v>
      </c>
      <c r="O1634" s="6">
        <f t="shared" si="1637"/>
        <v>-3.367642896</v>
      </c>
      <c r="P1634" s="6">
        <f t="shared" si="1637"/>
        <v>-1.198485213</v>
      </c>
      <c r="Q1634" s="6"/>
      <c r="R1634" s="6"/>
      <c r="S1634" s="6"/>
      <c r="T1634" s="6"/>
      <c r="U1634" s="6"/>
      <c r="V1634" s="6"/>
      <c r="W1634" s="6"/>
      <c r="X1634" s="6"/>
      <c r="Y1634" s="6"/>
      <c r="Z1634" s="6"/>
      <c r="AA1634" s="6"/>
      <c r="AB1634" s="6"/>
      <c r="AC1634" s="6"/>
      <c r="AD1634" s="6"/>
      <c r="AE1634" s="6"/>
      <c r="AF1634" s="6"/>
      <c r="AG1634" s="6"/>
    </row>
    <row r="1635" ht="14.25" customHeight="1">
      <c r="A1635" s="6"/>
      <c r="B1635" s="6"/>
      <c r="C1635" s="6">
        <v>1628.0</v>
      </c>
      <c r="D1635" s="6"/>
      <c r="E1635" s="6">
        <v>7619117.383264589</v>
      </c>
      <c r="F1635" s="6">
        <v>485.0436305761078</v>
      </c>
      <c r="G1635" s="6">
        <v>4.421646731167163</v>
      </c>
      <c r="H1635" s="6">
        <v>7535493.36552737</v>
      </c>
      <c r="I1635" s="6">
        <v>481.6719508688678</v>
      </c>
      <c r="J1635" s="6">
        <v>3.4745017506061653</v>
      </c>
      <c r="K1635" s="6"/>
      <c r="L1635" s="6"/>
      <c r="M1635" s="6"/>
      <c r="N1635" s="6">
        <f t="shared" ref="N1635:P1635" si="1638">IF(LEN($C1635)&gt;0,H1635-E1635,"")</f>
        <v>-83624.01774</v>
      </c>
      <c r="O1635" s="6">
        <f t="shared" si="1638"/>
        <v>-3.371679707</v>
      </c>
      <c r="P1635" s="6">
        <f t="shared" si="1638"/>
        <v>-0.9471449806</v>
      </c>
      <c r="Q1635" s="6"/>
      <c r="R1635" s="6"/>
      <c r="S1635" s="6"/>
      <c r="T1635" s="6"/>
      <c r="U1635" s="6"/>
      <c r="V1635" s="6"/>
      <c r="W1635" s="6"/>
      <c r="X1635" s="6"/>
      <c r="Y1635" s="6"/>
      <c r="Z1635" s="6"/>
      <c r="AA1635" s="6"/>
      <c r="AB1635" s="6"/>
      <c r="AC1635" s="6"/>
      <c r="AD1635" s="6"/>
      <c r="AE1635" s="6"/>
      <c r="AF1635" s="6"/>
      <c r="AG1635" s="6"/>
    </row>
    <row r="1636" ht="14.25" customHeight="1">
      <c r="A1636" s="6"/>
      <c r="B1636" s="6"/>
      <c r="C1636" s="6">
        <v>1629.0</v>
      </c>
      <c r="D1636" s="6"/>
      <c r="E1636" s="6">
        <v>6652970.363640713</v>
      </c>
      <c r="F1636" s="6">
        <v>488.70181078676785</v>
      </c>
      <c r="G1636" s="6">
        <v>4.294689216824031</v>
      </c>
      <c r="H1636" s="6">
        <v>6487996.647043655</v>
      </c>
      <c r="I1636" s="6">
        <v>480.3987025910472</v>
      </c>
      <c r="J1636" s="6">
        <v>2.7461595648811974</v>
      </c>
      <c r="K1636" s="6"/>
      <c r="L1636" s="6"/>
      <c r="M1636" s="6"/>
      <c r="N1636" s="6">
        <f t="shared" ref="N1636:P1636" si="1639">IF(LEN($C1636)&gt;0,H1636-E1636,"")</f>
        <v>-164973.7166</v>
      </c>
      <c r="O1636" s="6">
        <f t="shared" si="1639"/>
        <v>-8.303108196</v>
      </c>
      <c r="P1636" s="6">
        <f t="shared" si="1639"/>
        <v>-1.548529652</v>
      </c>
      <c r="Q1636" s="6"/>
      <c r="R1636" s="6"/>
      <c r="S1636" s="6"/>
      <c r="T1636" s="6"/>
      <c r="U1636" s="6"/>
      <c r="V1636" s="6"/>
      <c r="W1636" s="6"/>
      <c r="X1636" s="6"/>
      <c r="Y1636" s="6"/>
      <c r="Z1636" s="6"/>
      <c r="AA1636" s="6"/>
      <c r="AB1636" s="6"/>
      <c r="AC1636" s="6"/>
      <c r="AD1636" s="6"/>
      <c r="AE1636" s="6"/>
      <c r="AF1636" s="6"/>
      <c r="AG1636" s="6"/>
    </row>
    <row r="1637" ht="14.25" customHeight="1">
      <c r="A1637" s="6"/>
      <c r="B1637" s="6"/>
      <c r="C1637" s="6">
        <v>1630.0</v>
      </c>
      <c r="D1637" s="6"/>
      <c r="E1637" s="6">
        <v>5963743.705640448</v>
      </c>
      <c r="F1637" s="6">
        <v>451.8781312322667</v>
      </c>
      <c r="G1637" s="6">
        <v>6.222543126863449</v>
      </c>
      <c r="H1637" s="6">
        <v>5875999.443638472</v>
      </c>
      <c r="I1637" s="6">
        <v>449.0927302128164</v>
      </c>
      <c r="J1637" s="6">
        <v>4.598714663079752</v>
      </c>
      <c r="K1637" s="6"/>
      <c r="L1637" s="6"/>
      <c r="M1637" s="6"/>
      <c r="N1637" s="6">
        <f t="shared" ref="N1637:P1637" si="1640">IF(LEN($C1637)&gt;0,H1637-E1637,"")</f>
        <v>-87744.262</v>
      </c>
      <c r="O1637" s="6">
        <f t="shared" si="1640"/>
        <v>-2.785401019</v>
      </c>
      <c r="P1637" s="6">
        <f t="shared" si="1640"/>
        <v>-1.623828464</v>
      </c>
      <c r="Q1637" s="6"/>
      <c r="R1637" s="6"/>
      <c r="S1637" s="6"/>
      <c r="T1637" s="6"/>
      <c r="U1637" s="6"/>
      <c r="V1637" s="6"/>
      <c r="W1637" s="6"/>
      <c r="X1637" s="6"/>
      <c r="Y1637" s="6"/>
      <c r="Z1637" s="6"/>
      <c r="AA1637" s="6"/>
      <c r="AB1637" s="6"/>
      <c r="AC1637" s="6"/>
      <c r="AD1637" s="6"/>
      <c r="AE1637" s="6"/>
      <c r="AF1637" s="6"/>
      <c r="AG1637" s="6"/>
    </row>
    <row r="1638" ht="14.25" customHeight="1">
      <c r="A1638" s="6"/>
      <c r="B1638" s="6"/>
      <c r="C1638" s="6">
        <v>1631.0</v>
      </c>
      <c r="D1638" s="6"/>
      <c r="E1638" s="6">
        <v>6993693.80654941</v>
      </c>
      <c r="F1638" s="6">
        <v>455.483298132068</v>
      </c>
      <c r="G1638" s="6">
        <v>4.168329533712374</v>
      </c>
      <c r="H1638" s="6">
        <v>6918764.722570013</v>
      </c>
      <c r="I1638" s="6">
        <v>451.6896117965205</v>
      </c>
      <c r="J1638" s="6">
        <v>3.1222732335495844</v>
      </c>
      <c r="K1638" s="6"/>
      <c r="L1638" s="6"/>
      <c r="M1638" s="6"/>
      <c r="N1638" s="6">
        <f t="shared" ref="N1638:P1638" si="1641">IF(LEN($C1638)&gt;0,H1638-E1638,"")</f>
        <v>-74929.08398</v>
      </c>
      <c r="O1638" s="6">
        <f t="shared" si="1641"/>
        <v>-3.793686336</v>
      </c>
      <c r="P1638" s="6">
        <f t="shared" si="1641"/>
        <v>-1.0460563</v>
      </c>
      <c r="Q1638" s="6"/>
      <c r="R1638" s="6"/>
      <c r="S1638" s="6"/>
      <c r="T1638" s="6"/>
      <c r="U1638" s="6"/>
      <c r="V1638" s="6"/>
      <c r="W1638" s="6"/>
      <c r="X1638" s="6"/>
      <c r="Y1638" s="6"/>
      <c r="Z1638" s="6"/>
      <c r="AA1638" s="6"/>
      <c r="AB1638" s="6"/>
      <c r="AC1638" s="6"/>
      <c r="AD1638" s="6"/>
      <c r="AE1638" s="6"/>
      <c r="AF1638" s="6"/>
      <c r="AG1638" s="6"/>
    </row>
    <row r="1639" ht="14.25" customHeight="1">
      <c r="A1639" s="6"/>
      <c r="B1639" s="6"/>
      <c r="C1639" s="6">
        <v>1632.0</v>
      </c>
      <c r="D1639" s="6"/>
      <c r="E1639" s="6">
        <v>6919639.7699950645</v>
      </c>
      <c r="F1639" s="6">
        <v>441.2394656516402</v>
      </c>
      <c r="G1639" s="6">
        <v>6.102054442223166</v>
      </c>
      <c r="H1639" s="6">
        <v>6821635.55686938</v>
      </c>
      <c r="I1639" s="6">
        <v>438.2262004219202</v>
      </c>
      <c r="J1639" s="6">
        <v>4.625407615700205</v>
      </c>
      <c r="K1639" s="6"/>
      <c r="L1639" s="6"/>
      <c r="M1639" s="6"/>
      <c r="N1639" s="6">
        <f t="shared" ref="N1639:P1639" si="1642">IF(LEN($C1639)&gt;0,H1639-E1639,"")</f>
        <v>-98004.21313</v>
      </c>
      <c r="O1639" s="6">
        <f t="shared" si="1642"/>
        <v>-3.01326523</v>
      </c>
      <c r="P1639" s="6">
        <f t="shared" si="1642"/>
        <v>-1.476646827</v>
      </c>
      <c r="Q1639" s="6"/>
      <c r="R1639" s="6"/>
      <c r="S1639" s="6"/>
      <c r="T1639" s="6"/>
      <c r="U1639" s="6"/>
      <c r="V1639" s="6"/>
      <c r="W1639" s="6"/>
      <c r="X1639" s="6"/>
      <c r="Y1639" s="6"/>
      <c r="Z1639" s="6"/>
      <c r="AA1639" s="6"/>
      <c r="AB1639" s="6"/>
      <c r="AC1639" s="6"/>
      <c r="AD1639" s="6"/>
      <c r="AE1639" s="6"/>
      <c r="AF1639" s="6"/>
      <c r="AG1639" s="6"/>
    </row>
    <row r="1640" ht="14.25" customHeight="1">
      <c r="A1640" s="6"/>
      <c r="B1640" s="6"/>
      <c r="C1640" s="6">
        <v>1633.0</v>
      </c>
      <c r="D1640" s="6"/>
      <c r="E1640" s="6">
        <v>6121289.907506561</v>
      </c>
      <c r="F1640" s="6">
        <v>455.3222558072733</v>
      </c>
      <c r="G1640" s="6">
        <v>4.272110177775834</v>
      </c>
      <c r="H1640" s="6">
        <v>6020707.873385093</v>
      </c>
      <c r="I1640" s="6">
        <v>451.8213102011412</v>
      </c>
      <c r="J1640" s="6">
        <v>3.282090832283114</v>
      </c>
      <c r="K1640" s="6"/>
      <c r="L1640" s="6"/>
      <c r="M1640" s="6"/>
      <c r="N1640" s="6">
        <f t="shared" ref="N1640:P1640" si="1643">IF(LEN($C1640)&gt;0,H1640-E1640,"")</f>
        <v>-100582.0341</v>
      </c>
      <c r="O1640" s="6">
        <f t="shared" si="1643"/>
        <v>-3.500945606</v>
      </c>
      <c r="P1640" s="6">
        <f t="shared" si="1643"/>
        <v>-0.9900193455</v>
      </c>
      <c r="Q1640" s="6"/>
      <c r="R1640" s="6"/>
      <c r="S1640" s="6"/>
      <c r="T1640" s="6"/>
      <c r="U1640" s="6"/>
      <c r="V1640" s="6"/>
      <c r="W1640" s="6"/>
      <c r="X1640" s="6"/>
      <c r="Y1640" s="6"/>
      <c r="Z1640" s="6"/>
      <c r="AA1640" s="6"/>
      <c r="AB1640" s="6"/>
      <c r="AC1640" s="6"/>
      <c r="AD1640" s="6"/>
      <c r="AE1640" s="6"/>
      <c r="AF1640" s="6"/>
      <c r="AG1640" s="6"/>
    </row>
    <row r="1641" ht="14.25" customHeight="1">
      <c r="A1641" s="6"/>
      <c r="B1641" s="6"/>
      <c r="C1641" s="6">
        <v>1634.0</v>
      </c>
      <c r="D1641" s="6"/>
      <c r="E1641" s="6">
        <v>6921274.015190659</v>
      </c>
      <c r="F1641" s="6">
        <v>463.13484102256933</v>
      </c>
      <c r="G1641" s="6">
        <v>4.619652281760946</v>
      </c>
      <c r="H1641" s="6">
        <v>6843388.07831007</v>
      </c>
      <c r="I1641" s="6">
        <v>459.12149228499584</v>
      </c>
      <c r="J1641" s="6">
        <v>3.3291244622896343</v>
      </c>
      <c r="K1641" s="6"/>
      <c r="L1641" s="6"/>
      <c r="M1641" s="6"/>
      <c r="N1641" s="6">
        <f t="shared" ref="N1641:P1641" si="1644">IF(LEN($C1641)&gt;0,H1641-E1641,"")</f>
        <v>-77885.93688</v>
      </c>
      <c r="O1641" s="6">
        <f t="shared" si="1644"/>
        <v>-4.013348738</v>
      </c>
      <c r="P1641" s="6">
        <f t="shared" si="1644"/>
        <v>-1.290527819</v>
      </c>
      <c r="Q1641" s="6"/>
      <c r="R1641" s="6"/>
      <c r="S1641" s="6"/>
      <c r="T1641" s="6"/>
      <c r="U1641" s="6"/>
      <c r="V1641" s="6"/>
      <c r="W1641" s="6"/>
      <c r="X1641" s="6"/>
      <c r="Y1641" s="6"/>
      <c r="Z1641" s="6"/>
      <c r="AA1641" s="6"/>
      <c r="AB1641" s="6"/>
      <c r="AC1641" s="6"/>
      <c r="AD1641" s="6"/>
      <c r="AE1641" s="6"/>
      <c r="AF1641" s="6"/>
      <c r="AG1641" s="6"/>
    </row>
    <row r="1642" ht="14.25" customHeight="1">
      <c r="A1642" s="6"/>
      <c r="B1642" s="6"/>
      <c r="C1642" s="6">
        <v>1635.0</v>
      </c>
      <c r="D1642" s="6"/>
      <c r="E1642" s="6">
        <v>7716709.008900437</v>
      </c>
      <c r="F1642" s="6">
        <v>434.19592337257643</v>
      </c>
      <c r="G1642" s="6">
        <v>3.8215252119489542</v>
      </c>
      <c r="H1642" s="6">
        <v>7618697.2994967</v>
      </c>
      <c r="I1642" s="6">
        <v>429.78145814318304</v>
      </c>
      <c r="J1642" s="6">
        <v>2.6583944848035603</v>
      </c>
      <c r="K1642" s="6"/>
      <c r="L1642" s="6"/>
      <c r="M1642" s="6"/>
      <c r="N1642" s="6">
        <f t="shared" ref="N1642:P1642" si="1645">IF(LEN($C1642)&gt;0,H1642-E1642,"")</f>
        <v>-98011.7094</v>
      </c>
      <c r="O1642" s="6">
        <f t="shared" si="1645"/>
        <v>-4.414465229</v>
      </c>
      <c r="P1642" s="6">
        <f t="shared" si="1645"/>
        <v>-1.163130727</v>
      </c>
      <c r="Q1642" s="6"/>
      <c r="R1642" s="6"/>
      <c r="S1642" s="6"/>
      <c r="T1642" s="6"/>
      <c r="U1642" s="6"/>
      <c r="V1642" s="6"/>
      <c r="W1642" s="6"/>
      <c r="X1642" s="6"/>
      <c r="Y1642" s="6"/>
      <c r="Z1642" s="6"/>
      <c r="AA1642" s="6"/>
      <c r="AB1642" s="6"/>
      <c r="AC1642" s="6"/>
      <c r="AD1642" s="6"/>
      <c r="AE1642" s="6"/>
      <c r="AF1642" s="6"/>
      <c r="AG1642" s="6"/>
    </row>
    <row r="1643" ht="14.25" customHeight="1">
      <c r="A1643" s="6"/>
      <c r="B1643" s="6"/>
      <c r="C1643" s="6">
        <v>1636.0</v>
      </c>
      <c r="D1643" s="6"/>
      <c r="E1643" s="6">
        <v>5409851.688343939</v>
      </c>
      <c r="F1643" s="6">
        <v>432.9252253478938</v>
      </c>
      <c r="G1643" s="6">
        <v>5.431998494907557</v>
      </c>
      <c r="H1643" s="6">
        <v>5297551.550143766</v>
      </c>
      <c r="I1643" s="6">
        <v>428.1699526104388</v>
      </c>
      <c r="J1643" s="6">
        <v>3.5740868809701483</v>
      </c>
      <c r="K1643" s="6"/>
      <c r="L1643" s="6"/>
      <c r="M1643" s="6"/>
      <c r="N1643" s="6">
        <f t="shared" ref="N1643:P1643" si="1646">IF(LEN($C1643)&gt;0,H1643-E1643,"")</f>
        <v>-112300.1382</v>
      </c>
      <c r="O1643" s="6">
        <f t="shared" si="1646"/>
        <v>-4.755272737</v>
      </c>
      <c r="P1643" s="6">
        <f t="shared" si="1646"/>
        <v>-1.857911614</v>
      </c>
      <c r="Q1643" s="6"/>
      <c r="R1643" s="6"/>
      <c r="S1643" s="6"/>
      <c r="T1643" s="6"/>
      <c r="U1643" s="6"/>
      <c r="V1643" s="6"/>
      <c r="W1643" s="6"/>
      <c r="X1643" s="6"/>
      <c r="Y1643" s="6"/>
      <c r="Z1643" s="6"/>
      <c r="AA1643" s="6"/>
      <c r="AB1643" s="6"/>
      <c r="AC1643" s="6"/>
      <c r="AD1643" s="6"/>
      <c r="AE1643" s="6"/>
      <c r="AF1643" s="6"/>
      <c r="AG1643" s="6"/>
    </row>
    <row r="1644" ht="14.25" customHeight="1">
      <c r="A1644" s="6"/>
      <c r="B1644" s="6"/>
      <c r="C1644" s="6">
        <v>1637.0</v>
      </c>
      <c r="D1644" s="6"/>
      <c r="E1644" s="6">
        <v>7949754.505027555</v>
      </c>
      <c r="F1644" s="6">
        <v>489.82706914223047</v>
      </c>
      <c r="G1644" s="6">
        <v>5.133204317765688</v>
      </c>
      <c r="H1644" s="6">
        <v>7819188.784664566</v>
      </c>
      <c r="I1644" s="6">
        <v>486.10404688338224</v>
      </c>
      <c r="J1644" s="6">
        <v>4.163568175785591</v>
      </c>
      <c r="K1644" s="6"/>
      <c r="L1644" s="6"/>
      <c r="M1644" s="6"/>
      <c r="N1644" s="6">
        <f t="shared" ref="N1644:P1644" si="1647">IF(LEN($C1644)&gt;0,H1644-E1644,"")</f>
        <v>-130565.7204</v>
      </c>
      <c r="O1644" s="6">
        <f t="shared" si="1647"/>
        <v>-3.723022259</v>
      </c>
      <c r="P1644" s="6">
        <f t="shared" si="1647"/>
        <v>-0.969636142</v>
      </c>
      <c r="Q1644" s="6"/>
      <c r="R1644" s="6"/>
      <c r="S1644" s="6"/>
      <c r="T1644" s="6"/>
      <c r="U1644" s="6"/>
      <c r="V1644" s="6"/>
      <c r="W1644" s="6"/>
      <c r="X1644" s="6"/>
      <c r="Y1644" s="6"/>
      <c r="Z1644" s="6"/>
      <c r="AA1644" s="6"/>
      <c r="AB1644" s="6"/>
      <c r="AC1644" s="6"/>
      <c r="AD1644" s="6"/>
      <c r="AE1644" s="6"/>
      <c r="AF1644" s="6"/>
      <c r="AG1644" s="6"/>
    </row>
    <row r="1645" ht="14.25" customHeight="1">
      <c r="A1645" s="6"/>
      <c r="B1645" s="6"/>
      <c r="C1645" s="6">
        <v>1638.0</v>
      </c>
      <c r="D1645" s="6"/>
      <c r="E1645" s="6">
        <v>8356772.166056038</v>
      </c>
      <c r="F1645" s="6">
        <v>448.3825764033882</v>
      </c>
      <c r="G1645" s="6">
        <v>5.988577061615935</v>
      </c>
      <c r="H1645" s="6">
        <v>8187471.145267006</v>
      </c>
      <c r="I1645" s="6">
        <v>441.4412812997842</v>
      </c>
      <c r="J1645" s="6">
        <v>4.481209546359615</v>
      </c>
      <c r="K1645" s="6"/>
      <c r="L1645" s="6"/>
      <c r="M1645" s="6"/>
      <c r="N1645" s="6">
        <f t="shared" ref="N1645:P1645" si="1648">IF(LEN($C1645)&gt;0,H1645-E1645,"")</f>
        <v>-169301.0208</v>
      </c>
      <c r="O1645" s="6">
        <f t="shared" si="1648"/>
        <v>-6.941295104</v>
      </c>
      <c r="P1645" s="6">
        <f t="shared" si="1648"/>
        <v>-1.507367515</v>
      </c>
      <c r="Q1645" s="6"/>
      <c r="R1645" s="6"/>
      <c r="S1645" s="6"/>
      <c r="T1645" s="6"/>
      <c r="U1645" s="6"/>
      <c r="V1645" s="6"/>
      <c r="W1645" s="6"/>
      <c r="X1645" s="6"/>
      <c r="Y1645" s="6"/>
      <c r="Z1645" s="6"/>
      <c r="AA1645" s="6"/>
      <c r="AB1645" s="6"/>
      <c r="AC1645" s="6"/>
      <c r="AD1645" s="6"/>
      <c r="AE1645" s="6"/>
      <c r="AF1645" s="6"/>
      <c r="AG1645" s="6"/>
    </row>
    <row r="1646" ht="14.25" customHeight="1">
      <c r="A1646" s="6"/>
      <c r="B1646" s="6"/>
      <c r="C1646" s="6">
        <v>1639.0</v>
      </c>
      <c r="D1646" s="6"/>
      <c r="E1646" s="6">
        <v>7107646.117347708</v>
      </c>
      <c r="F1646" s="6">
        <v>465.81546602925687</v>
      </c>
      <c r="G1646" s="6">
        <v>5.431059119790049</v>
      </c>
      <c r="H1646" s="6">
        <v>7004454.167202959</v>
      </c>
      <c r="I1646" s="6">
        <v>462.5384790787807</v>
      </c>
      <c r="J1646" s="6">
        <v>3.948884923616174</v>
      </c>
      <c r="K1646" s="6"/>
      <c r="L1646" s="6"/>
      <c r="M1646" s="6"/>
      <c r="N1646" s="6">
        <f t="shared" ref="N1646:P1646" si="1649">IF(LEN($C1646)&gt;0,H1646-E1646,"")</f>
        <v>-103191.9501</v>
      </c>
      <c r="O1646" s="6">
        <f t="shared" si="1649"/>
        <v>-3.27698695</v>
      </c>
      <c r="P1646" s="6">
        <f t="shared" si="1649"/>
        <v>-1.482174196</v>
      </c>
      <c r="Q1646" s="6"/>
      <c r="R1646" s="6"/>
      <c r="S1646" s="6"/>
      <c r="T1646" s="6"/>
      <c r="U1646" s="6"/>
      <c r="V1646" s="6"/>
      <c r="W1646" s="6"/>
      <c r="X1646" s="6"/>
      <c r="Y1646" s="6"/>
      <c r="Z1646" s="6"/>
      <c r="AA1646" s="6"/>
      <c r="AB1646" s="6"/>
      <c r="AC1646" s="6"/>
      <c r="AD1646" s="6"/>
      <c r="AE1646" s="6"/>
      <c r="AF1646" s="6"/>
      <c r="AG1646" s="6"/>
    </row>
    <row r="1647" ht="14.25" customHeight="1">
      <c r="A1647" s="6"/>
      <c r="B1647" s="6"/>
      <c r="C1647" s="6">
        <v>1640.0</v>
      </c>
      <c r="D1647" s="6"/>
      <c r="E1647" s="6">
        <v>6362006.807963811</v>
      </c>
      <c r="F1647" s="6">
        <v>454.6765334520644</v>
      </c>
      <c r="G1647" s="6">
        <v>5.08198538740075</v>
      </c>
      <c r="H1647" s="6">
        <v>6264694.473980315</v>
      </c>
      <c r="I1647" s="6">
        <v>452.0565054398298</v>
      </c>
      <c r="J1647" s="6">
        <v>3.8033438284066543</v>
      </c>
      <c r="K1647" s="6"/>
      <c r="L1647" s="6"/>
      <c r="M1647" s="6"/>
      <c r="N1647" s="6">
        <f t="shared" ref="N1647:P1647" si="1650">IF(LEN($C1647)&gt;0,H1647-E1647,"")</f>
        <v>-97312.33398</v>
      </c>
      <c r="O1647" s="6">
        <f t="shared" si="1650"/>
        <v>-2.620028012</v>
      </c>
      <c r="P1647" s="6">
        <f t="shared" si="1650"/>
        <v>-1.278641559</v>
      </c>
      <c r="Q1647" s="6"/>
      <c r="R1647" s="6"/>
      <c r="S1647" s="6"/>
      <c r="T1647" s="6"/>
      <c r="U1647" s="6"/>
      <c r="V1647" s="6"/>
      <c r="W1647" s="6"/>
      <c r="X1647" s="6"/>
      <c r="Y1647" s="6"/>
      <c r="Z1647" s="6"/>
      <c r="AA1647" s="6"/>
      <c r="AB1647" s="6"/>
      <c r="AC1647" s="6"/>
      <c r="AD1647" s="6"/>
      <c r="AE1647" s="6"/>
      <c r="AF1647" s="6"/>
      <c r="AG1647" s="6"/>
    </row>
    <row r="1648" ht="14.25" customHeight="1">
      <c r="A1648" s="6"/>
      <c r="B1648" s="6"/>
      <c r="C1648" s="6">
        <v>1641.0</v>
      </c>
      <c r="D1648" s="6"/>
      <c r="E1648" s="6">
        <v>7009376.280010551</v>
      </c>
      <c r="F1648" s="6">
        <v>478.08232785468283</v>
      </c>
      <c r="G1648" s="6">
        <v>5.419913916139304</v>
      </c>
      <c r="H1648" s="6">
        <v>6894769.137357886</v>
      </c>
      <c r="I1648" s="6">
        <v>474.7692078219325</v>
      </c>
      <c r="J1648" s="6">
        <v>4.039417168113507</v>
      </c>
      <c r="K1648" s="6"/>
      <c r="L1648" s="6"/>
      <c r="M1648" s="6"/>
      <c r="N1648" s="6">
        <f t="shared" ref="N1648:P1648" si="1651">IF(LEN($C1648)&gt;0,H1648-E1648,"")</f>
        <v>-114607.1427</v>
      </c>
      <c r="O1648" s="6">
        <f t="shared" si="1651"/>
        <v>-3.313120033</v>
      </c>
      <c r="P1648" s="6">
        <f t="shared" si="1651"/>
        <v>-1.380496748</v>
      </c>
      <c r="Q1648" s="6"/>
      <c r="R1648" s="6"/>
      <c r="S1648" s="6"/>
      <c r="T1648" s="6"/>
      <c r="U1648" s="6"/>
      <c r="V1648" s="6"/>
      <c r="W1648" s="6"/>
      <c r="X1648" s="6"/>
      <c r="Y1648" s="6"/>
      <c r="Z1648" s="6"/>
      <c r="AA1648" s="6"/>
      <c r="AB1648" s="6"/>
      <c r="AC1648" s="6"/>
      <c r="AD1648" s="6"/>
      <c r="AE1648" s="6"/>
      <c r="AF1648" s="6"/>
      <c r="AG1648" s="6"/>
    </row>
    <row r="1649" ht="14.25" customHeight="1">
      <c r="A1649" s="6"/>
      <c r="B1649" s="6"/>
      <c r="C1649" s="6">
        <v>1642.0</v>
      </c>
      <c r="D1649" s="6"/>
      <c r="E1649" s="6">
        <v>7719435.783160305</v>
      </c>
      <c r="F1649" s="6">
        <v>442.1261642207031</v>
      </c>
      <c r="G1649" s="6">
        <v>4.701818282907521</v>
      </c>
      <c r="H1649" s="6">
        <v>7620819.000536831</v>
      </c>
      <c r="I1649" s="6">
        <v>438.4389982712296</v>
      </c>
      <c r="J1649" s="6">
        <v>3.438493920313185</v>
      </c>
      <c r="K1649" s="6"/>
      <c r="L1649" s="6"/>
      <c r="M1649" s="6"/>
      <c r="N1649" s="6">
        <f t="shared" ref="N1649:P1649" si="1652">IF(LEN($C1649)&gt;0,H1649-E1649,"")</f>
        <v>-98616.78262</v>
      </c>
      <c r="O1649" s="6">
        <f t="shared" si="1652"/>
        <v>-3.687165949</v>
      </c>
      <c r="P1649" s="6">
        <f t="shared" si="1652"/>
        <v>-1.263324363</v>
      </c>
      <c r="Q1649" s="6"/>
      <c r="R1649" s="6"/>
      <c r="S1649" s="6"/>
      <c r="T1649" s="6"/>
      <c r="U1649" s="6"/>
      <c r="V1649" s="6"/>
      <c r="W1649" s="6"/>
      <c r="X1649" s="6"/>
      <c r="Y1649" s="6"/>
      <c r="Z1649" s="6"/>
      <c r="AA1649" s="6"/>
      <c r="AB1649" s="6"/>
      <c r="AC1649" s="6"/>
      <c r="AD1649" s="6"/>
      <c r="AE1649" s="6"/>
      <c r="AF1649" s="6"/>
      <c r="AG1649" s="6"/>
    </row>
    <row r="1650" ht="14.25" customHeight="1">
      <c r="A1650" s="6"/>
      <c r="B1650" s="6"/>
      <c r="C1650" s="6">
        <v>1643.0</v>
      </c>
      <c r="D1650" s="6"/>
      <c r="E1650" s="6">
        <v>7162026.320568599</v>
      </c>
      <c r="F1650" s="6">
        <v>461.0721638654633</v>
      </c>
      <c r="G1650" s="6">
        <v>5.240152039454817</v>
      </c>
      <c r="H1650" s="6">
        <v>6966422.798256396</v>
      </c>
      <c r="I1650" s="6">
        <v>452.66025986969447</v>
      </c>
      <c r="J1650" s="6">
        <v>3.498440554585423</v>
      </c>
      <c r="K1650" s="6"/>
      <c r="L1650" s="6"/>
      <c r="M1650" s="6"/>
      <c r="N1650" s="6">
        <f t="shared" ref="N1650:P1650" si="1653">IF(LEN($C1650)&gt;0,H1650-E1650,"")</f>
        <v>-195603.5223</v>
      </c>
      <c r="O1650" s="6">
        <f t="shared" si="1653"/>
        <v>-8.411903996</v>
      </c>
      <c r="P1650" s="6">
        <f t="shared" si="1653"/>
        <v>-1.741711485</v>
      </c>
      <c r="Q1650" s="6"/>
      <c r="R1650" s="6"/>
      <c r="S1650" s="6"/>
      <c r="T1650" s="6"/>
      <c r="U1650" s="6"/>
      <c r="V1650" s="6"/>
      <c r="W1650" s="6"/>
      <c r="X1650" s="6"/>
      <c r="Y1650" s="6"/>
      <c r="Z1650" s="6"/>
      <c r="AA1650" s="6"/>
      <c r="AB1650" s="6"/>
      <c r="AC1650" s="6"/>
      <c r="AD1650" s="6"/>
      <c r="AE1650" s="6"/>
      <c r="AF1650" s="6"/>
      <c r="AG1650" s="6"/>
    </row>
    <row r="1651" ht="14.25" customHeight="1">
      <c r="A1651" s="6"/>
      <c r="B1651" s="6"/>
      <c r="C1651" s="6">
        <v>1644.0</v>
      </c>
      <c r="D1651" s="6"/>
      <c r="E1651" s="6">
        <v>6810603.637762194</v>
      </c>
      <c r="F1651" s="6">
        <v>441.1491641523485</v>
      </c>
      <c r="G1651" s="6">
        <v>5.327760130785906</v>
      </c>
      <c r="H1651" s="6">
        <v>6719722.327102834</v>
      </c>
      <c r="I1651" s="6">
        <v>437.08792300442275</v>
      </c>
      <c r="J1651" s="6">
        <v>4.011248137227839</v>
      </c>
      <c r="K1651" s="6"/>
      <c r="L1651" s="6"/>
      <c r="M1651" s="6"/>
      <c r="N1651" s="6">
        <f t="shared" ref="N1651:P1651" si="1654">IF(LEN($C1651)&gt;0,H1651-E1651,"")</f>
        <v>-90881.31066</v>
      </c>
      <c r="O1651" s="6">
        <f t="shared" si="1654"/>
        <v>-4.061241148</v>
      </c>
      <c r="P1651" s="6">
        <f t="shared" si="1654"/>
        <v>-1.316511994</v>
      </c>
      <c r="Q1651" s="6"/>
      <c r="R1651" s="6"/>
      <c r="S1651" s="6"/>
      <c r="T1651" s="6"/>
      <c r="U1651" s="6"/>
      <c r="V1651" s="6"/>
      <c r="W1651" s="6"/>
      <c r="X1651" s="6"/>
      <c r="Y1651" s="6"/>
      <c r="Z1651" s="6"/>
      <c r="AA1651" s="6"/>
      <c r="AB1651" s="6"/>
      <c r="AC1651" s="6"/>
      <c r="AD1651" s="6"/>
      <c r="AE1651" s="6"/>
      <c r="AF1651" s="6"/>
      <c r="AG1651" s="6"/>
    </row>
    <row r="1652" ht="14.25" customHeight="1">
      <c r="A1652" s="6"/>
      <c r="B1652" s="6"/>
      <c r="C1652" s="6">
        <v>1645.0</v>
      </c>
      <c r="D1652" s="6"/>
      <c r="E1652" s="6">
        <v>7477423.156875721</v>
      </c>
      <c r="F1652" s="6">
        <v>488.07279302391214</v>
      </c>
      <c r="G1652" s="6">
        <v>4.218155898921119</v>
      </c>
      <c r="H1652" s="6">
        <v>7394379.698000628</v>
      </c>
      <c r="I1652" s="6">
        <v>482.7390630318114</v>
      </c>
      <c r="J1652" s="6">
        <v>3.3817525464252807</v>
      </c>
      <c r="K1652" s="6"/>
      <c r="L1652" s="6"/>
      <c r="M1652" s="6"/>
      <c r="N1652" s="6">
        <f t="shared" ref="N1652:P1652" si="1655">IF(LEN($C1652)&gt;0,H1652-E1652,"")</f>
        <v>-83043.45888</v>
      </c>
      <c r="O1652" s="6">
        <f t="shared" si="1655"/>
        <v>-5.333729992</v>
      </c>
      <c r="P1652" s="6">
        <f t="shared" si="1655"/>
        <v>-0.8364033525</v>
      </c>
      <c r="Q1652" s="6"/>
      <c r="R1652" s="6"/>
      <c r="S1652" s="6"/>
      <c r="T1652" s="6"/>
      <c r="U1652" s="6"/>
      <c r="V1652" s="6"/>
      <c r="W1652" s="6"/>
      <c r="X1652" s="6"/>
      <c r="Y1652" s="6"/>
      <c r="Z1652" s="6"/>
      <c r="AA1652" s="6"/>
      <c r="AB1652" s="6"/>
      <c r="AC1652" s="6"/>
      <c r="AD1652" s="6"/>
      <c r="AE1652" s="6"/>
      <c r="AF1652" s="6"/>
      <c r="AG1652" s="6"/>
    </row>
    <row r="1653" ht="14.25" customHeight="1">
      <c r="A1653" s="6"/>
      <c r="B1653" s="6"/>
      <c r="C1653" s="6">
        <v>1646.0</v>
      </c>
      <c r="D1653" s="6"/>
      <c r="E1653" s="6">
        <v>7598757.398731789</v>
      </c>
      <c r="F1653" s="6">
        <v>483.4387010193783</v>
      </c>
      <c r="G1653" s="6">
        <v>5.325124164046796</v>
      </c>
      <c r="H1653" s="6">
        <v>7500655.865824862</v>
      </c>
      <c r="I1653" s="6">
        <v>479.23028240328654</v>
      </c>
      <c r="J1653" s="6">
        <v>4.2387996965208705</v>
      </c>
      <c r="K1653" s="6"/>
      <c r="L1653" s="6"/>
      <c r="M1653" s="6"/>
      <c r="N1653" s="6">
        <f t="shared" ref="N1653:P1653" si="1656">IF(LEN($C1653)&gt;0,H1653-E1653,"")</f>
        <v>-98101.53291</v>
      </c>
      <c r="O1653" s="6">
        <f t="shared" si="1656"/>
        <v>-4.208418616</v>
      </c>
      <c r="P1653" s="6">
        <f t="shared" si="1656"/>
        <v>-1.086324468</v>
      </c>
      <c r="Q1653" s="6"/>
      <c r="R1653" s="6"/>
      <c r="S1653" s="6"/>
      <c r="T1653" s="6"/>
      <c r="U1653" s="6"/>
      <c r="V1653" s="6"/>
      <c r="W1653" s="6"/>
      <c r="X1653" s="6"/>
      <c r="Y1653" s="6"/>
      <c r="Z1653" s="6"/>
      <c r="AA1653" s="6"/>
      <c r="AB1653" s="6"/>
      <c r="AC1653" s="6"/>
      <c r="AD1653" s="6"/>
      <c r="AE1653" s="6"/>
      <c r="AF1653" s="6"/>
      <c r="AG1653" s="6"/>
    </row>
    <row r="1654" ht="14.25" customHeight="1">
      <c r="A1654" s="6"/>
      <c r="B1654" s="6"/>
      <c r="C1654" s="6">
        <v>1647.0</v>
      </c>
      <c r="D1654" s="6"/>
      <c r="E1654" s="6">
        <v>7105974.373042196</v>
      </c>
      <c r="F1654" s="6">
        <v>465.6347665501222</v>
      </c>
      <c r="G1654" s="6">
        <v>5.09366842560367</v>
      </c>
      <c r="H1654" s="6">
        <v>6976610.445576508</v>
      </c>
      <c r="I1654" s="6">
        <v>460.0513157553245</v>
      </c>
      <c r="J1654" s="6">
        <v>3.8664718422129125</v>
      </c>
      <c r="K1654" s="6"/>
      <c r="L1654" s="6"/>
      <c r="M1654" s="6"/>
      <c r="N1654" s="6">
        <f t="shared" ref="N1654:P1654" si="1657">IF(LEN($C1654)&gt;0,H1654-E1654,"")</f>
        <v>-129363.9275</v>
      </c>
      <c r="O1654" s="6">
        <f t="shared" si="1657"/>
        <v>-5.583450795</v>
      </c>
      <c r="P1654" s="6">
        <f t="shared" si="1657"/>
        <v>-1.227196583</v>
      </c>
      <c r="Q1654" s="6"/>
      <c r="R1654" s="6"/>
      <c r="S1654" s="6"/>
      <c r="T1654" s="6"/>
      <c r="U1654" s="6"/>
      <c r="V1654" s="6"/>
      <c r="W1654" s="6"/>
      <c r="X1654" s="6"/>
      <c r="Y1654" s="6"/>
      <c r="Z1654" s="6"/>
      <c r="AA1654" s="6"/>
      <c r="AB1654" s="6"/>
      <c r="AC1654" s="6"/>
      <c r="AD1654" s="6"/>
      <c r="AE1654" s="6"/>
      <c r="AF1654" s="6"/>
      <c r="AG1654" s="6"/>
    </row>
    <row r="1655" ht="14.25" customHeight="1">
      <c r="A1655" s="6"/>
      <c r="B1655" s="6"/>
      <c r="C1655" s="6">
        <v>1648.0</v>
      </c>
      <c r="D1655" s="6"/>
      <c r="E1655" s="6">
        <v>6934031.455031912</v>
      </c>
      <c r="F1655" s="6">
        <v>454.38663226213913</v>
      </c>
      <c r="G1655" s="6">
        <v>6.5055558558254285</v>
      </c>
      <c r="H1655" s="6">
        <v>6908192.364786083</v>
      </c>
      <c r="I1655" s="6">
        <v>453.38719079807316</v>
      </c>
      <c r="J1655" s="6">
        <v>6.168622777682745</v>
      </c>
      <c r="K1655" s="6"/>
      <c r="L1655" s="6"/>
      <c r="M1655" s="6"/>
      <c r="N1655" s="6">
        <f t="shared" ref="N1655:P1655" si="1658">IF(LEN($C1655)&gt;0,H1655-E1655,"")</f>
        <v>-25839.09025</v>
      </c>
      <c r="O1655" s="6">
        <f t="shared" si="1658"/>
        <v>-0.9994414641</v>
      </c>
      <c r="P1655" s="6">
        <f t="shared" si="1658"/>
        <v>-0.3369330781</v>
      </c>
      <c r="Q1655" s="6"/>
      <c r="R1655" s="6"/>
      <c r="S1655" s="6"/>
      <c r="T1655" s="6"/>
      <c r="U1655" s="6"/>
      <c r="V1655" s="6"/>
      <c r="W1655" s="6"/>
      <c r="X1655" s="6"/>
      <c r="Y1655" s="6"/>
      <c r="Z1655" s="6"/>
      <c r="AA1655" s="6"/>
      <c r="AB1655" s="6"/>
      <c r="AC1655" s="6"/>
      <c r="AD1655" s="6"/>
      <c r="AE1655" s="6"/>
      <c r="AF1655" s="6"/>
      <c r="AG1655" s="6"/>
    </row>
    <row r="1656" ht="14.25" customHeight="1">
      <c r="A1656" s="6"/>
      <c r="B1656" s="6"/>
      <c r="C1656" s="6">
        <v>1649.0</v>
      </c>
      <c r="D1656" s="6"/>
      <c r="E1656" s="6">
        <v>7937728.276829225</v>
      </c>
      <c r="F1656" s="6">
        <v>491.1829273553765</v>
      </c>
      <c r="G1656" s="6">
        <v>5.618020819255209</v>
      </c>
      <c r="H1656" s="6">
        <v>7757236.614029738</v>
      </c>
      <c r="I1656" s="6">
        <v>484.89962782071456</v>
      </c>
      <c r="J1656" s="6">
        <v>3.821936967309182</v>
      </c>
      <c r="K1656" s="6"/>
      <c r="L1656" s="6"/>
      <c r="M1656" s="6"/>
      <c r="N1656" s="6">
        <f t="shared" ref="N1656:P1656" si="1659">IF(LEN($C1656)&gt;0,H1656-E1656,"")</f>
        <v>-180491.6628</v>
      </c>
      <c r="O1656" s="6">
        <f t="shared" si="1659"/>
        <v>-6.283299535</v>
      </c>
      <c r="P1656" s="6">
        <f t="shared" si="1659"/>
        <v>-1.796083852</v>
      </c>
      <c r="Q1656" s="6"/>
      <c r="R1656" s="6"/>
      <c r="S1656" s="6"/>
      <c r="T1656" s="6"/>
      <c r="U1656" s="6"/>
      <c r="V1656" s="6"/>
      <c r="W1656" s="6"/>
      <c r="X1656" s="6"/>
      <c r="Y1656" s="6"/>
      <c r="Z1656" s="6"/>
      <c r="AA1656" s="6"/>
      <c r="AB1656" s="6"/>
      <c r="AC1656" s="6"/>
      <c r="AD1656" s="6"/>
      <c r="AE1656" s="6"/>
      <c r="AF1656" s="6"/>
      <c r="AG1656" s="6"/>
    </row>
    <row r="1657" ht="14.25" customHeight="1">
      <c r="A1657" s="6"/>
      <c r="B1657" s="6"/>
      <c r="C1657" s="6">
        <v>1650.0</v>
      </c>
      <c r="D1657" s="6"/>
      <c r="E1657" s="6">
        <v>7343425.315320041</v>
      </c>
      <c r="F1657" s="6">
        <v>456.9024899072591</v>
      </c>
      <c r="G1657" s="6">
        <v>4.190071560730679</v>
      </c>
      <c r="H1657" s="6">
        <v>7290848.032298741</v>
      </c>
      <c r="I1657" s="6">
        <v>454.3984677059764</v>
      </c>
      <c r="J1657" s="6">
        <v>3.1564540369894942</v>
      </c>
      <c r="K1657" s="6"/>
      <c r="L1657" s="6"/>
      <c r="M1657" s="6"/>
      <c r="N1657" s="6">
        <f t="shared" ref="N1657:P1657" si="1660">IF(LEN($C1657)&gt;0,H1657-E1657,"")</f>
        <v>-52577.28302</v>
      </c>
      <c r="O1657" s="6">
        <f t="shared" si="1660"/>
        <v>-2.504022201</v>
      </c>
      <c r="P1657" s="6">
        <f t="shared" si="1660"/>
        <v>-1.033617524</v>
      </c>
      <c r="Q1657" s="6"/>
      <c r="R1657" s="6"/>
      <c r="S1657" s="6"/>
      <c r="T1657" s="6"/>
      <c r="U1657" s="6"/>
      <c r="V1657" s="6"/>
      <c r="W1657" s="6"/>
      <c r="X1657" s="6"/>
      <c r="Y1657" s="6"/>
      <c r="Z1657" s="6"/>
      <c r="AA1657" s="6"/>
      <c r="AB1657" s="6"/>
      <c r="AC1657" s="6"/>
      <c r="AD1657" s="6"/>
      <c r="AE1657" s="6"/>
      <c r="AF1657" s="6"/>
      <c r="AG1657" s="6"/>
    </row>
    <row r="1658" ht="14.25" customHeight="1">
      <c r="A1658" s="6"/>
      <c r="B1658" s="6"/>
      <c r="C1658" s="6">
        <v>1651.0</v>
      </c>
      <c r="D1658" s="6"/>
      <c r="E1658" s="6">
        <v>7436513.397590197</v>
      </c>
      <c r="F1658" s="6">
        <v>468.27376339202215</v>
      </c>
      <c r="G1658" s="6">
        <v>4.6394386682332645</v>
      </c>
      <c r="H1658" s="6">
        <v>7351619.744256118</v>
      </c>
      <c r="I1658" s="6">
        <v>465.20828376061377</v>
      </c>
      <c r="J1658" s="6">
        <v>3.3875231709059137</v>
      </c>
      <c r="K1658" s="6"/>
      <c r="L1658" s="6"/>
      <c r="M1658" s="6"/>
      <c r="N1658" s="6">
        <f t="shared" ref="N1658:P1658" si="1661">IF(LEN($C1658)&gt;0,H1658-E1658,"")</f>
        <v>-84893.65333</v>
      </c>
      <c r="O1658" s="6">
        <f t="shared" si="1661"/>
        <v>-3.065479631</v>
      </c>
      <c r="P1658" s="6">
        <f t="shared" si="1661"/>
        <v>-1.251915497</v>
      </c>
      <c r="Q1658" s="6"/>
      <c r="R1658" s="6"/>
      <c r="S1658" s="6"/>
      <c r="T1658" s="6"/>
      <c r="U1658" s="6"/>
      <c r="V1658" s="6"/>
      <c r="W1658" s="6"/>
      <c r="X1658" s="6"/>
      <c r="Y1658" s="6"/>
      <c r="Z1658" s="6"/>
      <c r="AA1658" s="6"/>
      <c r="AB1658" s="6"/>
      <c r="AC1658" s="6"/>
      <c r="AD1658" s="6"/>
      <c r="AE1658" s="6"/>
      <c r="AF1658" s="6"/>
      <c r="AG1658" s="6"/>
    </row>
    <row r="1659" ht="14.25" customHeight="1">
      <c r="A1659" s="6"/>
      <c r="B1659" s="6"/>
      <c r="C1659" s="6">
        <v>1652.0</v>
      </c>
      <c r="D1659" s="6"/>
      <c r="E1659" s="6">
        <v>6238971.345946457</v>
      </c>
      <c r="F1659" s="6">
        <v>458.13053220655473</v>
      </c>
      <c r="G1659" s="6">
        <v>4.800059992003076</v>
      </c>
      <c r="H1659" s="6">
        <v>6192273.507147706</v>
      </c>
      <c r="I1659" s="6">
        <v>455.9070039214</v>
      </c>
      <c r="J1659" s="6">
        <v>4.037319482788457</v>
      </c>
      <c r="K1659" s="6"/>
      <c r="L1659" s="6"/>
      <c r="M1659" s="6"/>
      <c r="N1659" s="6">
        <f t="shared" ref="N1659:P1659" si="1662">IF(LEN($C1659)&gt;0,H1659-E1659,"")</f>
        <v>-46697.8388</v>
      </c>
      <c r="O1659" s="6">
        <f t="shared" si="1662"/>
        <v>-2.223528285</v>
      </c>
      <c r="P1659" s="6">
        <f t="shared" si="1662"/>
        <v>-0.7627405092</v>
      </c>
      <c r="Q1659" s="6"/>
      <c r="R1659" s="6"/>
      <c r="S1659" s="6"/>
      <c r="T1659" s="6"/>
      <c r="U1659" s="6"/>
      <c r="V1659" s="6"/>
      <c r="W1659" s="6"/>
      <c r="X1659" s="6"/>
      <c r="Y1659" s="6"/>
      <c r="Z1659" s="6"/>
      <c r="AA1659" s="6"/>
      <c r="AB1659" s="6"/>
      <c r="AC1659" s="6"/>
      <c r="AD1659" s="6"/>
      <c r="AE1659" s="6"/>
      <c r="AF1659" s="6"/>
      <c r="AG1659" s="6"/>
    </row>
    <row r="1660" ht="14.25" customHeight="1">
      <c r="A1660" s="6"/>
      <c r="B1660" s="6"/>
      <c r="C1660" s="6">
        <v>1653.0</v>
      </c>
      <c r="D1660" s="6"/>
      <c r="E1660" s="6">
        <v>7447442.140762692</v>
      </c>
      <c r="F1660" s="6">
        <v>471.8848600030446</v>
      </c>
      <c r="G1660" s="6">
        <v>4.8196701527697865</v>
      </c>
      <c r="H1660" s="6">
        <v>7290897.693153726</v>
      </c>
      <c r="I1660" s="6">
        <v>465.2603162149033</v>
      </c>
      <c r="J1660" s="6">
        <v>3.292872078563706</v>
      </c>
      <c r="K1660" s="6"/>
      <c r="L1660" s="6"/>
      <c r="M1660" s="6"/>
      <c r="N1660" s="6">
        <f t="shared" ref="N1660:P1660" si="1663">IF(LEN($C1660)&gt;0,H1660-E1660,"")</f>
        <v>-156544.4476</v>
      </c>
      <c r="O1660" s="6">
        <f t="shared" si="1663"/>
        <v>-6.624543788</v>
      </c>
      <c r="P1660" s="6">
        <f t="shared" si="1663"/>
        <v>-1.526798074</v>
      </c>
      <c r="Q1660" s="6"/>
      <c r="R1660" s="6"/>
      <c r="S1660" s="6"/>
      <c r="T1660" s="6"/>
      <c r="U1660" s="6"/>
      <c r="V1660" s="6"/>
      <c r="W1660" s="6"/>
      <c r="X1660" s="6"/>
      <c r="Y1660" s="6"/>
      <c r="Z1660" s="6"/>
      <c r="AA1660" s="6"/>
      <c r="AB1660" s="6"/>
      <c r="AC1660" s="6"/>
      <c r="AD1660" s="6"/>
      <c r="AE1660" s="6"/>
      <c r="AF1660" s="6"/>
      <c r="AG1660" s="6"/>
    </row>
    <row r="1661" ht="14.25" customHeight="1">
      <c r="A1661" s="6"/>
      <c r="B1661" s="6"/>
      <c r="C1661" s="6">
        <v>1654.0</v>
      </c>
      <c r="D1661" s="6"/>
      <c r="E1661" s="6">
        <v>5947588.982636182</v>
      </c>
      <c r="F1661" s="6">
        <v>436.5072681044598</v>
      </c>
      <c r="G1661" s="6">
        <v>4.634534210891337</v>
      </c>
      <c r="H1661" s="6">
        <v>5920770.067388215</v>
      </c>
      <c r="I1661" s="6">
        <v>435.791949345504</v>
      </c>
      <c r="J1661" s="6">
        <v>4.199493711791238</v>
      </c>
      <c r="K1661" s="6"/>
      <c r="L1661" s="6"/>
      <c r="M1661" s="6"/>
      <c r="N1661" s="6">
        <f t="shared" ref="N1661:P1661" si="1664">IF(LEN($C1661)&gt;0,H1661-E1661,"")</f>
        <v>-26818.91525</v>
      </c>
      <c r="O1661" s="6">
        <f t="shared" si="1664"/>
        <v>-0.715318759</v>
      </c>
      <c r="P1661" s="6">
        <f t="shared" si="1664"/>
        <v>-0.4350404991</v>
      </c>
      <c r="Q1661" s="6"/>
      <c r="R1661" s="6"/>
      <c r="S1661" s="6"/>
      <c r="T1661" s="6"/>
      <c r="U1661" s="6"/>
      <c r="V1661" s="6"/>
      <c r="W1661" s="6"/>
      <c r="X1661" s="6"/>
      <c r="Y1661" s="6"/>
      <c r="Z1661" s="6"/>
      <c r="AA1661" s="6"/>
      <c r="AB1661" s="6"/>
      <c r="AC1661" s="6"/>
      <c r="AD1661" s="6"/>
      <c r="AE1661" s="6"/>
      <c r="AF1661" s="6"/>
      <c r="AG1661" s="6"/>
    </row>
    <row r="1662" ht="14.25" customHeight="1">
      <c r="A1662" s="6"/>
      <c r="B1662" s="6"/>
      <c r="C1662" s="6">
        <v>1655.0</v>
      </c>
      <c r="D1662" s="6"/>
      <c r="E1662" s="6">
        <v>8198254.53837673</v>
      </c>
      <c r="F1662" s="6">
        <v>477.0330157372552</v>
      </c>
      <c r="G1662" s="6">
        <v>4.874509621245787</v>
      </c>
      <c r="H1662" s="6">
        <v>8098198.243037803</v>
      </c>
      <c r="I1662" s="6">
        <v>473.5028770616001</v>
      </c>
      <c r="J1662" s="6">
        <v>3.5025361929934347</v>
      </c>
      <c r="K1662" s="6"/>
      <c r="L1662" s="6"/>
      <c r="M1662" s="6"/>
      <c r="N1662" s="6">
        <f t="shared" ref="N1662:P1662" si="1665">IF(LEN($C1662)&gt;0,H1662-E1662,"")</f>
        <v>-100056.2953</v>
      </c>
      <c r="O1662" s="6">
        <f t="shared" si="1665"/>
        <v>-3.530138676</v>
      </c>
      <c r="P1662" s="6">
        <f t="shared" si="1665"/>
        <v>-1.371973428</v>
      </c>
      <c r="Q1662" s="6"/>
      <c r="R1662" s="6"/>
      <c r="S1662" s="6"/>
      <c r="T1662" s="6"/>
      <c r="U1662" s="6"/>
      <c r="V1662" s="6"/>
      <c r="W1662" s="6"/>
      <c r="X1662" s="6"/>
      <c r="Y1662" s="6"/>
      <c r="Z1662" s="6"/>
      <c r="AA1662" s="6"/>
      <c r="AB1662" s="6"/>
      <c r="AC1662" s="6"/>
      <c r="AD1662" s="6"/>
      <c r="AE1662" s="6"/>
      <c r="AF1662" s="6"/>
      <c r="AG1662" s="6"/>
    </row>
    <row r="1663" ht="14.25" customHeight="1">
      <c r="A1663" s="6"/>
      <c r="B1663" s="6"/>
      <c r="C1663" s="6">
        <v>1656.0</v>
      </c>
      <c r="D1663" s="6"/>
      <c r="E1663" s="6">
        <v>8590083.06371938</v>
      </c>
      <c r="F1663" s="6">
        <v>473.58288523039045</v>
      </c>
      <c r="G1663" s="6">
        <v>4.698956790500778</v>
      </c>
      <c r="H1663" s="6">
        <v>8435842.680145167</v>
      </c>
      <c r="I1663" s="6">
        <v>469.049298320925</v>
      </c>
      <c r="J1663" s="6">
        <v>3.649635289828455</v>
      </c>
      <c r="K1663" s="6"/>
      <c r="L1663" s="6"/>
      <c r="M1663" s="6"/>
      <c r="N1663" s="6">
        <f t="shared" ref="N1663:P1663" si="1666">IF(LEN($C1663)&gt;0,H1663-E1663,"")</f>
        <v>-154240.3836</v>
      </c>
      <c r="O1663" s="6">
        <f t="shared" si="1666"/>
        <v>-4.533586909</v>
      </c>
      <c r="P1663" s="6">
        <f t="shared" si="1666"/>
        <v>-1.049321501</v>
      </c>
      <c r="Q1663" s="6"/>
      <c r="R1663" s="6"/>
      <c r="S1663" s="6"/>
      <c r="T1663" s="6"/>
      <c r="U1663" s="6"/>
      <c r="V1663" s="6"/>
      <c r="W1663" s="6"/>
      <c r="X1663" s="6"/>
      <c r="Y1663" s="6"/>
      <c r="Z1663" s="6"/>
      <c r="AA1663" s="6"/>
      <c r="AB1663" s="6"/>
      <c r="AC1663" s="6"/>
      <c r="AD1663" s="6"/>
      <c r="AE1663" s="6"/>
      <c r="AF1663" s="6"/>
      <c r="AG1663" s="6"/>
    </row>
    <row r="1664" ht="14.25" customHeight="1">
      <c r="A1664" s="6"/>
      <c r="B1664" s="6"/>
      <c r="C1664" s="6">
        <v>1657.0</v>
      </c>
      <c r="D1664" s="6"/>
      <c r="E1664" s="6">
        <v>5830641.307580233</v>
      </c>
      <c r="F1664" s="6">
        <v>502.67315630857377</v>
      </c>
      <c r="G1664" s="6">
        <v>4.857455762063528</v>
      </c>
      <c r="H1664" s="6">
        <v>5742385.525284696</v>
      </c>
      <c r="I1664" s="6">
        <v>499.10702333809337</v>
      </c>
      <c r="J1664" s="6">
        <v>3.8291959907609696</v>
      </c>
      <c r="K1664" s="6"/>
      <c r="L1664" s="6"/>
      <c r="M1664" s="6"/>
      <c r="N1664" s="6">
        <f t="shared" ref="N1664:P1664" si="1667">IF(LEN($C1664)&gt;0,H1664-E1664,"")</f>
        <v>-88255.7823</v>
      </c>
      <c r="O1664" s="6">
        <f t="shared" si="1667"/>
        <v>-3.56613297</v>
      </c>
      <c r="P1664" s="6">
        <f t="shared" si="1667"/>
        <v>-1.028259771</v>
      </c>
      <c r="Q1664" s="6"/>
      <c r="R1664" s="6"/>
      <c r="S1664" s="6"/>
      <c r="T1664" s="6"/>
      <c r="U1664" s="6"/>
      <c r="V1664" s="6"/>
      <c r="W1664" s="6"/>
      <c r="X1664" s="6"/>
      <c r="Y1664" s="6"/>
      <c r="Z1664" s="6"/>
      <c r="AA1664" s="6"/>
      <c r="AB1664" s="6"/>
      <c r="AC1664" s="6"/>
      <c r="AD1664" s="6"/>
      <c r="AE1664" s="6"/>
      <c r="AF1664" s="6"/>
      <c r="AG1664" s="6"/>
    </row>
    <row r="1665" ht="14.25" customHeight="1">
      <c r="A1665" s="6"/>
      <c r="B1665" s="6"/>
      <c r="C1665" s="6">
        <v>1658.0</v>
      </c>
      <c r="D1665" s="6"/>
      <c r="E1665" s="6">
        <v>8331865.684014761</v>
      </c>
      <c r="F1665" s="6">
        <v>450.9011537171763</v>
      </c>
      <c r="G1665" s="6">
        <v>5.447088770545853</v>
      </c>
      <c r="H1665" s="6">
        <v>8160003.415033813</v>
      </c>
      <c r="I1665" s="6">
        <v>445.09208404665685</v>
      </c>
      <c r="J1665" s="6">
        <v>4.057915425734453</v>
      </c>
      <c r="K1665" s="6"/>
      <c r="L1665" s="6"/>
      <c r="M1665" s="6"/>
      <c r="N1665" s="6">
        <f t="shared" ref="N1665:P1665" si="1668">IF(LEN($C1665)&gt;0,H1665-E1665,"")</f>
        <v>-171862.269</v>
      </c>
      <c r="O1665" s="6">
        <f t="shared" si="1668"/>
        <v>-5.809069671</v>
      </c>
      <c r="P1665" s="6">
        <f t="shared" si="1668"/>
        <v>-1.389173345</v>
      </c>
      <c r="Q1665" s="6"/>
      <c r="R1665" s="6"/>
      <c r="S1665" s="6"/>
      <c r="T1665" s="6"/>
      <c r="U1665" s="6"/>
      <c r="V1665" s="6"/>
      <c r="W1665" s="6"/>
      <c r="X1665" s="6"/>
      <c r="Y1665" s="6"/>
      <c r="Z1665" s="6"/>
      <c r="AA1665" s="6"/>
      <c r="AB1665" s="6"/>
      <c r="AC1665" s="6"/>
      <c r="AD1665" s="6"/>
      <c r="AE1665" s="6"/>
      <c r="AF1665" s="6"/>
      <c r="AG1665" s="6"/>
    </row>
    <row r="1666" ht="14.25" customHeight="1">
      <c r="A1666" s="6"/>
      <c r="B1666" s="6"/>
      <c r="C1666" s="6">
        <v>1659.0</v>
      </c>
      <c r="D1666" s="6"/>
      <c r="E1666" s="6">
        <v>6514573.749032022</v>
      </c>
      <c r="F1666" s="6">
        <v>477.1047096813362</v>
      </c>
      <c r="G1666" s="6">
        <v>5.539916374520533</v>
      </c>
      <c r="H1666" s="6">
        <v>6384573.794061141</v>
      </c>
      <c r="I1666" s="6">
        <v>472.9026019214179</v>
      </c>
      <c r="J1666" s="6">
        <v>4.035643327835079</v>
      </c>
      <c r="K1666" s="6"/>
      <c r="L1666" s="6"/>
      <c r="M1666" s="6"/>
      <c r="N1666" s="6">
        <f t="shared" ref="N1666:P1666" si="1669">IF(LEN($C1666)&gt;0,H1666-E1666,"")</f>
        <v>-129999.955</v>
      </c>
      <c r="O1666" s="6">
        <f t="shared" si="1669"/>
        <v>-4.20210776</v>
      </c>
      <c r="P1666" s="6">
        <f t="shared" si="1669"/>
        <v>-1.504273047</v>
      </c>
      <c r="Q1666" s="6"/>
      <c r="R1666" s="6"/>
      <c r="S1666" s="6"/>
      <c r="T1666" s="6"/>
      <c r="U1666" s="6"/>
      <c r="V1666" s="6"/>
      <c r="W1666" s="6"/>
      <c r="X1666" s="6"/>
      <c r="Y1666" s="6"/>
      <c r="Z1666" s="6"/>
      <c r="AA1666" s="6"/>
      <c r="AB1666" s="6"/>
      <c r="AC1666" s="6"/>
      <c r="AD1666" s="6"/>
      <c r="AE1666" s="6"/>
      <c r="AF1666" s="6"/>
      <c r="AG1666" s="6"/>
    </row>
    <row r="1667" ht="14.25" customHeight="1">
      <c r="A1667" s="6"/>
      <c r="B1667" s="6"/>
      <c r="C1667" s="6">
        <v>1660.0</v>
      </c>
      <c r="D1667" s="6"/>
      <c r="E1667" s="6">
        <v>7704173.439979033</v>
      </c>
      <c r="F1667" s="6">
        <v>441.54448492587665</v>
      </c>
      <c r="G1667" s="6">
        <v>4.313412219037728</v>
      </c>
      <c r="H1667" s="6">
        <v>7641245.727668009</v>
      </c>
      <c r="I1667" s="6">
        <v>439.2468943169311</v>
      </c>
      <c r="J1667" s="6">
        <v>3.558847818942106</v>
      </c>
      <c r="K1667" s="6"/>
      <c r="L1667" s="6"/>
      <c r="M1667" s="6"/>
      <c r="N1667" s="6">
        <f t="shared" ref="N1667:P1667" si="1670">IF(LEN($C1667)&gt;0,H1667-E1667,"")</f>
        <v>-62927.71231</v>
      </c>
      <c r="O1667" s="6">
        <f t="shared" si="1670"/>
        <v>-2.297590609</v>
      </c>
      <c r="P1667" s="6">
        <f t="shared" si="1670"/>
        <v>-0.7545644001</v>
      </c>
      <c r="Q1667" s="6"/>
      <c r="R1667" s="6"/>
      <c r="S1667" s="6"/>
      <c r="T1667" s="6"/>
      <c r="U1667" s="6"/>
      <c r="V1667" s="6"/>
      <c r="W1667" s="6"/>
      <c r="X1667" s="6"/>
      <c r="Y1667" s="6"/>
      <c r="Z1667" s="6"/>
      <c r="AA1667" s="6"/>
      <c r="AB1667" s="6"/>
      <c r="AC1667" s="6"/>
      <c r="AD1667" s="6"/>
      <c r="AE1667" s="6"/>
      <c r="AF1667" s="6"/>
      <c r="AG1667" s="6"/>
    </row>
    <row r="1668" ht="14.25" customHeight="1">
      <c r="A1668" s="6"/>
      <c r="B1668" s="6"/>
      <c r="C1668" s="6">
        <v>1661.0</v>
      </c>
      <c r="D1668" s="6"/>
      <c r="E1668" s="6">
        <v>6197079.952136369</v>
      </c>
      <c r="F1668" s="6">
        <v>455.06572924906567</v>
      </c>
      <c r="G1668" s="6">
        <v>5.739220072614976</v>
      </c>
      <c r="H1668" s="6">
        <v>6060114.461522511</v>
      </c>
      <c r="I1668" s="6">
        <v>450.2207396160502</v>
      </c>
      <c r="J1668" s="6">
        <v>3.818845123183164</v>
      </c>
      <c r="K1668" s="6"/>
      <c r="L1668" s="6"/>
      <c r="M1668" s="6"/>
      <c r="N1668" s="6">
        <f t="shared" ref="N1668:P1668" si="1671">IF(LEN($C1668)&gt;0,H1668-E1668,"")</f>
        <v>-136965.4906</v>
      </c>
      <c r="O1668" s="6">
        <f t="shared" si="1671"/>
        <v>-4.844989633</v>
      </c>
      <c r="P1668" s="6">
        <f t="shared" si="1671"/>
        <v>-1.920374949</v>
      </c>
      <c r="Q1668" s="6"/>
      <c r="R1668" s="6"/>
      <c r="S1668" s="6"/>
      <c r="T1668" s="6"/>
      <c r="U1668" s="6"/>
      <c r="V1668" s="6"/>
      <c r="W1668" s="6"/>
      <c r="X1668" s="6"/>
      <c r="Y1668" s="6"/>
      <c r="Z1668" s="6"/>
      <c r="AA1668" s="6"/>
      <c r="AB1668" s="6"/>
      <c r="AC1668" s="6"/>
      <c r="AD1668" s="6"/>
      <c r="AE1668" s="6"/>
      <c r="AF1668" s="6"/>
      <c r="AG1668" s="6"/>
    </row>
    <row r="1669" ht="14.25" customHeight="1">
      <c r="A1669" s="6"/>
      <c r="B1669" s="6"/>
      <c r="C1669" s="6">
        <v>1662.0</v>
      </c>
      <c r="D1669" s="6"/>
      <c r="E1669" s="6">
        <v>5700733.011683515</v>
      </c>
      <c r="F1669" s="6">
        <v>434.0220083964187</v>
      </c>
      <c r="G1669" s="6">
        <v>5.3718075721019645</v>
      </c>
      <c r="H1669" s="6">
        <v>5643032.441934733</v>
      </c>
      <c r="I1669" s="6">
        <v>431.2508929738188</v>
      </c>
      <c r="J1669" s="6">
        <v>4.340284683199085</v>
      </c>
      <c r="K1669" s="6"/>
      <c r="L1669" s="6"/>
      <c r="M1669" s="6"/>
      <c r="N1669" s="6">
        <f t="shared" ref="N1669:P1669" si="1672">IF(LEN($C1669)&gt;0,H1669-E1669,"")</f>
        <v>-57700.56975</v>
      </c>
      <c r="O1669" s="6">
        <f t="shared" si="1672"/>
        <v>-2.771115423</v>
      </c>
      <c r="P1669" s="6">
        <f t="shared" si="1672"/>
        <v>-1.031522889</v>
      </c>
      <c r="Q1669" s="6"/>
      <c r="R1669" s="6"/>
      <c r="S1669" s="6"/>
      <c r="T1669" s="6"/>
      <c r="U1669" s="6"/>
      <c r="V1669" s="6"/>
      <c r="W1669" s="6"/>
      <c r="X1669" s="6"/>
      <c r="Y1669" s="6"/>
      <c r="Z1669" s="6"/>
      <c r="AA1669" s="6"/>
      <c r="AB1669" s="6"/>
      <c r="AC1669" s="6"/>
      <c r="AD1669" s="6"/>
      <c r="AE1669" s="6"/>
      <c r="AF1669" s="6"/>
      <c r="AG1669" s="6"/>
    </row>
    <row r="1670" ht="14.25" customHeight="1">
      <c r="A1670" s="6"/>
      <c r="B1670" s="6"/>
      <c r="C1670" s="6">
        <v>1663.0</v>
      </c>
      <c r="D1670" s="6"/>
      <c r="E1670" s="6">
        <v>4858559.729031857</v>
      </c>
      <c r="F1670" s="6">
        <v>466.2679532147589</v>
      </c>
      <c r="G1670" s="6">
        <v>4.696724274418758</v>
      </c>
      <c r="H1670" s="6">
        <v>4831777.8967215</v>
      </c>
      <c r="I1670" s="6">
        <v>465.2947186316617</v>
      </c>
      <c r="J1670" s="6">
        <v>3.8417355657708607</v>
      </c>
      <c r="K1670" s="6"/>
      <c r="L1670" s="6"/>
      <c r="M1670" s="6"/>
      <c r="N1670" s="6">
        <f t="shared" ref="N1670:P1670" si="1673">IF(LEN($C1670)&gt;0,H1670-E1670,"")</f>
        <v>-26781.83231</v>
      </c>
      <c r="O1670" s="6">
        <f t="shared" si="1673"/>
        <v>-0.9732345831</v>
      </c>
      <c r="P1670" s="6">
        <f t="shared" si="1673"/>
        <v>-0.8549887086</v>
      </c>
      <c r="Q1670" s="6"/>
      <c r="R1670" s="6"/>
      <c r="S1670" s="6"/>
      <c r="T1670" s="6"/>
      <c r="U1670" s="6"/>
      <c r="V1670" s="6"/>
      <c r="W1670" s="6"/>
      <c r="X1670" s="6"/>
      <c r="Y1670" s="6"/>
      <c r="Z1670" s="6"/>
      <c r="AA1670" s="6"/>
      <c r="AB1670" s="6"/>
      <c r="AC1670" s="6"/>
      <c r="AD1670" s="6"/>
      <c r="AE1670" s="6"/>
      <c r="AF1670" s="6"/>
      <c r="AG1670" s="6"/>
    </row>
    <row r="1671" ht="14.25" customHeight="1">
      <c r="A1671" s="6"/>
      <c r="B1671" s="6"/>
      <c r="C1671" s="6">
        <v>1664.0</v>
      </c>
      <c r="D1671" s="6"/>
      <c r="E1671" s="6">
        <v>6228506.662509123</v>
      </c>
      <c r="F1671" s="6">
        <v>481.4411675293681</v>
      </c>
      <c r="G1671" s="6">
        <v>5.2044482620519705</v>
      </c>
      <c r="H1671" s="6">
        <v>6098712.792467721</v>
      </c>
      <c r="I1671" s="6">
        <v>477.2734574763119</v>
      </c>
      <c r="J1671" s="6">
        <v>3.7481954862460336</v>
      </c>
      <c r="K1671" s="6"/>
      <c r="L1671" s="6"/>
      <c r="M1671" s="6"/>
      <c r="N1671" s="6">
        <f t="shared" ref="N1671:P1671" si="1674">IF(LEN($C1671)&gt;0,H1671-E1671,"")</f>
        <v>-129793.87</v>
      </c>
      <c r="O1671" s="6">
        <f t="shared" si="1674"/>
        <v>-4.167710053</v>
      </c>
      <c r="P1671" s="6">
        <f t="shared" si="1674"/>
        <v>-1.456252776</v>
      </c>
      <c r="Q1671" s="6"/>
      <c r="R1671" s="6"/>
      <c r="S1671" s="6"/>
      <c r="T1671" s="6"/>
      <c r="U1671" s="6"/>
      <c r="V1671" s="6"/>
      <c r="W1671" s="6"/>
      <c r="X1671" s="6"/>
      <c r="Y1671" s="6"/>
      <c r="Z1671" s="6"/>
      <c r="AA1671" s="6"/>
      <c r="AB1671" s="6"/>
      <c r="AC1671" s="6"/>
      <c r="AD1671" s="6"/>
      <c r="AE1671" s="6"/>
      <c r="AF1671" s="6"/>
      <c r="AG1671" s="6"/>
    </row>
    <row r="1672" ht="14.25" customHeight="1">
      <c r="A1672" s="6"/>
      <c r="B1672" s="6"/>
      <c r="C1672" s="6">
        <v>1665.0</v>
      </c>
      <c r="D1672" s="6"/>
      <c r="E1672" s="6">
        <v>7059154.407585653</v>
      </c>
      <c r="F1672" s="6">
        <v>481.51461275403096</v>
      </c>
      <c r="G1672" s="6">
        <v>5.326234167588343</v>
      </c>
      <c r="H1672" s="6">
        <v>6940008.522400897</v>
      </c>
      <c r="I1672" s="6">
        <v>478.24468458859604</v>
      </c>
      <c r="J1672" s="6">
        <v>4.020188625713107</v>
      </c>
      <c r="K1672" s="6"/>
      <c r="L1672" s="6"/>
      <c r="M1672" s="6"/>
      <c r="N1672" s="6">
        <f t="shared" ref="N1672:P1672" si="1675">IF(LEN($C1672)&gt;0,H1672-E1672,"")</f>
        <v>-119145.8852</v>
      </c>
      <c r="O1672" s="6">
        <f t="shared" si="1675"/>
        <v>-3.269928165</v>
      </c>
      <c r="P1672" s="6">
        <f t="shared" si="1675"/>
        <v>-1.306045542</v>
      </c>
      <c r="Q1672" s="6"/>
      <c r="R1672" s="6"/>
      <c r="S1672" s="6"/>
      <c r="T1672" s="6"/>
      <c r="U1672" s="6"/>
      <c r="V1672" s="6"/>
      <c r="W1672" s="6"/>
      <c r="X1672" s="6"/>
      <c r="Y1672" s="6"/>
      <c r="Z1672" s="6"/>
      <c r="AA1672" s="6"/>
      <c r="AB1672" s="6"/>
      <c r="AC1672" s="6"/>
      <c r="AD1672" s="6"/>
      <c r="AE1672" s="6"/>
      <c r="AF1672" s="6"/>
      <c r="AG1672" s="6"/>
    </row>
    <row r="1673" ht="14.25" customHeight="1">
      <c r="A1673" s="6"/>
      <c r="B1673" s="6"/>
      <c r="C1673" s="6">
        <v>1666.0</v>
      </c>
      <c r="D1673" s="6"/>
      <c r="E1673" s="6">
        <v>7552417.259848179</v>
      </c>
      <c r="F1673" s="6">
        <v>487.1617735179096</v>
      </c>
      <c r="G1673" s="6">
        <v>4.491915318823921</v>
      </c>
      <c r="H1673" s="6">
        <v>7476634.72566922</v>
      </c>
      <c r="I1673" s="6">
        <v>483.71832250100397</v>
      </c>
      <c r="J1673" s="6">
        <v>3.8516073015266787</v>
      </c>
      <c r="K1673" s="6"/>
      <c r="L1673" s="6"/>
      <c r="M1673" s="6"/>
      <c r="N1673" s="6">
        <f t="shared" ref="N1673:P1673" si="1676">IF(LEN($C1673)&gt;0,H1673-E1673,"")</f>
        <v>-75782.53418</v>
      </c>
      <c r="O1673" s="6">
        <f t="shared" si="1676"/>
        <v>-3.443451017</v>
      </c>
      <c r="P1673" s="6">
        <f t="shared" si="1676"/>
        <v>-0.6403080173</v>
      </c>
      <c r="Q1673" s="6"/>
      <c r="R1673" s="6"/>
      <c r="S1673" s="6"/>
      <c r="T1673" s="6"/>
      <c r="U1673" s="6"/>
      <c r="V1673" s="6"/>
      <c r="W1673" s="6"/>
      <c r="X1673" s="6"/>
      <c r="Y1673" s="6"/>
      <c r="Z1673" s="6"/>
      <c r="AA1673" s="6"/>
      <c r="AB1673" s="6"/>
      <c r="AC1673" s="6"/>
      <c r="AD1673" s="6"/>
      <c r="AE1673" s="6"/>
      <c r="AF1673" s="6"/>
      <c r="AG1673" s="6"/>
    </row>
    <row r="1674" ht="14.25" customHeight="1">
      <c r="A1674" s="6"/>
      <c r="B1674" s="6"/>
      <c r="C1674" s="6">
        <v>1667.0</v>
      </c>
      <c r="D1674" s="6"/>
      <c r="E1674" s="6">
        <v>5330134.579111427</v>
      </c>
      <c r="F1674" s="6">
        <v>454.41493895057016</v>
      </c>
      <c r="G1674" s="6">
        <v>6.1569070175307035</v>
      </c>
      <c r="H1674" s="6">
        <v>5199299.25840978</v>
      </c>
      <c r="I1674" s="6">
        <v>450.54297504809483</v>
      </c>
      <c r="J1674" s="6">
        <v>4.35643530622549</v>
      </c>
      <c r="K1674" s="6"/>
      <c r="L1674" s="6"/>
      <c r="M1674" s="6"/>
      <c r="N1674" s="6">
        <f t="shared" ref="N1674:P1674" si="1677">IF(LEN($C1674)&gt;0,H1674-E1674,"")</f>
        <v>-130835.3207</v>
      </c>
      <c r="O1674" s="6">
        <f t="shared" si="1677"/>
        <v>-3.871963902</v>
      </c>
      <c r="P1674" s="6">
        <f t="shared" si="1677"/>
        <v>-1.800471711</v>
      </c>
      <c r="Q1674" s="6"/>
      <c r="R1674" s="6"/>
      <c r="S1674" s="6"/>
      <c r="T1674" s="6"/>
      <c r="U1674" s="6"/>
      <c r="V1674" s="6"/>
      <c r="W1674" s="6"/>
      <c r="X1674" s="6"/>
      <c r="Y1674" s="6"/>
      <c r="Z1674" s="6"/>
      <c r="AA1674" s="6"/>
      <c r="AB1674" s="6"/>
      <c r="AC1674" s="6"/>
      <c r="AD1674" s="6"/>
      <c r="AE1674" s="6"/>
      <c r="AF1674" s="6"/>
      <c r="AG1674" s="6"/>
    </row>
    <row r="1675" ht="14.25" customHeight="1">
      <c r="A1675" s="6"/>
      <c r="B1675" s="6"/>
      <c r="C1675" s="6">
        <v>1668.0</v>
      </c>
      <c r="D1675" s="6"/>
      <c r="E1675" s="6">
        <v>8952630.255176853</v>
      </c>
      <c r="F1675" s="6">
        <v>442.3664962101785</v>
      </c>
      <c r="G1675" s="6">
        <v>5.376090274080987</v>
      </c>
      <c r="H1675" s="6">
        <v>8788478.592686694</v>
      </c>
      <c r="I1675" s="6">
        <v>436.40965179610873</v>
      </c>
      <c r="J1675" s="6">
        <v>3.69229723015047</v>
      </c>
      <c r="K1675" s="6"/>
      <c r="L1675" s="6"/>
      <c r="M1675" s="6"/>
      <c r="N1675" s="6">
        <f t="shared" ref="N1675:P1675" si="1678">IF(LEN($C1675)&gt;0,H1675-E1675,"")</f>
        <v>-164151.6625</v>
      </c>
      <c r="O1675" s="6">
        <f t="shared" si="1678"/>
        <v>-5.956844414</v>
      </c>
      <c r="P1675" s="6">
        <f t="shared" si="1678"/>
        <v>-1.683793044</v>
      </c>
      <c r="Q1675" s="6"/>
      <c r="R1675" s="6"/>
      <c r="S1675" s="6"/>
      <c r="T1675" s="6"/>
      <c r="U1675" s="6"/>
      <c r="V1675" s="6"/>
      <c r="W1675" s="6"/>
      <c r="X1675" s="6"/>
      <c r="Y1675" s="6"/>
      <c r="Z1675" s="6"/>
      <c r="AA1675" s="6"/>
      <c r="AB1675" s="6"/>
      <c r="AC1675" s="6"/>
      <c r="AD1675" s="6"/>
      <c r="AE1675" s="6"/>
      <c r="AF1675" s="6"/>
      <c r="AG1675" s="6"/>
    </row>
    <row r="1676" ht="14.25" customHeight="1">
      <c r="A1676" s="6"/>
      <c r="B1676" s="6"/>
      <c r="C1676" s="6">
        <v>1669.0</v>
      </c>
      <c r="D1676" s="6"/>
      <c r="E1676" s="6">
        <v>6478757.747605</v>
      </c>
      <c r="F1676" s="6">
        <v>442.4922050371804</v>
      </c>
      <c r="G1676" s="6">
        <v>4.951555130746736</v>
      </c>
      <c r="H1676" s="6">
        <v>6397650.390674377</v>
      </c>
      <c r="I1676" s="6">
        <v>439.468477080276</v>
      </c>
      <c r="J1676" s="6">
        <v>4.0061281702695695</v>
      </c>
      <c r="K1676" s="6"/>
      <c r="L1676" s="6"/>
      <c r="M1676" s="6"/>
      <c r="N1676" s="6">
        <f t="shared" ref="N1676:P1676" si="1679">IF(LEN($C1676)&gt;0,H1676-E1676,"")</f>
        <v>-81107.35693</v>
      </c>
      <c r="O1676" s="6">
        <f t="shared" si="1679"/>
        <v>-3.023727957</v>
      </c>
      <c r="P1676" s="6">
        <f t="shared" si="1679"/>
        <v>-0.9454269605</v>
      </c>
      <c r="Q1676" s="6"/>
      <c r="R1676" s="6"/>
      <c r="S1676" s="6"/>
      <c r="T1676" s="6"/>
      <c r="U1676" s="6"/>
      <c r="V1676" s="6"/>
      <c r="W1676" s="6"/>
      <c r="X1676" s="6"/>
      <c r="Y1676" s="6"/>
      <c r="Z1676" s="6"/>
      <c r="AA1676" s="6"/>
      <c r="AB1676" s="6"/>
      <c r="AC1676" s="6"/>
      <c r="AD1676" s="6"/>
      <c r="AE1676" s="6"/>
      <c r="AF1676" s="6"/>
      <c r="AG1676" s="6"/>
    </row>
    <row r="1677" ht="14.25" customHeight="1">
      <c r="A1677" s="6"/>
      <c r="B1677" s="6"/>
      <c r="C1677" s="6">
        <v>1670.0</v>
      </c>
      <c r="D1677" s="6"/>
      <c r="E1677" s="6">
        <v>5510190.956004692</v>
      </c>
      <c r="F1677" s="6">
        <v>454.82698779821897</v>
      </c>
      <c r="G1677" s="6">
        <v>5.342123323456679</v>
      </c>
      <c r="H1677" s="6">
        <v>5428492.435359848</v>
      </c>
      <c r="I1677" s="6">
        <v>451.96281825900434</v>
      </c>
      <c r="J1677" s="6">
        <v>3.487484020992941</v>
      </c>
      <c r="K1677" s="6"/>
      <c r="L1677" s="6"/>
      <c r="M1677" s="6"/>
      <c r="N1677" s="6">
        <f t="shared" ref="N1677:P1677" si="1680">IF(LEN($C1677)&gt;0,H1677-E1677,"")</f>
        <v>-81698.52064</v>
      </c>
      <c r="O1677" s="6">
        <f t="shared" si="1680"/>
        <v>-2.864169539</v>
      </c>
      <c r="P1677" s="6">
        <f t="shared" si="1680"/>
        <v>-1.854639302</v>
      </c>
      <c r="Q1677" s="6"/>
      <c r="R1677" s="6"/>
      <c r="S1677" s="6"/>
      <c r="T1677" s="6"/>
      <c r="U1677" s="6"/>
      <c r="V1677" s="6"/>
      <c r="W1677" s="6"/>
      <c r="X1677" s="6"/>
      <c r="Y1677" s="6"/>
      <c r="Z1677" s="6"/>
      <c r="AA1677" s="6"/>
      <c r="AB1677" s="6"/>
      <c r="AC1677" s="6"/>
      <c r="AD1677" s="6"/>
      <c r="AE1677" s="6"/>
      <c r="AF1677" s="6"/>
      <c r="AG1677" s="6"/>
    </row>
    <row r="1678" ht="14.25" customHeight="1">
      <c r="A1678" s="6"/>
      <c r="B1678" s="6"/>
      <c r="C1678" s="6">
        <v>1671.0</v>
      </c>
      <c r="D1678" s="6"/>
      <c r="E1678" s="6">
        <v>6390344.834667781</v>
      </c>
      <c r="F1678" s="6">
        <v>461.27530971575356</v>
      </c>
      <c r="G1678" s="6">
        <v>6.296087374676225</v>
      </c>
      <c r="H1678" s="6">
        <v>6269913.917206358</v>
      </c>
      <c r="I1678" s="6">
        <v>458.7686066027427</v>
      </c>
      <c r="J1678" s="6">
        <v>4.568973189621696</v>
      </c>
      <c r="K1678" s="6"/>
      <c r="L1678" s="6"/>
      <c r="M1678" s="6"/>
      <c r="N1678" s="6">
        <f t="shared" ref="N1678:P1678" si="1681">IF(LEN($C1678)&gt;0,H1678-E1678,"")</f>
        <v>-120430.9175</v>
      </c>
      <c r="O1678" s="6">
        <f t="shared" si="1681"/>
        <v>-2.506703113</v>
      </c>
      <c r="P1678" s="6">
        <f t="shared" si="1681"/>
        <v>-1.727114185</v>
      </c>
      <c r="Q1678" s="6"/>
      <c r="R1678" s="6"/>
      <c r="S1678" s="6"/>
      <c r="T1678" s="6"/>
      <c r="U1678" s="6"/>
      <c r="V1678" s="6"/>
      <c r="W1678" s="6"/>
      <c r="X1678" s="6"/>
      <c r="Y1678" s="6"/>
      <c r="Z1678" s="6"/>
      <c r="AA1678" s="6"/>
      <c r="AB1678" s="6"/>
      <c r="AC1678" s="6"/>
      <c r="AD1678" s="6"/>
      <c r="AE1678" s="6"/>
      <c r="AF1678" s="6"/>
      <c r="AG1678" s="6"/>
    </row>
    <row r="1679" ht="14.25" customHeight="1">
      <c r="A1679" s="6"/>
      <c r="B1679" s="6"/>
      <c r="C1679" s="6">
        <v>1672.0</v>
      </c>
      <c r="D1679" s="6"/>
      <c r="E1679" s="6">
        <v>7010090.984643214</v>
      </c>
      <c r="F1679" s="6">
        <v>463.52371001433903</v>
      </c>
      <c r="G1679" s="6">
        <v>5.36933922259726</v>
      </c>
      <c r="H1679" s="6">
        <v>6934003.637210378</v>
      </c>
      <c r="I1679" s="6">
        <v>460.1954401969186</v>
      </c>
      <c r="J1679" s="6">
        <v>4.154641294748483</v>
      </c>
      <c r="K1679" s="6"/>
      <c r="L1679" s="6"/>
      <c r="M1679" s="6"/>
      <c r="N1679" s="6">
        <f t="shared" ref="N1679:P1679" si="1682">IF(LEN($C1679)&gt;0,H1679-E1679,"")</f>
        <v>-76087.34743</v>
      </c>
      <c r="O1679" s="6">
        <f t="shared" si="1682"/>
        <v>-3.328269817</v>
      </c>
      <c r="P1679" s="6">
        <f t="shared" si="1682"/>
        <v>-1.214697928</v>
      </c>
      <c r="Q1679" s="6"/>
      <c r="R1679" s="6"/>
      <c r="S1679" s="6"/>
      <c r="T1679" s="6"/>
      <c r="U1679" s="6"/>
      <c r="V1679" s="6"/>
      <c r="W1679" s="6"/>
      <c r="X1679" s="6"/>
      <c r="Y1679" s="6"/>
      <c r="Z1679" s="6"/>
      <c r="AA1679" s="6"/>
      <c r="AB1679" s="6"/>
      <c r="AC1679" s="6"/>
      <c r="AD1679" s="6"/>
      <c r="AE1679" s="6"/>
      <c r="AF1679" s="6"/>
      <c r="AG1679" s="6"/>
    </row>
    <row r="1680" ht="14.25" customHeight="1">
      <c r="A1680" s="6"/>
      <c r="B1680" s="6"/>
      <c r="C1680" s="6">
        <v>1673.0</v>
      </c>
      <c r="D1680" s="6"/>
      <c r="E1680" s="6">
        <v>7802126.511037371</v>
      </c>
      <c r="F1680" s="6">
        <v>450.9717331434528</v>
      </c>
      <c r="G1680" s="6">
        <v>5.698956002267108</v>
      </c>
      <c r="H1680" s="6">
        <v>7747696.729533631</v>
      </c>
      <c r="I1680" s="6">
        <v>449.1570692721579</v>
      </c>
      <c r="J1680" s="6">
        <v>4.563065765184417</v>
      </c>
      <c r="K1680" s="6"/>
      <c r="L1680" s="6"/>
      <c r="M1680" s="6"/>
      <c r="N1680" s="6">
        <f t="shared" ref="N1680:P1680" si="1683">IF(LEN($C1680)&gt;0,H1680-E1680,"")</f>
        <v>-54429.7815</v>
      </c>
      <c r="O1680" s="6">
        <f t="shared" si="1683"/>
        <v>-1.814663871</v>
      </c>
      <c r="P1680" s="6">
        <f t="shared" si="1683"/>
        <v>-1.135890237</v>
      </c>
      <c r="Q1680" s="6"/>
      <c r="R1680" s="6"/>
      <c r="S1680" s="6"/>
      <c r="T1680" s="6"/>
      <c r="U1680" s="6"/>
      <c r="V1680" s="6"/>
      <c r="W1680" s="6"/>
      <c r="X1680" s="6"/>
      <c r="Y1680" s="6"/>
      <c r="Z1680" s="6"/>
      <c r="AA1680" s="6"/>
      <c r="AB1680" s="6"/>
      <c r="AC1680" s="6"/>
      <c r="AD1680" s="6"/>
      <c r="AE1680" s="6"/>
      <c r="AF1680" s="6"/>
      <c r="AG1680" s="6"/>
    </row>
    <row r="1681" ht="14.25" customHeight="1">
      <c r="A1681" s="6"/>
      <c r="B1681" s="6"/>
      <c r="C1681" s="6">
        <v>1674.0</v>
      </c>
      <c r="D1681" s="6"/>
      <c r="E1681" s="6">
        <v>5659231.000387454</v>
      </c>
      <c r="F1681" s="6">
        <v>441.2961061144227</v>
      </c>
      <c r="G1681" s="6">
        <v>4.981661563546729</v>
      </c>
      <c r="H1681" s="6">
        <v>5556909.696878859</v>
      </c>
      <c r="I1681" s="6">
        <v>436.95245917123816</v>
      </c>
      <c r="J1681" s="6">
        <v>3.8095053821590046</v>
      </c>
      <c r="K1681" s="6"/>
      <c r="L1681" s="6"/>
      <c r="M1681" s="6"/>
      <c r="N1681" s="6">
        <f t="shared" ref="N1681:P1681" si="1684">IF(LEN($C1681)&gt;0,H1681-E1681,"")</f>
        <v>-102321.3035</v>
      </c>
      <c r="O1681" s="6">
        <f t="shared" si="1684"/>
        <v>-4.343646943</v>
      </c>
      <c r="P1681" s="6">
        <f t="shared" si="1684"/>
        <v>-1.172156181</v>
      </c>
      <c r="Q1681" s="6"/>
      <c r="R1681" s="6"/>
      <c r="S1681" s="6"/>
      <c r="T1681" s="6"/>
      <c r="U1681" s="6"/>
      <c r="V1681" s="6"/>
      <c r="W1681" s="6"/>
      <c r="X1681" s="6"/>
      <c r="Y1681" s="6"/>
      <c r="Z1681" s="6"/>
      <c r="AA1681" s="6"/>
      <c r="AB1681" s="6"/>
      <c r="AC1681" s="6"/>
      <c r="AD1681" s="6"/>
      <c r="AE1681" s="6"/>
      <c r="AF1681" s="6"/>
      <c r="AG1681" s="6"/>
    </row>
    <row r="1682" ht="14.25" customHeight="1">
      <c r="A1682" s="6"/>
      <c r="B1682" s="6"/>
      <c r="C1682" s="6">
        <v>1675.0</v>
      </c>
      <c r="D1682" s="6"/>
      <c r="E1682" s="6">
        <v>8580740.777575588</v>
      </c>
      <c r="F1682" s="6">
        <v>493.1788522555503</v>
      </c>
      <c r="G1682" s="6">
        <v>5.1535878031406</v>
      </c>
      <c r="H1682" s="6">
        <v>8413384.027105935</v>
      </c>
      <c r="I1682" s="6">
        <v>487.71822113775823</v>
      </c>
      <c r="J1682" s="6">
        <v>3.6176742447819654</v>
      </c>
      <c r="K1682" s="6"/>
      <c r="L1682" s="6"/>
      <c r="M1682" s="6"/>
      <c r="N1682" s="6">
        <f t="shared" ref="N1682:P1682" si="1685">IF(LEN($C1682)&gt;0,H1682-E1682,"")</f>
        <v>-167356.7505</v>
      </c>
      <c r="O1682" s="6">
        <f t="shared" si="1685"/>
        <v>-5.460631118</v>
      </c>
      <c r="P1682" s="6">
        <f t="shared" si="1685"/>
        <v>-1.535913558</v>
      </c>
      <c r="Q1682" s="6"/>
      <c r="R1682" s="6"/>
      <c r="S1682" s="6"/>
      <c r="T1682" s="6"/>
      <c r="U1682" s="6"/>
      <c r="V1682" s="6"/>
      <c r="W1682" s="6"/>
      <c r="X1682" s="6"/>
      <c r="Y1682" s="6"/>
      <c r="Z1682" s="6"/>
      <c r="AA1682" s="6"/>
      <c r="AB1682" s="6"/>
      <c r="AC1682" s="6"/>
      <c r="AD1682" s="6"/>
      <c r="AE1682" s="6"/>
      <c r="AF1682" s="6"/>
      <c r="AG1682" s="6"/>
    </row>
    <row r="1683" ht="14.25" customHeight="1">
      <c r="A1683" s="6"/>
      <c r="B1683" s="6"/>
      <c r="C1683" s="6">
        <v>1676.0</v>
      </c>
      <c r="D1683" s="6"/>
      <c r="E1683" s="6">
        <v>6669241.941679819</v>
      </c>
      <c r="F1683" s="6">
        <v>450.9279098225444</v>
      </c>
      <c r="G1683" s="6">
        <v>5.783165157320253</v>
      </c>
      <c r="H1683" s="6">
        <v>6570905.439322801</v>
      </c>
      <c r="I1683" s="6">
        <v>446.9863569996794</v>
      </c>
      <c r="J1683" s="6">
        <v>4.287391621917879</v>
      </c>
      <c r="K1683" s="6"/>
      <c r="L1683" s="6"/>
      <c r="M1683" s="6"/>
      <c r="N1683" s="6">
        <f t="shared" ref="N1683:P1683" si="1686">IF(LEN($C1683)&gt;0,H1683-E1683,"")</f>
        <v>-98336.50236</v>
      </c>
      <c r="O1683" s="6">
        <f t="shared" si="1686"/>
        <v>-3.941552823</v>
      </c>
      <c r="P1683" s="6">
        <f t="shared" si="1686"/>
        <v>-1.495773535</v>
      </c>
      <c r="Q1683" s="6"/>
      <c r="R1683" s="6"/>
      <c r="S1683" s="6"/>
      <c r="T1683" s="6"/>
      <c r="U1683" s="6"/>
      <c r="V1683" s="6"/>
      <c r="W1683" s="6"/>
      <c r="X1683" s="6"/>
      <c r="Y1683" s="6"/>
      <c r="Z1683" s="6"/>
      <c r="AA1683" s="6"/>
      <c r="AB1683" s="6"/>
      <c r="AC1683" s="6"/>
      <c r="AD1683" s="6"/>
      <c r="AE1683" s="6"/>
      <c r="AF1683" s="6"/>
      <c r="AG1683" s="6"/>
    </row>
    <row r="1684" ht="14.25" customHeight="1">
      <c r="A1684" s="6"/>
      <c r="B1684" s="6"/>
      <c r="C1684" s="6">
        <v>1677.0</v>
      </c>
      <c r="D1684" s="6"/>
      <c r="E1684" s="6">
        <v>6622262.996092108</v>
      </c>
      <c r="F1684" s="6">
        <v>469.98266239648495</v>
      </c>
      <c r="G1684" s="6">
        <v>5.848118851057087</v>
      </c>
      <c r="H1684" s="6">
        <v>6546862.653633188</v>
      </c>
      <c r="I1684" s="6">
        <v>466.3553905941814</v>
      </c>
      <c r="J1684" s="6">
        <v>4.473216186570385</v>
      </c>
      <c r="K1684" s="6"/>
      <c r="L1684" s="6"/>
      <c r="M1684" s="6"/>
      <c r="N1684" s="6">
        <f t="shared" ref="N1684:P1684" si="1687">IF(LEN($C1684)&gt;0,H1684-E1684,"")</f>
        <v>-75400.34246</v>
      </c>
      <c r="O1684" s="6">
        <f t="shared" si="1687"/>
        <v>-3.627271802</v>
      </c>
      <c r="P1684" s="6">
        <f t="shared" si="1687"/>
        <v>-1.374902664</v>
      </c>
      <c r="Q1684" s="6"/>
      <c r="R1684" s="6"/>
      <c r="S1684" s="6"/>
      <c r="T1684" s="6"/>
      <c r="U1684" s="6"/>
      <c r="V1684" s="6"/>
      <c r="W1684" s="6"/>
      <c r="X1684" s="6"/>
      <c r="Y1684" s="6"/>
      <c r="Z1684" s="6"/>
      <c r="AA1684" s="6"/>
      <c r="AB1684" s="6"/>
      <c r="AC1684" s="6"/>
      <c r="AD1684" s="6"/>
      <c r="AE1684" s="6"/>
      <c r="AF1684" s="6"/>
      <c r="AG1684" s="6"/>
    </row>
    <row r="1685" ht="14.25" customHeight="1">
      <c r="A1685" s="6"/>
      <c r="B1685" s="6"/>
      <c r="C1685" s="6">
        <v>1678.0</v>
      </c>
      <c r="D1685" s="6"/>
      <c r="E1685" s="6">
        <v>9509562.870312748</v>
      </c>
      <c r="F1685" s="6">
        <v>473.63112088025423</v>
      </c>
      <c r="G1685" s="6">
        <v>3.8464408140433575</v>
      </c>
      <c r="H1685" s="6">
        <v>9405660.26005771</v>
      </c>
      <c r="I1685" s="6">
        <v>468.42777541745573</v>
      </c>
      <c r="J1685" s="6">
        <v>2.7800423168214303</v>
      </c>
      <c r="K1685" s="6"/>
      <c r="L1685" s="6"/>
      <c r="M1685" s="6"/>
      <c r="N1685" s="6">
        <f t="shared" ref="N1685:P1685" si="1688">IF(LEN($C1685)&gt;0,H1685-E1685,"")</f>
        <v>-103902.6103</v>
      </c>
      <c r="O1685" s="6">
        <f t="shared" si="1688"/>
        <v>-5.203345463</v>
      </c>
      <c r="P1685" s="6">
        <f t="shared" si="1688"/>
        <v>-1.066398497</v>
      </c>
      <c r="Q1685" s="6"/>
      <c r="R1685" s="6"/>
      <c r="S1685" s="6"/>
      <c r="T1685" s="6"/>
      <c r="U1685" s="6"/>
      <c r="V1685" s="6"/>
      <c r="W1685" s="6"/>
      <c r="X1685" s="6"/>
      <c r="Y1685" s="6"/>
      <c r="Z1685" s="6"/>
      <c r="AA1685" s="6"/>
      <c r="AB1685" s="6"/>
      <c r="AC1685" s="6"/>
      <c r="AD1685" s="6"/>
      <c r="AE1685" s="6"/>
      <c r="AF1685" s="6"/>
      <c r="AG1685" s="6"/>
    </row>
    <row r="1686" ht="14.25" customHeight="1">
      <c r="A1686" s="6"/>
      <c r="B1686" s="6"/>
      <c r="C1686" s="6">
        <v>1679.0</v>
      </c>
      <c r="D1686" s="6"/>
      <c r="E1686" s="6">
        <v>9078209.875240056</v>
      </c>
      <c r="F1686" s="6">
        <v>457.98791800552783</v>
      </c>
      <c r="G1686" s="6">
        <v>4.280632917213633</v>
      </c>
      <c r="H1686" s="6">
        <v>8856285.848120863</v>
      </c>
      <c r="I1686" s="6">
        <v>448.0431612333085</v>
      </c>
      <c r="J1686" s="6">
        <v>2.888795360289354</v>
      </c>
      <c r="K1686" s="6"/>
      <c r="L1686" s="6"/>
      <c r="M1686" s="6"/>
      <c r="N1686" s="6">
        <f t="shared" ref="N1686:P1686" si="1689">IF(LEN($C1686)&gt;0,H1686-E1686,"")</f>
        <v>-221924.0271</v>
      </c>
      <c r="O1686" s="6">
        <f t="shared" si="1689"/>
        <v>-9.944756772</v>
      </c>
      <c r="P1686" s="6">
        <f t="shared" si="1689"/>
        <v>-1.391837557</v>
      </c>
      <c r="Q1686" s="6"/>
      <c r="R1686" s="6"/>
      <c r="S1686" s="6"/>
      <c r="T1686" s="6"/>
      <c r="U1686" s="6"/>
      <c r="V1686" s="6"/>
      <c r="W1686" s="6"/>
      <c r="X1686" s="6"/>
      <c r="Y1686" s="6"/>
      <c r="Z1686" s="6"/>
      <c r="AA1686" s="6"/>
      <c r="AB1686" s="6"/>
      <c r="AC1686" s="6"/>
      <c r="AD1686" s="6"/>
      <c r="AE1686" s="6"/>
      <c r="AF1686" s="6"/>
      <c r="AG1686" s="6"/>
    </row>
    <row r="1687" ht="14.25" customHeight="1">
      <c r="A1687" s="6"/>
      <c r="B1687" s="6"/>
      <c r="C1687" s="6">
        <v>1680.0</v>
      </c>
      <c r="D1687" s="6"/>
      <c r="E1687" s="6">
        <v>7967596.780310995</v>
      </c>
      <c r="F1687" s="6">
        <v>470.9465951373823</v>
      </c>
      <c r="G1687" s="6">
        <v>4.684037445710916</v>
      </c>
      <c r="H1687" s="6">
        <v>7833197.875902474</v>
      </c>
      <c r="I1687" s="6">
        <v>465.1155630129979</v>
      </c>
      <c r="J1687" s="6">
        <v>3.420792832110565</v>
      </c>
      <c r="K1687" s="6"/>
      <c r="L1687" s="6"/>
      <c r="M1687" s="6"/>
      <c r="N1687" s="6">
        <f t="shared" ref="N1687:P1687" si="1690">IF(LEN($C1687)&gt;0,H1687-E1687,"")</f>
        <v>-134398.9044</v>
      </c>
      <c r="O1687" s="6">
        <f t="shared" si="1690"/>
        <v>-5.831032124</v>
      </c>
      <c r="P1687" s="6">
        <f t="shared" si="1690"/>
        <v>-1.263244614</v>
      </c>
      <c r="Q1687" s="6"/>
      <c r="R1687" s="6"/>
      <c r="S1687" s="6"/>
      <c r="T1687" s="6"/>
      <c r="U1687" s="6"/>
      <c r="V1687" s="6"/>
      <c r="W1687" s="6"/>
      <c r="X1687" s="6"/>
      <c r="Y1687" s="6"/>
      <c r="Z1687" s="6"/>
      <c r="AA1687" s="6"/>
      <c r="AB1687" s="6"/>
      <c r="AC1687" s="6"/>
      <c r="AD1687" s="6"/>
      <c r="AE1687" s="6"/>
      <c r="AF1687" s="6"/>
      <c r="AG1687" s="6"/>
    </row>
    <row r="1688" ht="14.25" customHeight="1">
      <c r="A1688" s="6"/>
      <c r="B1688" s="6"/>
      <c r="C1688" s="6">
        <v>1681.0</v>
      </c>
      <c r="D1688" s="6"/>
      <c r="E1688" s="6">
        <v>7329862.972379567</v>
      </c>
      <c r="F1688" s="6">
        <v>475.88298159905895</v>
      </c>
      <c r="G1688" s="6">
        <v>5.430005028681783</v>
      </c>
      <c r="H1688" s="6">
        <v>7218645.893163534</v>
      </c>
      <c r="I1688" s="6">
        <v>470.9641599307009</v>
      </c>
      <c r="J1688" s="6">
        <v>4.2106321912472096</v>
      </c>
      <c r="K1688" s="6"/>
      <c r="L1688" s="6"/>
      <c r="M1688" s="6"/>
      <c r="N1688" s="6">
        <f t="shared" ref="N1688:P1688" si="1691">IF(LEN($C1688)&gt;0,H1688-E1688,"")</f>
        <v>-111217.0792</v>
      </c>
      <c r="O1688" s="6">
        <f t="shared" si="1691"/>
        <v>-4.918821668</v>
      </c>
      <c r="P1688" s="6">
        <f t="shared" si="1691"/>
        <v>-1.219372837</v>
      </c>
      <c r="Q1688" s="6"/>
      <c r="R1688" s="6"/>
      <c r="S1688" s="6"/>
      <c r="T1688" s="6"/>
      <c r="U1688" s="6"/>
      <c r="V1688" s="6"/>
      <c r="W1688" s="6"/>
      <c r="X1688" s="6"/>
      <c r="Y1688" s="6"/>
      <c r="Z1688" s="6"/>
      <c r="AA1688" s="6"/>
      <c r="AB1688" s="6"/>
      <c r="AC1688" s="6"/>
      <c r="AD1688" s="6"/>
      <c r="AE1688" s="6"/>
      <c r="AF1688" s="6"/>
      <c r="AG1688" s="6"/>
    </row>
    <row r="1689" ht="14.25" customHeight="1">
      <c r="A1689" s="6"/>
      <c r="B1689" s="6"/>
      <c r="C1689" s="6">
        <v>1682.0</v>
      </c>
      <c r="D1689" s="6"/>
      <c r="E1689" s="6">
        <v>7154886.949761618</v>
      </c>
      <c r="F1689" s="6">
        <v>456.25127015706965</v>
      </c>
      <c r="G1689" s="6">
        <v>5.087343430060013</v>
      </c>
      <c r="H1689" s="6">
        <v>7055871.335789235</v>
      </c>
      <c r="I1689" s="6">
        <v>453.09765794950846</v>
      </c>
      <c r="J1689" s="6">
        <v>3.5745502719452986</v>
      </c>
      <c r="K1689" s="6"/>
      <c r="L1689" s="6"/>
      <c r="M1689" s="6"/>
      <c r="N1689" s="6">
        <f t="shared" ref="N1689:P1689" si="1692">IF(LEN($C1689)&gt;0,H1689-E1689,"")</f>
        <v>-99015.61397</v>
      </c>
      <c r="O1689" s="6">
        <f t="shared" si="1692"/>
        <v>-3.153612208</v>
      </c>
      <c r="P1689" s="6">
        <f t="shared" si="1692"/>
        <v>-1.512793158</v>
      </c>
      <c r="Q1689" s="6"/>
      <c r="R1689" s="6"/>
      <c r="S1689" s="6"/>
      <c r="T1689" s="6"/>
      <c r="U1689" s="6"/>
      <c r="V1689" s="6"/>
      <c r="W1689" s="6"/>
      <c r="X1689" s="6"/>
      <c r="Y1689" s="6"/>
      <c r="Z1689" s="6"/>
      <c r="AA1689" s="6"/>
      <c r="AB1689" s="6"/>
      <c r="AC1689" s="6"/>
      <c r="AD1689" s="6"/>
      <c r="AE1689" s="6"/>
      <c r="AF1689" s="6"/>
      <c r="AG1689" s="6"/>
    </row>
    <row r="1690" ht="14.25" customHeight="1">
      <c r="A1690" s="6"/>
      <c r="B1690" s="6"/>
      <c r="C1690" s="6">
        <v>1683.0</v>
      </c>
      <c r="D1690" s="6"/>
      <c r="E1690" s="6">
        <v>6132783.759041484</v>
      </c>
      <c r="F1690" s="6">
        <v>460.6588106802729</v>
      </c>
      <c r="G1690" s="6">
        <v>5.145286772247587</v>
      </c>
      <c r="H1690" s="6">
        <v>6038836.849575074</v>
      </c>
      <c r="I1690" s="6">
        <v>456.3932195512561</v>
      </c>
      <c r="J1690" s="6">
        <v>3.8627702648846047</v>
      </c>
      <c r="K1690" s="6"/>
      <c r="L1690" s="6"/>
      <c r="M1690" s="6"/>
      <c r="N1690" s="6">
        <f t="shared" ref="N1690:P1690" si="1693">IF(LEN($C1690)&gt;0,H1690-E1690,"")</f>
        <v>-93946.90947</v>
      </c>
      <c r="O1690" s="6">
        <f t="shared" si="1693"/>
        <v>-4.265591129</v>
      </c>
      <c r="P1690" s="6">
        <f t="shared" si="1693"/>
        <v>-1.282516507</v>
      </c>
      <c r="Q1690" s="6"/>
      <c r="R1690" s="6"/>
      <c r="S1690" s="6"/>
      <c r="T1690" s="6"/>
      <c r="U1690" s="6"/>
      <c r="V1690" s="6"/>
      <c r="W1690" s="6"/>
      <c r="X1690" s="6"/>
      <c r="Y1690" s="6"/>
      <c r="Z1690" s="6"/>
      <c r="AA1690" s="6"/>
      <c r="AB1690" s="6"/>
      <c r="AC1690" s="6"/>
      <c r="AD1690" s="6"/>
      <c r="AE1690" s="6"/>
      <c r="AF1690" s="6"/>
      <c r="AG1690" s="6"/>
    </row>
    <row r="1691" ht="14.25" customHeight="1">
      <c r="A1691" s="6"/>
      <c r="B1691" s="6"/>
      <c r="C1691" s="6">
        <v>1684.0</v>
      </c>
      <c r="D1691" s="6"/>
      <c r="E1691" s="6">
        <v>6045428.249176677</v>
      </c>
      <c r="F1691" s="6">
        <v>452.941441794634</v>
      </c>
      <c r="G1691" s="6">
        <v>5.43688436402968</v>
      </c>
      <c r="H1691" s="6">
        <v>5961207.316124965</v>
      </c>
      <c r="I1691" s="6">
        <v>451.11049441689596</v>
      </c>
      <c r="J1691" s="6">
        <v>4.086031063730739</v>
      </c>
      <c r="K1691" s="6"/>
      <c r="L1691" s="6"/>
      <c r="M1691" s="6"/>
      <c r="N1691" s="6">
        <f t="shared" ref="N1691:P1691" si="1694">IF(LEN($C1691)&gt;0,H1691-E1691,"")</f>
        <v>-84220.93305</v>
      </c>
      <c r="O1691" s="6">
        <f t="shared" si="1694"/>
        <v>-1.830947378</v>
      </c>
      <c r="P1691" s="6">
        <f t="shared" si="1694"/>
        <v>-1.3508533</v>
      </c>
      <c r="Q1691" s="6"/>
      <c r="R1691" s="6"/>
      <c r="S1691" s="6"/>
      <c r="T1691" s="6"/>
      <c r="U1691" s="6"/>
      <c r="V1691" s="6"/>
      <c r="W1691" s="6"/>
      <c r="X1691" s="6"/>
      <c r="Y1691" s="6"/>
      <c r="Z1691" s="6"/>
      <c r="AA1691" s="6"/>
      <c r="AB1691" s="6"/>
      <c r="AC1691" s="6"/>
      <c r="AD1691" s="6"/>
      <c r="AE1691" s="6"/>
      <c r="AF1691" s="6"/>
      <c r="AG1691" s="6"/>
    </row>
    <row r="1692" ht="14.25" customHeight="1">
      <c r="A1692" s="6"/>
      <c r="B1692" s="6"/>
      <c r="C1692" s="6">
        <v>1685.0</v>
      </c>
      <c r="D1692" s="6"/>
      <c r="E1692" s="6">
        <v>6258944.111824039</v>
      </c>
      <c r="F1692" s="6">
        <v>482.1387704777158</v>
      </c>
      <c r="G1692" s="6">
        <v>5.500417731896469</v>
      </c>
      <c r="H1692" s="6">
        <v>6138026.691124773</v>
      </c>
      <c r="I1692" s="6">
        <v>477.47256068845337</v>
      </c>
      <c r="J1692" s="6">
        <v>4.233070958287453</v>
      </c>
      <c r="K1692" s="6"/>
      <c r="L1692" s="6"/>
      <c r="M1692" s="6"/>
      <c r="N1692" s="6">
        <f t="shared" ref="N1692:P1692" si="1695">IF(LEN($C1692)&gt;0,H1692-E1692,"")</f>
        <v>-120917.4207</v>
      </c>
      <c r="O1692" s="6">
        <f t="shared" si="1695"/>
        <v>-4.666209789</v>
      </c>
      <c r="P1692" s="6">
        <f t="shared" si="1695"/>
        <v>-1.267346774</v>
      </c>
      <c r="Q1692" s="6"/>
      <c r="R1692" s="6"/>
      <c r="S1692" s="6"/>
      <c r="T1692" s="6"/>
      <c r="U1692" s="6"/>
      <c r="V1692" s="6"/>
      <c r="W1692" s="6"/>
      <c r="X1692" s="6"/>
      <c r="Y1692" s="6"/>
      <c r="Z1692" s="6"/>
      <c r="AA1692" s="6"/>
      <c r="AB1692" s="6"/>
      <c r="AC1692" s="6"/>
      <c r="AD1692" s="6"/>
      <c r="AE1692" s="6"/>
      <c r="AF1692" s="6"/>
      <c r="AG1692" s="6"/>
    </row>
    <row r="1693" ht="14.25" customHeight="1">
      <c r="A1693" s="6"/>
      <c r="B1693" s="6"/>
      <c r="C1693" s="6">
        <v>1686.0</v>
      </c>
      <c r="D1693" s="6"/>
      <c r="E1693" s="6">
        <v>7655301.177142336</v>
      </c>
      <c r="F1693" s="6">
        <v>463.71572995096335</v>
      </c>
      <c r="G1693" s="6">
        <v>5.520672650788643</v>
      </c>
      <c r="H1693" s="6">
        <v>7576500.795442054</v>
      </c>
      <c r="I1693" s="6">
        <v>460.5479178400098</v>
      </c>
      <c r="J1693" s="6">
        <v>4.098393383486819</v>
      </c>
      <c r="K1693" s="6"/>
      <c r="L1693" s="6"/>
      <c r="M1693" s="6"/>
      <c r="N1693" s="6">
        <f t="shared" ref="N1693:P1693" si="1696">IF(LEN($C1693)&gt;0,H1693-E1693,"")</f>
        <v>-78800.3817</v>
      </c>
      <c r="O1693" s="6">
        <f t="shared" si="1696"/>
        <v>-3.167812111</v>
      </c>
      <c r="P1693" s="6">
        <f t="shared" si="1696"/>
        <v>-1.422279267</v>
      </c>
      <c r="Q1693" s="6"/>
      <c r="R1693" s="6"/>
      <c r="S1693" s="6"/>
      <c r="T1693" s="6"/>
      <c r="U1693" s="6"/>
      <c r="V1693" s="6"/>
      <c r="W1693" s="6"/>
      <c r="X1693" s="6"/>
      <c r="Y1693" s="6"/>
      <c r="Z1693" s="6"/>
      <c r="AA1693" s="6"/>
      <c r="AB1693" s="6"/>
      <c r="AC1693" s="6"/>
      <c r="AD1693" s="6"/>
      <c r="AE1693" s="6"/>
      <c r="AF1693" s="6"/>
      <c r="AG1693" s="6"/>
    </row>
    <row r="1694" ht="14.25" customHeight="1">
      <c r="A1694" s="6"/>
      <c r="B1694" s="6"/>
      <c r="C1694" s="6">
        <v>1687.0</v>
      </c>
      <c r="D1694" s="6"/>
      <c r="E1694" s="6">
        <v>6588782.442202098</v>
      </c>
      <c r="F1694" s="6">
        <v>469.90311029146443</v>
      </c>
      <c r="G1694" s="6">
        <v>4.769007442865737</v>
      </c>
      <c r="H1694" s="6">
        <v>6489053.259949352</v>
      </c>
      <c r="I1694" s="6">
        <v>465.58589248563936</v>
      </c>
      <c r="J1694" s="6">
        <v>3.373612741472924</v>
      </c>
      <c r="K1694" s="6"/>
      <c r="L1694" s="6"/>
      <c r="M1694" s="6"/>
      <c r="N1694" s="6">
        <f t="shared" ref="N1694:P1694" si="1697">IF(LEN($C1694)&gt;0,H1694-E1694,"")</f>
        <v>-99729.18225</v>
      </c>
      <c r="O1694" s="6">
        <f t="shared" si="1697"/>
        <v>-4.317217806</v>
      </c>
      <c r="P1694" s="6">
        <f t="shared" si="1697"/>
        <v>-1.395394701</v>
      </c>
      <c r="Q1694" s="6"/>
      <c r="R1694" s="6"/>
      <c r="S1694" s="6"/>
      <c r="T1694" s="6"/>
      <c r="U1694" s="6"/>
      <c r="V1694" s="6"/>
      <c r="W1694" s="6"/>
      <c r="X1694" s="6"/>
      <c r="Y1694" s="6"/>
      <c r="Z1694" s="6"/>
      <c r="AA1694" s="6"/>
      <c r="AB1694" s="6"/>
      <c r="AC1694" s="6"/>
      <c r="AD1694" s="6"/>
      <c r="AE1694" s="6"/>
      <c r="AF1694" s="6"/>
      <c r="AG1694" s="6"/>
    </row>
    <row r="1695" ht="14.25" customHeight="1">
      <c r="A1695" s="6"/>
      <c r="B1695" s="6"/>
      <c r="C1695" s="6">
        <v>1688.0</v>
      </c>
      <c r="D1695" s="6"/>
      <c r="E1695" s="6">
        <v>6352335.706173804</v>
      </c>
      <c r="F1695" s="6">
        <v>430.54322940450146</v>
      </c>
      <c r="G1695" s="6">
        <v>4.525994184116566</v>
      </c>
      <c r="H1695" s="6">
        <v>6258006.551585437</v>
      </c>
      <c r="I1695" s="6">
        <v>426.5560289296893</v>
      </c>
      <c r="J1695" s="6">
        <v>3.1801443084774697</v>
      </c>
      <c r="K1695" s="6"/>
      <c r="L1695" s="6"/>
      <c r="M1695" s="6"/>
      <c r="N1695" s="6">
        <f t="shared" ref="N1695:P1695" si="1698">IF(LEN($C1695)&gt;0,H1695-E1695,"")</f>
        <v>-94329.15459</v>
      </c>
      <c r="O1695" s="6">
        <f t="shared" si="1698"/>
        <v>-3.987200475</v>
      </c>
      <c r="P1695" s="6">
        <f t="shared" si="1698"/>
        <v>-1.345849876</v>
      </c>
      <c r="Q1695" s="6"/>
      <c r="R1695" s="6"/>
      <c r="S1695" s="6"/>
      <c r="T1695" s="6"/>
      <c r="U1695" s="6"/>
      <c r="V1695" s="6"/>
      <c r="W1695" s="6"/>
      <c r="X1695" s="6"/>
      <c r="Y1695" s="6"/>
      <c r="Z1695" s="6"/>
      <c r="AA1695" s="6"/>
      <c r="AB1695" s="6"/>
      <c r="AC1695" s="6"/>
      <c r="AD1695" s="6"/>
      <c r="AE1695" s="6"/>
      <c r="AF1695" s="6"/>
      <c r="AG1695" s="6"/>
    </row>
    <row r="1696" ht="14.25" customHeight="1">
      <c r="A1696" s="6"/>
      <c r="B1696" s="6"/>
      <c r="C1696" s="6">
        <v>1689.0</v>
      </c>
      <c r="D1696" s="6"/>
      <c r="E1696" s="6">
        <v>8411729.807723552</v>
      </c>
      <c r="F1696" s="6">
        <v>497.62285358726643</v>
      </c>
      <c r="G1696" s="6">
        <v>5.23169702106471</v>
      </c>
      <c r="H1696" s="6">
        <v>8239561.634555877</v>
      </c>
      <c r="I1696" s="6">
        <v>490.4196909387423</v>
      </c>
      <c r="J1696" s="6">
        <v>3.8426979081870978</v>
      </c>
      <c r="K1696" s="6"/>
      <c r="L1696" s="6"/>
      <c r="M1696" s="6"/>
      <c r="N1696" s="6">
        <f t="shared" ref="N1696:P1696" si="1699">IF(LEN($C1696)&gt;0,H1696-E1696,"")</f>
        <v>-172168.1732</v>
      </c>
      <c r="O1696" s="6">
        <f t="shared" si="1699"/>
        <v>-7.203162649</v>
      </c>
      <c r="P1696" s="6">
        <f t="shared" si="1699"/>
        <v>-1.388999113</v>
      </c>
      <c r="Q1696" s="6"/>
      <c r="R1696" s="6"/>
      <c r="S1696" s="6"/>
      <c r="T1696" s="6"/>
      <c r="U1696" s="6"/>
      <c r="V1696" s="6"/>
      <c r="W1696" s="6"/>
      <c r="X1696" s="6"/>
      <c r="Y1696" s="6"/>
      <c r="Z1696" s="6"/>
      <c r="AA1696" s="6"/>
      <c r="AB1696" s="6"/>
      <c r="AC1696" s="6"/>
      <c r="AD1696" s="6"/>
      <c r="AE1696" s="6"/>
      <c r="AF1696" s="6"/>
      <c r="AG1696" s="6"/>
    </row>
    <row r="1697" ht="14.25" customHeight="1">
      <c r="A1697" s="6"/>
      <c r="B1697" s="6"/>
      <c r="C1697" s="6">
        <v>1690.0</v>
      </c>
      <c r="D1697" s="6"/>
      <c r="E1697" s="6">
        <v>5584044.273114145</v>
      </c>
      <c r="F1697" s="6">
        <v>501.0230002318645</v>
      </c>
      <c r="G1697" s="6">
        <v>5.568606604744914</v>
      </c>
      <c r="H1697" s="6">
        <v>5400528.328136772</v>
      </c>
      <c r="I1697" s="6">
        <v>493.61615190080687</v>
      </c>
      <c r="J1697" s="6">
        <v>4.190008923924483</v>
      </c>
      <c r="K1697" s="6"/>
      <c r="L1697" s="6"/>
      <c r="M1697" s="6"/>
      <c r="N1697" s="6">
        <f t="shared" ref="N1697:P1697" si="1700">IF(LEN($C1697)&gt;0,H1697-E1697,"")</f>
        <v>-183515.945</v>
      </c>
      <c r="O1697" s="6">
        <f t="shared" si="1700"/>
        <v>-7.406848331</v>
      </c>
      <c r="P1697" s="6">
        <f t="shared" si="1700"/>
        <v>-1.378597681</v>
      </c>
      <c r="Q1697" s="6"/>
      <c r="R1697" s="6"/>
      <c r="S1697" s="6"/>
      <c r="T1697" s="6"/>
      <c r="U1697" s="6"/>
      <c r="V1697" s="6"/>
      <c r="W1697" s="6"/>
      <c r="X1697" s="6"/>
      <c r="Y1697" s="6"/>
      <c r="Z1697" s="6"/>
      <c r="AA1697" s="6"/>
      <c r="AB1697" s="6"/>
      <c r="AC1697" s="6"/>
      <c r="AD1697" s="6"/>
      <c r="AE1697" s="6"/>
      <c r="AF1697" s="6"/>
      <c r="AG1697" s="6"/>
    </row>
    <row r="1698" ht="14.25" customHeight="1">
      <c r="A1698" s="6"/>
      <c r="B1698" s="6"/>
      <c r="C1698" s="6">
        <v>1691.0</v>
      </c>
      <c r="D1698" s="6"/>
      <c r="E1698" s="6">
        <v>6599081.591980563</v>
      </c>
      <c r="F1698" s="6">
        <v>475.86396012316857</v>
      </c>
      <c r="G1698" s="6">
        <v>4.978823442344333</v>
      </c>
      <c r="H1698" s="6">
        <v>6507808.404998357</v>
      </c>
      <c r="I1698" s="6">
        <v>473.16976909108223</v>
      </c>
      <c r="J1698" s="6">
        <v>3.5950949959020804</v>
      </c>
      <c r="K1698" s="6"/>
      <c r="L1698" s="6"/>
      <c r="M1698" s="6"/>
      <c r="N1698" s="6">
        <f t="shared" ref="N1698:P1698" si="1701">IF(LEN($C1698)&gt;0,H1698-E1698,"")</f>
        <v>-91273.18698</v>
      </c>
      <c r="O1698" s="6">
        <f t="shared" si="1701"/>
        <v>-2.694191032</v>
      </c>
      <c r="P1698" s="6">
        <f t="shared" si="1701"/>
        <v>-1.383728446</v>
      </c>
      <c r="Q1698" s="6"/>
      <c r="R1698" s="6"/>
      <c r="S1698" s="6"/>
      <c r="T1698" s="6"/>
      <c r="U1698" s="6"/>
      <c r="V1698" s="6"/>
      <c r="W1698" s="6"/>
      <c r="X1698" s="6"/>
      <c r="Y1698" s="6"/>
      <c r="Z1698" s="6"/>
      <c r="AA1698" s="6"/>
      <c r="AB1698" s="6"/>
      <c r="AC1698" s="6"/>
      <c r="AD1698" s="6"/>
      <c r="AE1698" s="6"/>
      <c r="AF1698" s="6"/>
      <c r="AG1698" s="6"/>
    </row>
    <row r="1699" ht="14.25" customHeight="1">
      <c r="A1699" s="6"/>
      <c r="B1699" s="6"/>
      <c r="C1699" s="6">
        <v>1692.0</v>
      </c>
      <c r="D1699" s="6"/>
      <c r="E1699" s="6">
        <v>5607561.401509484</v>
      </c>
      <c r="F1699" s="6">
        <v>473.2931814614132</v>
      </c>
      <c r="G1699" s="6">
        <v>6.389561230915683</v>
      </c>
      <c r="H1699" s="6">
        <v>5514460.109172029</v>
      </c>
      <c r="I1699" s="6">
        <v>469.52950804891105</v>
      </c>
      <c r="J1699" s="6">
        <v>4.280266400478907</v>
      </c>
      <c r="K1699" s="6"/>
      <c r="L1699" s="6"/>
      <c r="M1699" s="6"/>
      <c r="N1699" s="6">
        <f t="shared" ref="N1699:P1699" si="1702">IF(LEN($C1699)&gt;0,H1699-E1699,"")</f>
        <v>-93101.29234</v>
      </c>
      <c r="O1699" s="6">
        <f t="shared" si="1702"/>
        <v>-3.763673413</v>
      </c>
      <c r="P1699" s="6">
        <f t="shared" si="1702"/>
        <v>-2.10929483</v>
      </c>
      <c r="Q1699" s="6"/>
      <c r="R1699" s="6"/>
      <c r="S1699" s="6"/>
      <c r="T1699" s="6"/>
      <c r="U1699" s="6"/>
      <c r="V1699" s="6"/>
      <c r="W1699" s="6"/>
      <c r="X1699" s="6"/>
      <c r="Y1699" s="6"/>
      <c r="Z1699" s="6"/>
      <c r="AA1699" s="6"/>
      <c r="AB1699" s="6"/>
      <c r="AC1699" s="6"/>
      <c r="AD1699" s="6"/>
      <c r="AE1699" s="6"/>
      <c r="AF1699" s="6"/>
      <c r="AG1699" s="6"/>
    </row>
    <row r="1700" ht="14.25" customHeight="1">
      <c r="A1700" s="6"/>
      <c r="B1700" s="6"/>
      <c r="C1700" s="6">
        <v>1693.0</v>
      </c>
      <c r="D1700" s="6"/>
      <c r="E1700" s="6">
        <v>7892425.462654602</v>
      </c>
      <c r="F1700" s="6">
        <v>484.93966753529236</v>
      </c>
      <c r="G1700" s="6">
        <v>6.942581778632956</v>
      </c>
      <c r="H1700" s="6">
        <v>7688310.886998495</v>
      </c>
      <c r="I1700" s="6">
        <v>477.0566627312014</v>
      </c>
      <c r="J1700" s="6">
        <v>4.752387162182877</v>
      </c>
      <c r="K1700" s="6"/>
      <c r="L1700" s="6"/>
      <c r="M1700" s="6"/>
      <c r="N1700" s="6">
        <f t="shared" ref="N1700:P1700" si="1703">IF(LEN($C1700)&gt;0,H1700-E1700,"")</f>
        <v>-204114.5757</v>
      </c>
      <c r="O1700" s="6">
        <f t="shared" si="1703"/>
        <v>-7.883004804</v>
      </c>
      <c r="P1700" s="6">
        <f t="shared" si="1703"/>
        <v>-2.190194616</v>
      </c>
      <c r="Q1700" s="6"/>
      <c r="R1700" s="6"/>
      <c r="S1700" s="6"/>
      <c r="T1700" s="6"/>
      <c r="U1700" s="6"/>
      <c r="V1700" s="6"/>
      <c r="W1700" s="6"/>
      <c r="X1700" s="6"/>
      <c r="Y1700" s="6"/>
      <c r="Z1700" s="6"/>
      <c r="AA1700" s="6"/>
      <c r="AB1700" s="6"/>
      <c r="AC1700" s="6"/>
      <c r="AD1700" s="6"/>
      <c r="AE1700" s="6"/>
      <c r="AF1700" s="6"/>
      <c r="AG1700" s="6"/>
    </row>
    <row r="1701" ht="14.25" customHeight="1">
      <c r="A1701" s="6"/>
      <c r="B1701" s="6"/>
      <c r="C1701" s="6">
        <v>1694.0</v>
      </c>
      <c r="D1701" s="6"/>
      <c r="E1701" s="6">
        <v>5496950.12414338</v>
      </c>
      <c r="F1701" s="6">
        <v>431.24250460965425</v>
      </c>
      <c r="G1701" s="6">
        <v>5.388074127770236</v>
      </c>
      <c r="H1701" s="6">
        <v>5389432.721280788</v>
      </c>
      <c r="I1701" s="6">
        <v>426.4382278847475</v>
      </c>
      <c r="J1701" s="6">
        <v>3.661534417564417</v>
      </c>
      <c r="K1701" s="6"/>
      <c r="L1701" s="6"/>
      <c r="M1701" s="6"/>
      <c r="N1701" s="6">
        <f t="shared" ref="N1701:P1701" si="1704">IF(LEN($C1701)&gt;0,H1701-E1701,"")</f>
        <v>-107517.4029</v>
      </c>
      <c r="O1701" s="6">
        <f t="shared" si="1704"/>
        <v>-4.804276725</v>
      </c>
      <c r="P1701" s="6">
        <f t="shared" si="1704"/>
        <v>-1.72653971</v>
      </c>
      <c r="Q1701" s="6"/>
      <c r="R1701" s="6"/>
      <c r="S1701" s="6"/>
      <c r="T1701" s="6"/>
      <c r="U1701" s="6"/>
      <c r="V1701" s="6"/>
      <c r="W1701" s="6"/>
      <c r="X1701" s="6"/>
      <c r="Y1701" s="6"/>
      <c r="Z1701" s="6"/>
      <c r="AA1701" s="6"/>
      <c r="AB1701" s="6"/>
      <c r="AC1701" s="6"/>
      <c r="AD1701" s="6"/>
      <c r="AE1701" s="6"/>
      <c r="AF1701" s="6"/>
      <c r="AG1701" s="6"/>
    </row>
    <row r="1702" ht="14.25" customHeight="1">
      <c r="A1702" s="6"/>
      <c r="B1702" s="6"/>
      <c r="C1702" s="6">
        <v>1695.0</v>
      </c>
      <c r="D1702" s="6"/>
      <c r="E1702" s="6">
        <v>8958986.7177971</v>
      </c>
      <c r="F1702" s="6">
        <v>436.15901799702215</v>
      </c>
      <c r="G1702" s="6">
        <v>4.100517367020563</v>
      </c>
      <c r="H1702" s="6">
        <v>8844002.601204919</v>
      </c>
      <c r="I1702" s="6">
        <v>431.9023021051526</v>
      </c>
      <c r="J1702" s="6">
        <v>2.719162571941028</v>
      </c>
      <c r="K1702" s="6"/>
      <c r="L1702" s="6"/>
      <c r="M1702" s="6"/>
      <c r="N1702" s="6">
        <f t="shared" ref="N1702:P1702" si="1705">IF(LEN($C1702)&gt;0,H1702-E1702,"")</f>
        <v>-114984.1166</v>
      </c>
      <c r="O1702" s="6">
        <f t="shared" si="1705"/>
        <v>-4.256715892</v>
      </c>
      <c r="P1702" s="6">
        <f t="shared" si="1705"/>
        <v>-1.381354795</v>
      </c>
      <c r="Q1702" s="6"/>
      <c r="R1702" s="6"/>
      <c r="S1702" s="6"/>
      <c r="T1702" s="6"/>
      <c r="U1702" s="6"/>
      <c r="V1702" s="6"/>
      <c r="W1702" s="6"/>
      <c r="X1702" s="6"/>
      <c r="Y1702" s="6"/>
      <c r="Z1702" s="6"/>
      <c r="AA1702" s="6"/>
      <c r="AB1702" s="6"/>
      <c r="AC1702" s="6"/>
      <c r="AD1702" s="6"/>
      <c r="AE1702" s="6"/>
      <c r="AF1702" s="6"/>
      <c r="AG1702" s="6"/>
    </row>
    <row r="1703" ht="14.25" customHeight="1">
      <c r="A1703" s="6"/>
      <c r="B1703" s="6"/>
      <c r="C1703" s="6">
        <v>1696.0</v>
      </c>
      <c r="D1703" s="6"/>
      <c r="E1703" s="6">
        <v>6877430.410062851</v>
      </c>
      <c r="F1703" s="6">
        <v>488.86473271848973</v>
      </c>
      <c r="G1703" s="6">
        <v>5.300818751961235</v>
      </c>
      <c r="H1703" s="6">
        <v>6818456.336260646</v>
      </c>
      <c r="I1703" s="6">
        <v>486.3021957107412</v>
      </c>
      <c r="J1703" s="6">
        <v>4.471028042159615</v>
      </c>
      <c r="K1703" s="6"/>
      <c r="L1703" s="6"/>
      <c r="M1703" s="6"/>
      <c r="N1703" s="6">
        <f t="shared" ref="N1703:P1703" si="1706">IF(LEN($C1703)&gt;0,H1703-E1703,"")</f>
        <v>-58974.0738</v>
      </c>
      <c r="O1703" s="6">
        <f t="shared" si="1706"/>
        <v>-2.562537008</v>
      </c>
      <c r="P1703" s="6">
        <f t="shared" si="1706"/>
        <v>-0.8297907098</v>
      </c>
      <c r="Q1703" s="6"/>
      <c r="R1703" s="6"/>
      <c r="S1703" s="6"/>
      <c r="T1703" s="6"/>
      <c r="U1703" s="6"/>
      <c r="V1703" s="6"/>
      <c r="W1703" s="6"/>
      <c r="X1703" s="6"/>
      <c r="Y1703" s="6"/>
      <c r="Z1703" s="6"/>
      <c r="AA1703" s="6"/>
      <c r="AB1703" s="6"/>
      <c r="AC1703" s="6"/>
      <c r="AD1703" s="6"/>
      <c r="AE1703" s="6"/>
      <c r="AF1703" s="6"/>
      <c r="AG1703" s="6"/>
    </row>
    <row r="1704" ht="14.25" customHeight="1">
      <c r="A1704" s="6"/>
      <c r="B1704" s="6"/>
      <c r="C1704" s="6">
        <v>1697.0</v>
      </c>
      <c r="D1704" s="6"/>
      <c r="E1704" s="6">
        <v>5851540.045394982</v>
      </c>
      <c r="F1704" s="6">
        <v>466.8425015127954</v>
      </c>
      <c r="G1704" s="6">
        <v>4.874094939772925</v>
      </c>
      <c r="H1704" s="6">
        <v>5751932.6052132035</v>
      </c>
      <c r="I1704" s="6">
        <v>464.53115438567085</v>
      </c>
      <c r="J1704" s="6">
        <v>3.4124340350243907</v>
      </c>
      <c r="K1704" s="6"/>
      <c r="L1704" s="6"/>
      <c r="M1704" s="6"/>
      <c r="N1704" s="6">
        <f t="shared" ref="N1704:P1704" si="1707">IF(LEN($C1704)&gt;0,H1704-E1704,"")</f>
        <v>-99607.44018</v>
      </c>
      <c r="O1704" s="6">
        <f t="shared" si="1707"/>
        <v>-2.311347127</v>
      </c>
      <c r="P1704" s="6">
        <f t="shared" si="1707"/>
        <v>-1.461660905</v>
      </c>
      <c r="Q1704" s="6"/>
      <c r="R1704" s="6"/>
      <c r="S1704" s="6"/>
      <c r="T1704" s="6"/>
      <c r="U1704" s="6"/>
      <c r="V1704" s="6"/>
      <c r="W1704" s="6"/>
      <c r="X1704" s="6"/>
      <c r="Y1704" s="6"/>
      <c r="Z1704" s="6"/>
      <c r="AA1704" s="6"/>
      <c r="AB1704" s="6"/>
      <c r="AC1704" s="6"/>
      <c r="AD1704" s="6"/>
      <c r="AE1704" s="6"/>
      <c r="AF1704" s="6"/>
      <c r="AG1704" s="6"/>
    </row>
    <row r="1705" ht="14.25" customHeight="1">
      <c r="A1705" s="6"/>
      <c r="B1705" s="6"/>
      <c r="C1705" s="6">
        <v>1698.0</v>
      </c>
      <c r="D1705" s="6"/>
      <c r="E1705" s="6">
        <v>7224762.793921902</v>
      </c>
      <c r="F1705" s="6">
        <v>500.3686178731102</v>
      </c>
      <c r="G1705" s="6">
        <v>6.337806221078896</v>
      </c>
      <c r="H1705" s="6">
        <v>7051430.883929267</v>
      </c>
      <c r="I1705" s="6">
        <v>494.1111369735035</v>
      </c>
      <c r="J1705" s="6">
        <v>4.435908371491141</v>
      </c>
      <c r="K1705" s="6"/>
      <c r="L1705" s="6"/>
      <c r="M1705" s="6"/>
      <c r="N1705" s="6">
        <f t="shared" ref="N1705:P1705" si="1708">IF(LEN($C1705)&gt;0,H1705-E1705,"")</f>
        <v>-173331.91</v>
      </c>
      <c r="O1705" s="6">
        <f t="shared" si="1708"/>
        <v>-6.2574809</v>
      </c>
      <c r="P1705" s="6">
        <f t="shared" si="1708"/>
        <v>-1.90189785</v>
      </c>
      <c r="Q1705" s="6"/>
      <c r="R1705" s="6"/>
      <c r="S1705" s="6"/>
      <c r="T1705" s="6"/>
      <c r="U1705" s="6"/>
      <c r="V1705" s="6"/>
      <c r="W1705" s="6"/>
      <c r="X1705" s="6"/>
      <c r="Y1705" s="6"/>
      <c r="Z1705" s="6"/>
      <c r="AA1705" s="6"/>
      <c r="AB1705" s="6"/>
      <c r="AC1705" s="6"/>
      <c r="AD1705" s="6"/>
      <c r="AE1705" s="6"/>
      <c r="AF1705" s="6"/>
      <c r="AG1705" s="6"/>
    </row>
    <row r="1706" ht="14.25" customHeight="1">
      <c r="A1706" s="6"/>
      <c r="B1706" s="6"/>
      <c r="C1706" s="6">
        <v>1699.0</v>
      </c>
      <c r="D1706" s="6"/>
      <c r="E1706" s="6">
        <v>7249247.866149006</v>
      </c>
      <c r="F1706" s="6">
        <v>447.99120193740885</v>
      </c>
      <c r="G1706" s="6">
        <v>5.741057037712415</v>
      </c>
      <c r="H1706" s="6">
        <v>7175751.492965979</v>
      </c>
      <c r="I1706" s="6">
        <v>443.8510060167639</v>
      </c>
      <c r="J1706" s="6">
        <v>4.966624035510242</v>
      </c>
      <c r="K1706" s="6"/>
      <c r="L1706" s="6"/>
      <c r="M1706" s="6"/>
      <c r="N1706" s="6">
        <f t="shared" ref="N1706:P1706" si="1709">IF(LEN($C1706)&gt;0,H1706-E1706,"")</f>
        <v>-73496.37318</v>
      </c>
      <c r="O1706" s="6">
        <f t="shared" si="1709"/>
        <v>-4.140195921</v>
      </c>
      <c r="P1706" s="6">
        <f t="shared" si="1709"/>
        <v>-0.7744330022</v>
      </c>
      <c r="Q1706" s="6"/>
      <c r="R1706" s="6"/>
      <c r="S1706" s="6"/>
      <c r="T1706" s="6"/>
      <c r="U1706" s="6"/>
      <c r="V1706" s="6"/>
      <c r="W1706" s="6"/>
      <c r="X1706" s="6"/>
      <c r="Y1706" s="6"/>
      <c r="Z1706" s="6"/>
      <c r="AA1706" s="6"/>
      <c r="AB1706" s="6"/>
      <c r="AC1706" s="6"/>
      <c r="AD1706" s="6"/>
      <c r="AE1706" s="6"/>
      <c r="AF1706" s="6"/>
      <c r="AG1706" s="6"/>
    </row>
    <row r="1707" ht="14.25" customHeight="1">
      <c r="A1707" s="6"/>
      <c r="B1707" s="6"/>
      <c r="C1707" s="6">
        <v>1700.0</v>
      </c>
      <c r="D1707" s="6"/>
      <c r="E1707" s="6">
        <v>5700683.549704752</v>
      </c>
      <c r="F1707" s="6">
        <v>473.3660178299224</v>
      </c>
      <c r="G1707" s="6">
        <v>4.157213694393364</v>
      </c>
      <c r="H1707" s="6">
        <v>5649338.253175735</v>
      </c>
      <c r="I1707" s="6">
        <v>470.877081653804</v>
      </c>
      <c r="J1707" s="6">
        <v>3.3538154182057953</v>
      </c>
      <c r="K1707" s="6"/>
      <c r="L1707" s="6"/>
      <c r="M1707" s="6"/>
      <c r="N1707" s="6">
        <f t="shared" ref="N1707:P1707" si="1710">IF(LEN($C1707)&gt;0,H1707-E1707,"")</f>
        <v>-51345.29653</v>
      </c>
      <c r="O1707" s="6">
        <f t="shared" si="1710"/>
        <v>-2.488936176</v>
      </c>
      <c r="P1707" s="6">
        <f t="shared" si="1710"/>
        <v>-0.8033982762</v>
      </c>
      <c r="Q1707" s="6"/>
      <c r="R1707" s="6"/>
      <c r="S1707" s="6"/>
      <c r="T1707" s="6"/>
      <c r="U1707" s="6"/>
      <c r="V1707" s="6"/>
      <c r="W1707" s="6"/>
      <c r="X1707" s="6"/>
      <c r="Y1707" s="6"/>
      <c r="Z1707" s="6"/>
      <c r="AA1707" s="6"/>
      <c r="AB1707" s="6"/>
      <c r="AC1707" s="6"/>
      <c r="AD1707" s="6"/>
      <c r="AE1707" s="6"/>
      <c r="AF1707" s="6"/>
      <c r="AG1707" s="6"/>
    </row>
    <row r="1708" ht="14.25" customHeight="1">
      <c r="A1708" s="6"/>
      <c r="B1708" s="6"/>
      <c r="C1708" s="6">
        <v>1701.0</v>
      </c>
      <c r="D1708" s="6"/>
      <c r="E1708" s="6">
        <v>8397896.226038119</v>
      </c>
      <c r="F1708" s="6">
        <v>496.22303365953354</v>
      </c>
      <c r="G1708" s="6">
        <v>3.962866976464344</v>
      </c>
      <c r="H1708" s="6">
        <v>8219992.539213114</v>
      </c>
      <c r="I1708" s="6">
        <v>488.4324038313876</v>
      </c>
      <c r="J1708" s="6">
        <v>2.849336771360189</v>
      </c>
      <c r="K1708" s="6"/>
      <c r="L1708" s="6"/>
      <c r="M1708" s="6"/>
      <c r="N1708" s="6">
        <f t="shared" ref="N1708:P1708" si="1711">IF(LEN($C1708)&gt;0,H1708-E1708,"")</f>
        <v>-177903.6868</v>
      </c>
      <c r="O1708" s="6">
        <f t="shared" si="1711"/>
        <v>-7.790629828</v>
      </c>
      <c r="P1708" s="6">
        <f t="shared" si="1711"/>
        <v>-1.113530205</v>
      </c>
      <c r="Q1708" s="6"/>
      <c r="R1708" s="6"/>
      <c r="S1708" s="6"/>
      <c r="T1708" s="6"/>
      <c r="U1708" s="6"/>
      <c r="V1708" s="6"/>
      <c r="W1708" s="6"/>
      <c r="X1708" s="6"/>
      <c r="Y1708" s="6"/>
      <c r="Z1708" s="6"/>
      <c r="AA1708" s="6"/>
      <c r="AB1708" s="6"/>
      <c r="AC1708" s="6"/>
      <c r="AD1708" s="6"/>
      <c r="AE1708" s="6"/>
      <c r="AF1708" s="6"/>
      <c r="AG1708" s="6"/>
    </row>
    <row r="1709" ht="14.25" customHeight="1">
      <c r="A1709" s="6"/>
      <c r="B1709" s="6"/>
      <c r="C1709" s="6">
        <v>1702.0</v>
      </c>
      <c r="D1709" s="6"/>
      <c r="E1709" s="6">
        <v>5436848.559453161</v>
      </c>
      <c r="F1709" s="6">
        <v>480.30340333405644</v>
      </c>
      <c r="G1709" s="6">
        <v>4.446642830582729</v>
      </c>
      <c r="H1709" s="6">
        <v>5288800.136899724</v>
      </c>
      <c r="I1709" s="6">
        <v>473.3297066952398</v>
      </c>
      <c r="J1709" s="6">
        <v>2.852244245152026</v>
      </c>
      <c r="K1709" s="6"/>
      <c r="L1709" s="6"/>
      <c r="M1709" s="6"/>
      <c r="N1709" s="6">
        <f t="shared" ref="N1709:P1709" si="1712">IF(LEN($C1709)&gt;0,H1709-E1709,"")</f>
        <v>-148048.4226</v>
      </c>
      <c r="O1709" s="6">
        <f t="shared" si="1712"/>
        <v>-6.973696639</v>
      </c>
      <c r="P1709" s="6">
        <f t="shared" si="1712"/>
        <v>-1.594398585</v>
      </c>
      <c r="Q1709" s="6"/>
      <c r="R1709" s="6"/>
      <c r="S1709" s="6"/>
      <c r="T1709" s="6"/>
      <c r="U1709" s="6"/>
      <c r="V1709" s="6"/>
      <c r="W1709" s="6"/>
      <c r="X1709" s="6"/>
      <c r="Y1709" s="6"/>
      <c r="Z1709" s="6"/>
      <c r="AA1709" s="6"/>
      <c r="AB1709" s="6"/>
      <c r="AC1709" s="6"/>
      <c r="AD1709" s="6"/>
      <c r="AE1709" s="6"/>
      <c r="AF1709" s="6"/>
      <c r="AG1709" s="6"/>
    </row>
    <row r="1710" ht="14.25" customHeight="1">
      <c r="A1710" s="6"/>
      <c r="B1710" s="6"/>
      <c r="C1710" s="6">
        <v>1703.0</v>
      </c>
      <c r="D1710" s="6"/>
      <c r="E1710" s="6">
        <v>7026061.536100427</v>
      </c>
      <c r="F1710" s="6">
        <v>498.3674260348931</v>
      </c>
      <c r="G1710" s="6">
        <v>5.066517869206455</v>
      </c>
      <c r="H1710" s="6">
        <v>6918359.599247287</v>
      </c>
      <c r="I1710" s="6">
        <v>492.10753996830096</v>
      </c>
      <c r="J1710" s="6">
        <v>4.007216863357852</v>
      </c>
      <c r="K1710" s="6"/>
      <c r="L1710" s="6"/>
      <c r="M1710" s="6"/>
      <c r="N1710" s="6">
        <f t="shared" ref="N1710:P1710" si="1713">IF(LEN($C1710)&gt;0,H1710-E1710,"")</f>
        <v>-107701.9369</v>
      </c>
      <c r="O1710" s="6">
        <f t="shared" si="1713"/>
        <v>-6.259886067</v>
      </c>
      <c r="P1710" s="6">
        <f t="shared" si="1713"/>
        <v>-1.059301006</v>
      </c>
      <c r="Q1710" s="6"/>
      <c r="R1710" s="6"/>
      <c r="S1710" s="6"/>
      <c r="T1710" s="6"/>
      <c r="U1710" s="6"/>
      <c r="V1710" s="6"/>
      <c r="W1710" s="6"/>
      <c r="X1710" s="6"/>
      <c r="Y1710" s="6"/>
      <c r="Z1710" s="6"/>
      <c r="AA1710" s="6"/>
      <c r="AB1710" s="6"/>
      <c r="AC1710" s="6"/>
      <c r="AD1710" s="6"/>
      <c r="AE1710" s="6"/>
      <c r="AF1710" s="6"/>
      <c r="AG1710" s="6"/>
    </row>
    <row r="1711" ht="14.25" customHeight="1">
      <c r="A1711" s="6"/>
      <c r="B1711" s="6"/>
      <c r="C1711" s="6">
        <v>1704.0</v>
      </c>
      <c r="D1711" s="6"/>
      <c r="E1711" s="6">
        <v>7589920.755570301</v>
      </c>
      <c r="F1711" s="6">
        <v>491.2520199843619</v>
      </c>
      <c r="G1711" s="6">
        <v>5.58873671008802</v>
      </c>
      <c r="H1711" s="6">
        <v>7334770.933066598</v>
      </c>
      <c r="I1711" s="6">
        <v>483.9663781665589</v>
      </c>
      <c r="J1711" s="6">
        <v>3.821639892671659</v>
      </c>
      <c r="K1711" s="6"/>
      <c r="L1711" s="6"/>
      <c r="M1711" s="6"/>
      <c r="N1711" s="6">
        <f t="shared" ref="N1711:P1711" si="1714">IF(LEN($C1711)&gt;0,H1711-E1711,"")</f>
        <v>-255149.8225</v>
      </c>
      <c r="O1711" s="6">
        <f t="shared" si="1714"/>
        <v>-7.285641818</v>
      </c>
      <c r="P1711" s="6">
        <f t="shared" si="1714"/>
        <v>-1.767096817</v>
      </c>
      <c r="Q1711" s="6"/>
      <c r="R1711" s="6"/>
      <c r="S1711" s="6"/>
      <c r="T1711" s="6"/>
      <c r="U1711" s="6"/>
      <c r="V1711" s="6"/>
      <c r="W1711" s="6"/>
      <c r="X1711" s="6"/>
      <c r="Y1711" s="6"/>
      <c r="Z1711" s="6"/>
      <c r="AA1711" s="6"/>
      <c r="AB1711" s="6"/>
      <c r="AC1711" s="6"/>
      <c r="AD1711" s="6"/>
      <c r="AE1711" s="6"/>
      <c r="AF1711" s="6"/>
      <c r="AG1711" s="6"/>
    </row>
    <row r="1712" ht="14.25" customHeight="1">
      <c r="A1712" s="6"/>
      <c r="B1712" s="6"/>
      <c r="C1712" s="6">
        <v>1705.0</v>
      </c>
      <c r="D1712" s="6"/>
      <c r="E1712" s="6">
        <v>7982097.0063225925</v>
      </c>
      <c r="F1712" s="6">
        <v>500.5560465686833</v>
      </c>
      <c r="G1712" s="6">
        <v>4.736342123143712</v>
      </c>
      <c r="H1712" s="6">
        <v>7795479.31616006</v>
      </c>
      <c r="I1712" s="6">
        <v>493.2210984751533</v>
      </c>
      <c r="J1712" s="6">
        <v>3.4181823283068353</v>
      </c>
      <c r="K1712" s="6"/>
      <c r="L1712" s="6"/>
      <c r="M1712" s="6"/>
      <c r="N1712" s="6">
        <f t="shared" ref="N1712:P1712" si="1715">IF(LEN($C1712)&gt;0,H1712-E1712,"")</f>
        <v>-186617.6902</v>
      </c>
      <c r="O1712" s="6">
        <f t="shared" si="1715"/>
        <v>-7.334948094</v>
      </c>
      <c r="P1712" s="6">
        <f t="shared" si="1715"/>
        <v>-1.318159795</v>
      </c>
      <c r="Q1712" s="6"/>
      <c r="R1712" s="6"/>
      <c r="S1712" s="6"/>
      <c r="T1712" s="6"/>
      <c r="U1712" s="6"/>
      <c r="V1712" s="6"/>
      <c r="W1712" s="6"/>
      <c r="X1712" s="6"/>
      <c r="Y1712" s="6"/>
      <c r="Z1712" s="6"/>
      <c r="AA1712" s="6"/>
      <c r="AB1712" s="6"/>
      <c r="AC1712" s="6"/>
      <c r="AD1712" s="6"/>
      <c r="AE1712" s="6"/>
      <c r="AF1712" s="6"/>
      <c r="AG1712" s="6"/>
    </row>
    <row r="1713" ht="14.25" customHeight="1">
      <c r="A1713" s="6"/>
      <c r="B1713" s="6"/>
      <c r="C1713" s="6">
        <v>1706.0</v>
      </c>
      <c r="D1713" s="6"/>
      <c r="E1713" s="6">
        <v>8624035.894645378</v>
      </c>
      <c r="F1713" s="6">
        <v>491.4157663155186</v>
      </c>
      <c r="G1713" s="6">
        <v>4.2258815676136985</v>
      </c>
      <c r="H1713" s="6">
        <v>8429008.651663143</v>
      </c>
      <c r="I1713" s="6">
        <v>481.65921742015456</v>
      </c>
      <c r="J1713" s="6">
        <v>2.665675878925752</v>
      </c>
      <c r="K1713" s="6"/>
      <c r="L1713" s="6"/>
      <c r="M1713" s="6"/>
      <c r="N1713" s="6">
        <f t="shared" ref="N1713:P1713" si="1716">IF(LEN($C1713)&gt;0,H1713-E1713,"")</f>
        <v>-195027.243</v>
      </c>
      <c r="O1713" s="6">
        <f t="shared" si="1716"/>
        <v>-9.756548895</v>
      </c>
      <c r="P1713" s="6">
        <f t="shared" si="1716"/>
        <v>-1.560205689</v>
      </c>
      <c r="Q1713" s="6"/>
      <c r="R1713" s="6"/>
      <c r="S1713" s="6"/>
      <c r="T1713" s="6"/>
      <c r="U1713" s="6"/>
      <c r="V1713" s="6"/>
      <c r="W1713" s="6"/>
      <c r="X1713" s="6"/>
      <c r="Y1713" s="6"/>
      <c r="Z1713" s="6"/>
      <c r="AA1713" s="6"/>
      <c r="AB1713" s="6"/>
      <c r="AC1713" s="6"/>
      <c r="AD1713" s="6"/>
      <c r="AE1713" s="6"/>
      <c r="AF1713" s="6"/>
      <c r="AG1713" s="6"/>
    </row>
    <row r="1714" ht="14.25" customHeight="1">
      <c r="A1714" s="6"/>
      <c r="B1714" s="6"/>
      <c r="C1714" s="6">
        <v>1707.0</v>
      </c>
      <c r="D1714" s="6"/>
      <c r="E1714" s="6">
        <v>7186435.475821441</v>
      </c>
      <c r="F1714" s="6">
        <v>480.45920380804716</v>
      </c>
      <c r="G1714" s="6">
        <v>7.469920995949412</v>
      </c>
      <c r="H1714" s="6">
        <v>7055538.425806103</v>
      </c>
      <c r="I1714" s="6">
        <v>476.3734388818024</v>
      </c>
      <c r="J1714" s="6">
        <v>5.587839374825973</v>
      </c>
      <c r="K1714" s="6"/>
      <c r="L1714" s="6"/>
      <c r="M1714" s="6"/>
      <c r="N1714" s="6">
        <f t="shared" ref="N1714:P1714" si="1717">IF(LEN($C1714)&gt;0,H1714-E1714,"")</f>
        <v>-130897.05</v>
      </c>
      <c r="O1714" s="6">
        <f t="shared" si="1717"/>
        <v>-4.085764926</v>
      </c>
      <c r="P1714" s="6">
        <f t="shared" si="1717"/>
        <v>-1.882081621</v>
      </c>
      <c r="Q1714" s="6"/>
      <c r="R1714" s="6"/>
      <c r="S1714" s="6"/>
      <c r="T1714" s="6"/>
      <c r="U1714" s="6"/>
      <c r="V1714" s="6"/>
      <c r="W1714" s="6"/>
      <c r="X1714" s="6"/>
      <c r="Y1714" s="6"/>
      <c r="Z1714" s="6"/>
      <c r="AA1714" s="6"/>
      <c r="AB1714" s="6"/>
      <c r="AC1714" s="6"/>
      <c r="AD1714" s="6"/>
      <c r="AE1714" s="6"/>
      <c r="AF1714" s="6"/>
      <c r="AG1714" s="6"/>
    </row>
    <row r="1715" ht="14.25" customHeight="1">
      <c r="A1715" s="6"/>
      <c r="B1715" s="6"/>
      <c r="C1715" s="6">
        <v>1708.0</v>
      </c>
      <c r="D1715" s="6"/>
      <c r="E1715" s="6">
        <v>7744997.1197822355</v>
      </c>
      <c r="F1715" s="6">
        <v>496.1259030193037</v>
      </c>
      <c r="G1715" s="6">
        <v>4.540867138637611</v>
      </c>
      <c r="H1715" s="6">
        <v>7612133.44710181</v>
      </c>
      <c r="I1715" s="6">
        <v>491.15694236415715</v>
      </c>
      <c r="J1715" s="6">
        <v>3.3656668050107053</v>
      </c>
      <c r="K1715" s="6"/>
      <c r="L1715" s="6"/>
      <c r="M1715" s="6"/>
      <c r="N1715" s="6">
        <f t="shared" ref="N1715:P1715" si="1718">IF(LEN($C1715)&gt;0,H1715-E1715,"")</f>
        <v>-132863.6727</v>
      </c>
      <c r="O1715" s="6">
        <f t="shared" si="1718"/>
        <v>-4.968960655</v>
      </c>
      <c r="P1715" s="6">
        <f t="shared" si="1718"/>
        <v>-1.175200334</v>
      </c>
      <c r="Q1715" s="6"/>
      <c r="R1715" s="6"/>
      <c r="S1715" s="6"/>
      <c r="T1715" s="6"/>
      <c r="U1715" s="6"/>
      <c r="V1715" s="6"/>
      <c r="W1715" s="6"/>
      <c r="X1715" s="6"/>
      <c r="Y1715" s="6"/>
      <c r="Z1715" s="6"/>
      <c r="AA1715" s="6"/>
      <c r="AB1715" s="6"/>
      <c r="AC1715" s="6"/>
      <c r="AD1715" s="6"/>
      <c r="AE1715" s="6"/>
      <c r="AF1715" s="6"/>
      <c r="AG1715" s="6"/>
    </row>
    <row r="1716" ht="14.25" customHeight="1">
      <c r="A1716" s="6"/>
      <c r="B1716" s="6"/>
      <c r="C1716" s="6">
        <v>1709.0</v>
      </c>
      <c r="D1716" s="6"/>
      <c r="E1716" s="6">
        <v>7583050.311645263</v>
      </c>
      <c r="F1716" s="6">
        <v>482.9525591454921</v>
      </c>
      <c r="G1716" s="6">
        <v>4.743861503022176</v>
      </c>
      <c r="H1716" s="6">
        <v>7501038.328557062</v>
      </c>
      <c r="I1716" s="6">
        <v>478.8831276726531</v>
      </c>
      <c r="J1716" s="6">
        <v>3.4778665028064695</v>
      </c>
      <c r="K1716" s="6"/>
      <c r="L1716" s="6"/>
      <c r="M1716" s="6"/>
      <c r="N1716" s="6">
        <f t="shared" ref="N1716:P1716" si="1719">IF(LEN($C1716)&gt;0,H1716-E1716,"")</f>
        <v>-82011.98309</v>
      </c>
      <c r="O1716" s="6">
        <f t="shared" si="1719"/>
        <v>-4.069431473</v>
      </c>
      <c r="P1716" s="6">
        <f t="shared" si="1719"/>
        <v>-1.265995</v>
      </c>
      <c r="Q1716" s="6"/>
      <c r="R1716" s="6"/>
      <c r="S1716" s="6"/>
      <c r="T1716" s="6"/>
      <c r="U1716" s="6"/>
      <c r="V1716" s="6"/>
      <c r="W1716" s="6"/>
      <c r="X1716" s="6"/>
      <c r="Y1716" s="6"/>
      <c r="Z1716" s="6"/>
      <c r="AA1716" s="6"/>
      <c r="AB1716" s="6"/>
      <c r="AC1716" s="6"/>
      <c r="AD1716" s="6"/>
      <c r="AE1716" s="6"/>
      <c r="AF1716" s="6"/>
      <c r="AG1716" s="6"/>
    </row>
    <row r="1717" ht="14.25" customHeight="1">
      <c r="A1717" s="6"/>
      <c r="B1717" s="6"/>
      <c r="C1717" s="6">
        <v>1710.0</v>
      </c>
      <c r="D1717" s="6"/>
      <c r="E1717" s="6">
        <v>7182876.533292175</v>
      </c>
      <c r="F1717" s="6">
        <v>445.6670565014327</v>
      </c>
      <c r="G1717" s="6">
        <v>4.056964886876431</v>
      </c>
      <c r="H1717" s="6">
        <v>7090270.583345805</v>
      </c>
      <c r="I1717" s="6">
        <v>440.7223209750045</v>
      </c>
      <c r="J1717" s="6">
        <v>3.360025043476031</v>
      </c>
      <c r="K1717" s="6"/>
      <c r="L1717" s="6"/>
      <c r="M1717" s="6"/>
      <c r="N1717" s="6">
        <f t="shared" ref="N1717:P1717" si="1720">IF(LEN($C1717)&gt;0,H1717-E1717,"")</f>
        <v>-92605.94995</v>
      </c>
      <c r="O1717" s="6">
        <f t="shared" si="1720"/>
        <v>-4.944735526</v>
      </c>
      <c r="P1717" s="6">
        <f t="shared" si="1720"/>
        <v>-0.6969398434</v>
      </c>
      <c r="Q1717" s="6"/>
      <c r="R1717" s="6"/>
      <c r="S1717" s="6"/>
      <c r="T1717" s="6"/>
      <c r="U1717" s="6"/>
      <c r="V1717" s="6"/>
      <c r="W1717" s="6"/>
      <c r="X1717" s="6"/>
      <c r="Y1717" s="6"/>
      <c r="Z1717" s="6"/>
      <c r="AA1717" s="6"/>
      <c r="AB1717" s="6"/>
      <c r="AC1717" s="6"/>
      <c r="AD1717" s="6"/>
      <c r="AE1717" s="6"/>
      <c r="AF1717" s="6"/>
      <c r="AG1717" s="6"/>
    </row>
    <row r="1718" ht="14.25" customHeight="1">
      <c r="A1718" s="6"/>
      <c r="B1718" s="6"/>
      <c r="C1718" s="6">
        <v>1711.0</v>
      </c>
      <c r="D1718" s="6"/>
      <c r="E1718" s="6">
        <v>8058632.223928338</v>
      </c>
      <c r="F1718" s="6">
        <v>483.72812801526584</v>
      </c>
      <c r="G1718" s="6">
        <v>4.413018131337034</v>
      </c>
      <c r="H1718" s="6">
        <v>7974772.6137862215</v>
      </c>
      <c r="I1718" s="6">
        <v>481.25392696542536</v>
      </c>
      <c r="J1718" s="6">
        <v>3.2937345252063994</v>
      </c>
      <c r="K1718" s="6"/>
      <c r="L1718" s="6"/>
      <c r="M1718" s="6"/>
      <c r="N1718" s="6">
        <f t="shared" ref="N1718:P1718" si="1721">IF(LEN($C1718)&gt;0,H1718-E1718,"")</f>
        <v>-83859.61014</v>
      </c>
      <c r="O1718" s="6">
        <f t="shared" si="1721"/>
        <v>-2.47420105</v>
      </c>
      <c r="P1718" s="6">
        <f t="shared" si="1721"/>
        <v>-1.119283606</v>
      </c>
      <c r="Q1718" s="6"/>
      <c r="R1718" s="6"/>
      <c r="S1718" s="6"/>
      <c r="T1718" s="6"/>
      <c r="U1718" s="6"/>
      <c r="V1718" s="6"/>
      <c r="W1718" s="6"/>
      <c r="X1718" s="6"/>
      <c r="Y1718" s="6"/>
      <c r="Z1718" s="6"/>
      <c r="AA1718" s="6"/>
      <c r="AB1718" s="6"/>
      <c r="AC1718" s="6"/>
      <c r="AD1718" s="6"/>
      <c r="AE1718" s="6"/>
      <c r="AF1718" s="6"/>
      <c r="AG1718" s="6"/>
    </row>
    <row r="1719" ht="14.25" customHeight="1">
      <c r="A1719" s="6"/>
      <c r="B1719" s="6"/>
      <c r="C1719" s="6">
        <v>1712.0</v>
      </c>
      <c r="D1719" s="6"/>
      <c r="E1719" s="6">
        <v>7193866.597581608</v>
      </c>
      <c r="F1719" s="6">
        <v>440.41273067969036</v>
      </c>
      <c r="G1719" s="6">
        <v>5.050885263397689</v>
      </c>
      <c r="H1719" s="6">
        <v>7099226.3002271</v>
      </c>
      <c r="I1719" s="6">
        <v>437.65822766380467</v>
      </c>
      <c r="J1719" s="6">
        <v>3.8768241282749227</v>
      </c>
      <c r="K1719" s="6"/>
      <c r="L1719" s="6"/>
      <c r="M1719" s="6"/>
      <c r="N1719" s="6">
        <f t="shared" ref="N1719:P1719" si="1722">IF(LEN($C1719)&gt;0,H1719-E1719,"")</f>
        <v>-94640.29735</v>
      </c>
      <c r="O1719" s="6">
        <f t="shared" si="1722"/>
        <v>-2.754503016</v>
      </c>
      <c r="P1719" s="6">
        <f t="shared" si="1722"/>
        <v>-1.174061135</v>
      </c>
      <c r="Q1719" s="6"/>
      <c r="R1719" s="6"/>
      <c r="S1719" s="6"/>
      <c r="T1719" s="6"/>
      <c r="U1719" s="6"/>
      <c r="V1719" s="6"/>
      <c r="W1719" s="6"/>
      <c r="X1719" s="6"/>
      <c r="Y1719" s="6"/>
      <c r="Z1719" s="6"/>
      <c r="AA1719" s="6"/>
      <c r="AB1719" s="6"/>
      <c r="AC1719" s="6"/>
      <c r="AD1719" s="6"/>
      <c r="AE1719" s="6"/>
      <c r="AF1719" s="6"/>
      <c r="AG1719" s="6"/>
    </row>
    <row r="1720" ht="14.25" customHeight="1">
      <c r="A1720" s="6"/>
      <c r="B1720" s="6"/>
      <c r="C1720" s="6">
        <v>1713.0</v>
      </c>
      <c r="D1720" s="6"/>
      <c r="E1720" s="6">
        <v>7398171.5930666225</v>
      </c>
      <c r="F1720" s="6">
        <v>499.8512573284471</v>
      </c>
      <c r="G1720" s="6">
        <v>5.066456668363923</v>
      </c>
      <c r="H1720" s="6">
        <v>7351782.939107322</v>
      </c>
      <c r="I1720" s="6">
        <v>497.5640138610877</v>
      </c>
      <c r="J1720" s="6">
        <v>4.605217723349897</v>
      </c>
      <c r="K1720" s="6"/>
      <c r="L1720" s="6"/>
      <c r="M1720" s="6"/>
      <c r="N1720" s="6">
        <f t="shared" ref="N1720:P1720" si="1723">IF(LEN($C1720)&gt;0,H1720-E1720,"")</f>
        <v>-46388.65396</v>
      </c>
      <c r="O1720" s="6">
        <f t="shared" si="1723"/>
        <v>-2.287243467</v>
      </c>
      <c r="P1720" s="6">
        <f t="shared" si="1723"/>
        <v>-0.461238945</v>
      </c>
      <c r="Q1720" s="6"/>
      <c r="R1720" s="6"/>
      <c r="S1720" s="6"/>
      <c r="T1720" s="6"/>
      <c r="U1720" s="6"/>
      <c r="V1720" s="6"/>
      <c r="W1720" s="6"/>
      <c r="X1720" s="6"/>
      <c r="Y1720" s="6"/>
      <c r="Z1720" s="6"/>
      <c r="AA1720" s="6"/>
      <c r="AB1720" s="6"/>
      <c r="AC1720" s="6"/>
      <c r="AD1720" s="6"/>
      <c r="AE1720" s="6"/>
      <c r="AF1720" s="6"/>
      <c r="AG1720" s="6"/>
    </row>
    <row r="1721" ht="14.25" customHeight="1">
      <c r="A1721" s="6"/>
      <c r="B1721" s="6"/>
      <c r="C1721" s="6">
        <v>1714.0</v>
      </c>
      <c r="D1721" s="6"/>
      <c r="E1721" s="6">
        <v>7370345.327481644</v>
      </c>
      <c r="F1721" s="6">
        <v>468.70301509030793</v>
      </c>
      <c r="G1721" s="6">
        <v>4.988461184936066</v>
      </c>
      <c r="H1721" s="6">
        <v>7271523.498084988</v>
      </c>
      <c r="I1721" s="6">
        <v>464.93939819871815</v>
      </c>
      <c r="J1721" s="6">
        <v>3.8148765614315097</v>
      </c>
      <c r="K1721" s="6"/>
      <c r="L1721" s="6"/>
      <c r="M1721" s="6"/>
      <c r="N1721" s="6">
        <f t="shared" ref="N1721:P1721" si="1724">IF(LEN($C1721)&gt;0,H1721-E1721,"")</f>
        <v>-98821.8294</v>
      </c>
      <c r="O1721" s="6">
        <f t="shared" si="1724"/>
        <v>-3.763616892</v>
      </c>
      <c r="P1721" s="6">
        <f t="shared" si="1724"/>
        <v>-1.173584624</v>
      </c>
      <c r="Q1721" s="6"/>
      <c r="R1721" s="6"/>
      <c r="S1721" s="6"/>
      <c r="T1721" s="6"/>
      <c r="U1721" s="6"/>
      <c r="V1721" s="6"/>
      <c r="W1721" s="6"/>
      <c r="X1721" s="6"/>
      <c r="Y1721" s="6"/>
      <c r="Z1721" s="6"/>
      <c r="AA1721" s="6"/>
      <c r="AB1721" s="6"/>
      <c r="AC1721" s="6"/>
      <c r="AD1721" s="6"/>
      <c r="AE1721" s="6"/>
      <c r="AF1721" s="6"/>
      <c r="AG1721" s="6"/>
    </row>
    <row r="1722" ht="14.25" customHeight="1">
      <c r="A1722" s="6"/>
      <c r="B1722" s="6"/>
      <c r="C1722" s="6">
        <v>1715.0</v>
      </c>
      <c r="D1722" s="6"/>
      <c r="E1722" s="6">
        <v>6701243.397089537</v>
      </c>
      <c r="F1722" s="6">
        <v>493.23488579317507</v>
      </c>
      <c r="G1722" s="6">
        <v>4.5210383827875615</v>
      </c>
      <c r="H1722" s="6">
        <v>6599228.685172777</v>
      </c>
      <c r="I1722" s="6">
        <v>488.1541954457034</v>
      </c>
      <c r="J1722" s="6">
        <v>3.207489818319799</v>
      </c>
      <c r="K1722" s="6"/>
      <c r="L1722" s="6"/>
      <c r="M1722" s="6"/>
      <c r="N1722" s="6">
        <f t="shared" ref="N1722:P1722" si="1725">IF(LEN($C1722)&gt;0,H1722-E1722,"")</f>
        <v>-102014.7119</v>
      </c>
      <c r="O1722" s="6">
        <f t="shared" si="1725"/>
        <v>-5.080690347</v>
      </c>
      <c r="P1722" s="6">
        <f t="shared" si="1725"/>
        <v>-1.313548564</v>
      </c>
      <c r="Q1722" s="6"/>
      <c r="R1722" s="6"/>
      <c r="S1722" s="6"/>
      <c r="T1722" s="6"/>
      <c r="U1722" s="6"/>
      <c r="V1722" s="6"/>
      <c r="W1722" s="6"/>
      <c r="X1722" s="6"/>
      <c r="Y1722" s="6"/>
      <c r="Z1722" s="6"/>
      <c r="AA1722" s="6"/>
      <c r="AB1722" s="6"/>
      <c r="AC1722" s="6"/>
      <c r="AD1722" s="6"/>
      <c r="AE1722" s="6"/>
      <c r="AF1722" s="6"/>
      <c r="AG1722" s="6"/>
    </row>
    <row r="1723" ht="14.25" customHeight="1">
      <c r="A1723" s="6"/>
      <c r="B1723" s="6"/>
      <c r="C1723" s="6">
        <v>1716.0</v>
      </c>
      <c r="D1723" s="6"/>
      <c r="E1723" s="6">
        <v>6630775.718701091</v>
      </c>
      <c r="F1723" s="6">
        <v>484.0242144872682</v>
      </c>
      <c r="G1723" s="6">
        <v>5.126236268520695</v>
      </c>
      <c r="H1723" s="6">
        <v>6555881.155937837</v>
      </c>
      <c r="I1723" s="6">
        <v>481.1013630998542</v>
      </c>
      <c r="J1723" s="6">
        <v>4.043007516187195</v>
      </c>
      <c r="K1723" s="6"/>
      <c r="L1723" s="6"/>
      <c r="M1723" s="6"/>
      <c r="N1723" s="6">
        <f t="shared" ref="N1723:P1723" si="1726">IF(LEN($C1723)&gt;0,H1723-E1723,"")</f>
        <v>-74894.56276</v>
      </c>
      <c r="O1723" s="6">
        <f t="shared" si="1726"/>
        <v>-2.922851387</v>
      </c>
      <c r="P1723" s="6">
        <f t="shared" si="1726"/>
        <v>-1.083228752</v>
      </c>
      <c r="Q1723" s="6"/>
      <c r="R1723" s="6"/>
      <c r="S1723" s="6"/>
      <c r="T1723" s="6"/>
      <c r="U1723" s="6"/>
      <c r="V1723" s="6"/>
      <c r="W1723" s="6"/>
      <c r="X1723" s="6"/>
      <c r="Y1723" s="6"/>
      <c r="Z1723" s="6"/>
      <c r="AA1723" s="6"/>
      <c r="AB1723" s="6"/>
      <c r="AC1723" s="6"/>
      <c r="AD1723" s="6"/>
      <c r="AE1723" s="6"/>
      <c r="AF1723" s="6"/>
      <c r="AG1723" s="6"/>
    </row>
    <row r="1724" ht="14.25" customHeight="1">
      <c r="A1724" s="6"/>
      <c r="B1724" s="6"/>
      <c r="C1724" s="6">
        <v>1717.0</v>
      </c>
      <c r="D1724" s="6"/>
      <c r="E1724" s="6">
        <v>6001450.128670508</v>
      </c>
      <c r="F1724" s="6">
        <v>460.22007324550964</v>
      </c>
      <c r="G1724" s="6">
        <v>6.544878788990715</v>
      </c>
      <c r="H1724" s="6">
        <v>5849092.486828803</v>
      </c>
      <c r="I1724" s="6">
        <v>453.84897244761675</v>
      </c>
      <c r="J1724" s="6">
        <v>5.048651414178065</v>
      </c>
      <c r="K1724" s="6"/>
      <c r="L1724" s="6"/>
      <c r="M1724" s="6"/>
      <c r="N1724" s="6">
        <f t="shared" ref="N1724:P1724" si="1727">IF(LEN($C1724)&gt;0,H1724-E1724,"")</f>
        <v>-152357.6418</v>
      </c>
      <c r="O1724" s="6">
        <f t="shared" si="1727"/>
        <v>-6.371100798</v>
      </c>
      <c r="P1724" s="6">
        <f t="shared" si="1727"/>
        <v>-1.496227375</v>
      </c>
      <c r="Q1724" s="6"/>
      <c r="R1724" s="6"/>
      <c r="S1724" s="6"/>
      <c r="T1724" s="6"/>
      <c r="U1724" s="6"/>
      <c r="V1724" s="6"/>
      <c r="W1724" s="6"/>
      <c r="X1724" s="6"/>
      <c r="Y1724" s="6"/>
      <c r="Z1724" s="6"/>
      <c r="AA1724" s="6"/>
      <c r="AB1724" s="6"/>
      <c r="AC1724" s="6"/>
      <c r="AD1724" s="6"/>
      <c r="AE1724" s="6"/>
      <c r="AF1724" s="6"/>
      <c r="AG1724" s="6"/>
    </row>
    <row r="1725" ht="14.25" customHeight="1">
      <c r="A1725" s="6"/>
      <c r="B1725" s="6"/>
      <c r="C1725" s="6">
        <v>1718.0</v>
      </c>
      <c r="D1725" s="6"/>
      <c r="E1725" s="6">
        <v>9164789.493359825</v>
      </c>
      <c r="F1725" s="6">
        <v>500.1759166743657</v>
      </c>
      <c r="G1725" s="6">
        <v>4.374187114834647</v>
      </c>
      <c r="H1725" s="6">
        <v>8973748.098679952</v>
      </c>
      <c r="I1725" s="6">
        <v>491.02462375246677</v>
      </c>
      <c r="J1725" s="6">
        <v>3.2157711529802637</v>
      </c>
      <c r="K1725" s="6"/>
      <c r="L1725" s="6"/>
      <c r="M1725" s="6"/>
      <c r="N1725" s="6">
        <f t="shared" ref="N1725:P1725" si="1728">IF(LEN($C1725)&gt;0,H1725-E1725,"")</f>
        <v>-191041.3947</v>
      </c>
      <c r="O1725" s="6">
        <f t="shared" si="1728"/>
        <v>-9.151292922</v>
      </c>
      <c r="P1725" s="6">
        <f t="shared" si="1728"/>
        <v>-1.158415962</v>
      </c>
      <c r="Q1725" s="6"/>
      <c r="R1725" s="6"/>
      <c r="S1725" s="6"/>
      <c r="T1725" s="6"/>
      <c r="U1725" s="6"/>
      <c r="V1725" s="6"/>
      <c r="W1725" s="6"/>
      <c r="X1725" s="6"/>
      <c r="Y1725" s="6"/>
      <c r="Z1725" s="6"/>
      <c r="AA1725" s="6"/>
      <c r="AB1725" s="6"/>
      <c r="AC1725" s="6"/>
      <c r="AD1725" s="6"/>
      <c r="AE1725" s="6"/>
      <c r="AF1725" s="6"/>
      <c r="AG1725" s="6"/>
    </row>
    <row r="1726" ht="14.25" customHeight="1">
      <c r="A1726" s="6"/>
      <c r="B1726" s="6"/>
      <c r="C1726" s="6">
        <v>1719.0</v>
      </c>
      <c r="D1726" s="6"/>
      <c r="E1726" s="6">
        <v>7577835.505903586</v>
      </c>
      <c r="F1726" s="6">
        <v>463.11153282510577</v>
      </c>
      <c r="G1726" s="6">
        <v>4.848014254119175</v>
      </c>
      <c r="H1726" s="6">
        <v>7442793.752914342</v>
      </c>
      <c r="I1726" s="6">
        <v>455.70236426572006</v>
      </c>
      <c r="J1726" s="6">
        <v>3.678491339438073</v>
      </c>
      <c r="K1726" s="6"/>
      <c r="L1726" s="6"/>
      <c r="M1726" s="6"/>
      <c r="N1726" s="6">
        <f t="shared" ref="N1726:P1726" si="1729">IF(LEN($C1726)&gt;0,H1726-E1726,"")</f>
        <v>-135041.753</v>
      </c>
      <c r="O1726" s="6">
        <f t="shared" si="1729"/>
        <v>-7.409168559</v>
      </c>
      <c r="P1726" s="6">
        <f t="shared" si="1729"/>
        <v>-1.169522915</v>
      </c>
      <c r="Q1726" s="6"/>
      <c r="R1726" s="6"/>
      <c r="S1726" s="6"/>
      <c r="T1726" s="6"/>
      <c r="U1726" s="6"/>
      <c r="V1726" s="6"/>
      <c r="W1726" s="6"/>
      <c r="X1726" s="6"/>
      <c r="Y1726" s="6"/>
      <c r="Z1726" s="6"/>
      <c r="AA1726" s="6"/>
      <c r="AB1726" s="6"/>
      <c r="AC1726" s="6"/>
      <c r="AD1726" s="6"/>
      <c r="AE1726" s="6"/>
      <c r="AF1726" s="6"/>
      <c r="AG1726" s="6"/>
    </row>
    <row r="1727" ht="14.25" customHeight="1">
      <c r="A1727" s="6"/>
      <c r="B1727" s="6"/>
      <c r="C1727" s="6">
        <v>1720.0</v>
      </c>
      <c r="D1727" s="6"/>
      <c r="E1727" s="6">
        <v>7716982.992275785</v>
      </c>
      <c r="F1727" s="6">
        <v>473.1639280898329</v>
      </c>
      <c r="G1727" s="6">
        <v>4.848638764679943</v>
      </c>
      <c r="H1727" s="6">
        <v>7605575.907590681</v>
      </c>
      <c r="I1727" s="6">
        <v>470.6310053275913</v>
      </c>
      <c r="J1727" s="6">
        <v>3.2887776491830842</v>
      </c>
      <c r="K1727" s="6"/>
      <c r="L1727" s="6"/>
      <c r="M1727" s="6"/>
      <c r="N1727" s="6">
        <f t="shared" ref="N1727:P1727" si="1730">IF(LEN($C1727)&gt;0,H1727-E1727,"")</f>
        <v>-111407.0847</v>
      </c>
      <c r="O1727" s="6">
        <f t="shared" si="1730"/>
        <v>-2.532922762</v>
      </c>
      <c r="P1727" s="6">
        <f t="shared" si="1730"/>
        <v>-1.559861115</v>
      </c>
      <c r="Q1727" s="6"/>
      <c r="R1727" s="6"/>
      <c r="S1727" s="6"/>
      <c r="T1727" s="6"/>
      <c r="U1727" s="6"/>
      <c r="V1727" s="6"/>
      <c r="W1727" s="6"/>
      <c r="X1727" s="6"/>
      <c r="Y1727" s="6"/>
      <c r="Z1727" s="6"/>
      <c r="AA1727" s="6"/>
      <c r="AB1727" s="6"/>
      <c r="AC1727" s="6"/>
      <c r="AD1727" s="6"/>
      <c r="AE1727" s="6"/>
      <c r="AF1727" s="6"/>
      <c r="AG1727" s="6"/>
    </row>
    <row r="1728" ht="14.25" customHeight="1">
      <c r="A1728" s="6"/>
      <c r="B1728" s="6"/>
      <c r="C1728" s="6">
        <v>1721.0</v>
      </c>
      <c r="D1728" s="6"/>
      <c r="E1728" s="6">
        <v>6019506.3407474635</v>
      </c>
      <c r="F1728" s="6">
        <v>462.74846170008146</v>
      </c>
      <c r="G1728" s="6">
        <v>5.231596041051377</v>
      </c>
      <c r="H1728" s="6">
        <v>5903147.064474326</v>
      </c>
      <c r="I1728" s="6">
        <v>459.2487559790124</v>
      </c>
      <c r="J1728" s="6">
        <v>3.766759510763113</v>
      </c>
      <c r="K1728" s="6"/>
      <c r="L1728" s="6"/>
      <c r="M1728" s="6"/>
      <c r="N1728" s="6">
        <f t="shared" ref="N1728:P1728" si="1731">IF(LEN($C1728)&gt;0,H1728-E1728,"")</f>
        <v>-116359.2763</v>
      </c>
      <c r="O1728" s="6">
        <f t="shared" si="1731"/>
        <v>-3.499705721</v>
      </c>
      <c r="P1728" s="6">
        <f t="shared" si="1731"/>
        <v>-1.46483653</v>
      </c>
      <c r="Q1728" s="6"/>
      <c r="R1728" s="6"/>
      <c r="S1728" s="6"/>
      <c r="T1728" s="6"/>
      <c r="U1728" s="6"/>
      <c r="V1728" s="6"/>
      <c r="W1728" s="6"/>
      <c r="X1728" s="6"/>
      <c r="Y1728" s="6"/>
      <c r="Z1728" s="6"/>
      <c r="AA1728" s="6"/>
      <c r="AB1728" s="6"/>
      <c r="AC1728" s="6"/>
      <c r="AD1728" s="6"/>
      <c r="AE1728" s="6"/>
      <c r="AF1728" s="6"/>
      <c r="AG1728" s="6"/>
    </row>
    <row r="1729" ht="14.25" customHeight="1">
      <c r="A1729" s="6"/>
      <c r="B1729" s="6"/>
      <c r="C1729" s="6">
        <v>1722.0</v>
      </c>
      <c r="D1729" s="6"/>
      <c r="E1729" s="6">
        <v>7745307.778828734</v>
      </c>
      <c r="F1729" s="6">
        <v>493.4617533666579</v>
      </c>
      <c r="G1729" s="6">
        <v>5.572027118316707</v>
      </c>
      <c r="H1729" s="6">
        <v>7599850.161053809</v>
      </c>
      <c r="I1729" s="6">
        <v>487.0415528930187</v>
      </c>
      <c r="J1729" s="6">
        <v>4.4369715175759215</v>
      </c>
      <c r="K1729" s="6"/>
      <c r="L1729" s="6"/>
      <c r="M1729" s="6"/>
      <c r="N1729" s="6">
        <f t="shared" ref="N1729:P1729" si="1732">IF(LEN($C1729)&gt;0,H1729-E1729,"")</f>
        <v>-145457.6178</v>
      </c>
      <c r="O1729" s="6">
        <f t="shared" si="1732"/>
        <v>-6.420200474</v>
      </c>
      <c r="P1729" s="6">
        <f t="shared" si="1732"/>
        <v>-1.135055601</v>
      </c>
      <c r="Q1729" s="6"/>
      <c r="R1729" s="6"/>
      <c r="S1729" s="6"/>
      <c r="T1729" s="6"/>
      <c r="U1729" s="6"/>
      <c r="V1729" s="6"/>
      <c r="W1729" s="6"/>
      <c r="X1729" s="6"/>
      <c r="Y1729" s="6"/>
      <c r="Z1729" s="6"/>
      <c r="AA1729" s="6"/>
      <c r="AB1729" s="6"/>
      <c r="AC1729" s="6"/>
      <c r="AD1729" s="6"/>
      <c r="AE1729" s="6"/>
      <c r="AF1729" s="6"/>
      <c r="AG1729" s="6"/>
    </row>
    <row r="1730" ht="14.25" customHeight="1">
      <c r="A1730" s="6"/>
      <c r="B1730" s="6"/>
      <c r="C1730" s="6">
        <v>1723.0</v>
      </c>
      <c r="D1730" s="6"/>
      <c r="E1730" s="6">
        <v>6565048.658133007</v>
      </c>
      <c r="F1730" s="6">
        <v>450.42217332488394</v>
      </c>
      <c r="G1730" s="6">
        <v>5.78952264916325</v>
      </c>
      <c r="H1730" s="6">
        <v>6462171.743331171</v>
      </c>
      <c r="I1730" s="6">
        <v>447.37467417401365</v>
      </c>
      <c r="J1730" s="6">
        <v>4.272274780174418</v>
      </c>
      <c r="K1730" s="6"/>
      <c r="L1730" s="6"/>
      <c r="M1730" s="6"/>
      <c r="N1730" s="6">
        <f t="shared" ref="N1730:P1730" si="1733">IF(LEN($C1730)&gt;0,H1730-E1730,"")</f>
        <v>-102876.9148</v>
      </c>
      <c r="O1730" s="6">
        <f t="shared" si="1733"/>
        <v>-3.047499151</v>
      </c>
      <c r="P1730" s="6">
        <f t="shared" si="1733"/>
        <v>-1.517247869</v>
      </c>
      <c r="Q1730" s="6"/>
      <c r="R1730" s="6"/>
      <c r="S1730" s="6"/>
      <c r="T1730" s="6"/>
      <c r="U1730" s="6"/>
      <c r="V1730" s="6"/>
      <c r="W1730" s="6"/>
      <c r="X1730" s="6"/>
      <c r="Y1730" s="6"/>
      <c r="Z1730" s="6"/>
      <c r="AA1730" s="6"/>
      <c r="AB1730" s="6"/>
      <c r="AC1730" s="6"/>
      <c r="AD1730" s="6"/>
      <c r="AE1730" s="6"/>
      <c r="AF1730" s="6"/>
      <c r="AG1730" s="6"/>
    </row>
    <row r="1731" ht="14.25" customHeight="1">
      <c r="A1731" s="6"/>
      <c r="B1731" s="6"/>
      <c r="C1731" s="6">
        <v>1724.0</v>
      </c>
      <c r="D1731" s="6"/>
      <c r="E1731" s="6">
        <v>7244546.343767362</v>
      </c>
      <c r="F1731" s="6">
        <v>444.856743018815</v>
      </c>
      <c r="G1731" s="6">
        <v>5.710054237669349</v>
      </c>
      <c r="H1731" s="6">
        <v>7087508.635733098</v>
      </c>
      <c r="I1731" s="6">
        <v>440.26564077501973</v>
      </c>
      <c r="J1731" s="6">
        <v>4.137354025394961</v>
      </c>
      <c r="K1731" s="6"/>
      <c r="L1731" s="6"/>
      <c r="M1731" s="6"/>
      <c r="N1731" s="6">
        <f t="shared" ref="N1731:P1731" si="1734">IF(LEN($C1731)&gt;0,H1731-E1731,"")</f>
        <v>-157037.708</v>
      </c>
      <c r="O1731" s="6">
        <f t="shared" si="1734"/>
        <v>-4.591102244</v>
      </c>
      <c r="P1731" s="6">
        <f t="shared" si="1734"/>
        <v>-1.572700212</v>
      </c>
      <c r="Q1731" s="6"/>
      <c r="R1731" s="6"/>
      <c r="S1731" s="6"/>
      <c r="T1731" s="6"/>
      <c r="U1731" s="6"/>
      <c r="V1731" s="6"/>
      <c r="W1731" s="6"/>
      <c r="X1731" s="6"/>
      <c r="Y1731" s="6"/>
      <c r="Z1731" s="6"/>
      <c r="AA1731" s="6"/>
      <c r="AB1731" s="6"/>
      <c r="AC1731" s="6"/>
      <c r="AD1731" s="6"/>
      <c r="AE1731" s="6"/>
      <c r="AF1731" s="6"/>
      <c r="AG1731" s="6"/>
    </row>
    <row r="1732" ht="14.25" customHeight="1">
      <c r="A1732" s="6"/>
      <c r="B1732" s="6"/>
      <c r="C1732" s="6">
        <v>1725.0</v>
      </c>
      <c r="D1732" s="6"/>
      <c r="E1732" s="6">
        <v>6150308.329956221</v>
      </c>
      <c r="F1732" s="6">
        <v>474.10817920636765</v>
      </c>
      <c r="G1732" s="6">
        <v>6.64657598231811</v>
      </c>
      <c r="H1732" s="6">
        <v>5988416.36619598</v>
      </c>
      <c r="I1732" s="6">
        <v>466.78472744949886</v>
      </c>
      <c r="J1732" s="6">
        <v>4.6459712723375235</v>
      </c>
      <c r="K1732" s="6"/>
      <c r="L1732" s="6"/>
      <c r="M1732" s="6"/>
      <c r="N1732" s="6">
        <f t="shared" ref="N1732:P1732" si="1735">IF(LEN($C1732)&gt;0,H1732-E1732,"")</f>
        <v>-161891.9638</v>
      </c>
      <c r="O1732" s="6">
        <f t="shared" si="1735"/>
        <v>-7.323451757</v>
      </c>
      <c r="P1732" s="6">
        <f t="shared" si="1735"/>
        <v>-2.00060471</v>
      </c>
      <c r="Q1732" s="6"/>
      <c r="R1732" s="6"/>
      <c r="S1732" s="6"/>
      <c r="T1732" s="6"/>
      <c r="U1732" s="6"/>
      <c r="V1732" s="6"/>
      <c r="W1732" s="6"/>
      <c r="X1732" s="6"/>
      <c r="Y1732" s="6"/>
      <c r="Z1732" s="6"/>
      <c r="AA1732" s="6"/>
      <c r="AB1732" s="6"/>
      <c r="AC1732" s="6"/>
      <c r="AD1732" s="6"/>
      <c r="AE1732" s="6"/>
      <c r="AF1732" s="6"/>
      <c r="AG1732" s="6"/>
    </row>
    <row r="1733" ht="14.25" customHeight="1">
      <c r="A1733" s="6"/>
      <c r="B1733" s="6"/>
      <c r="C1733" s="6">
        <v>1726.0</v>
      </c>
      <c r="D1733" s="6"/>
      <c r="E1733" s="6">
        <v>8045216.2365844315</v>
      </c>
      <c r="F1733" s="6">
        <v>498.74585044228684</v>
      </c>
      <c r="G1733" s="6">
        <v>4.336489154769719</v>
      </c>
      <c r="H1733" s="6">
        <v>7878367.528107426</v>
      </c>
      <c r="I1733" s="6">
        <v>488.77893636208444</v>
      </c>
      <c r="J1733" s="6">
        <v>3.151554350035348</v>
      </c>
      <c r="K1733" s="6"/>
      <c r="L1733" s="6"/>
      <c r="M1733" s="6"/>
      <c r="N1733" s="6">
        <f t="shared" ref="N1733:P1733" si="1736">IF(LEN($C1733)&gt;0,H1733-E1733,"")</f>
        <v>-166848.7085</v>
      </c>
      <c r="O1733" s="6">
        <f t="shared" si="1736"/>
        <v>-9.96691408</v>
      </c>
      <c r="P1733" s="6">
        <f t="shared" si="1736"/>
        <v>-1.184934805</v>
      </c>
      <c r="Q1733" s="6"/>
      <c r="R1733" s="6"/>
      <c r="S1733" s="6"/>
      <c r="T1733" s="6"/>
      <c r="U1733" s="6"/>
      <c r="V1733" s="6"/>
      <c r="W1733" s="6"/>
      <c r="X1733" s="6"/>
      <c r="Y1733" s="6"/>
      <c r="Z1733" s="6"/>
      <c r="AA1733" s="6"/>
      <c r="AB1733" s="6"/>
      <c r="AC1733" s="6"/>
      <c r="AD1733" s="6"/>
      <c r="AE1733" s="6"/>
      <c r="AF1733" s="6"/>
      <c r="AG1733" s="6"/>
    </row>
    <row r="1734" ht="14.25" customHeight="1">
      <c r="A1734" s="6"/>
      <c r="B1734" s="6"/>
      <c r="C1734" s="6">
        <v>1727.0</v>
      </c>
      <c r="D1734" s="6"/>
      <c r="E1734" s="6">
        <v>6903899.307391476</v>
      </c>
      <c r="F1734" s="6">
        <v>478.74397861735787</v>
      </c>
      <c r="G1734" s="6">
        <v>5.884579434199609</v>
      </c>
      <c r="H1734" s="6">
        <v>6769322.594980554</v>
      </c>
      <c r="I1734" s="6">
        <v>475.4133069850891</v>
      </c>
      <c r="J1734" s="6">
        <v>4.052752099311366</v>
      </c>
      <c r="K1734" s="6"/>
      <c r="L1734" s="6"/>
      <c r="M1734" s="6"/>
      <c r="N1734" s="6">
        <f t="shared" ref="N1734:P1734" si="1737">IF(LEN($C1734)&gt;0,H1734-E1734,"")</f>
        <v>-134576.7124</v>
      </c>
      <c r="O1734" s="6">
        <f t="shared" si="1737"/>
        <v>-3.330671632</v>
      </c>
      <c r="P1734" s="6">
        <f t="shared" si="1737"/>
        <v>-1.831827335</v>
      </c>
      <c r="Q1734" s="6"/>
      <c r="R1734" s="6"/>
      <c r="S1734" s="6"/>
      <c r="T1734" s="6"/>
      <c r="U1734" s="6"/>
      <c r="V1734" s="6"/>
      <c r="W1734" s="6"/>
      <c r="X1734" s="6"/>
      <c r="Y1734" s="6"/>
      <c r="Z1734" s="6"/>
      <c r="AA1734" s="6"/>
      <c r="AB1734" s="6"/>
      <c r="AC1734" s="6"/>
      <c r="AD1734" s="6"/>
      <c r="AE1734" s="6"/>
      <c r="AF1734" s="6"/>
      <c r="AG1734" s="6"/>
    </row>
    <row r="1735" ht="14.25" customHeight="1">
      <c r="A1735" s="6"/>
      <c r="B1735" s="6"/>
      <c r="C1735" s="6">
        <v>1728.0</v>
      </c>
      <c r="D1735" s="6"/>
      <c r="E1735" s="6">
        <v>6186377.028971272</v>
      </c>
      <c r="F1735" s="6">
        <v>493.9424368319392</v>
      </c>
      <c r="G1735" s="6">
        <v>4.115555892905023</v>
      </c>
      <c r="H1735" s="6">
        <v>6085457.996738316</v>
      </c>
      <c r="I1735" s="6">
        <v>491.05041800864535</v>
      </c>
      <c r="J1735" s="6">
        <v>2.9410156770280858</v>
      </c>
      <c r="K1735" s="6"/>
      <c r="L1735" s="6"/>
      <c r="M1735" s="6"/>
      <c r="N1735" s="6">
        <f t="shared" ref="N1735:P1735" si="1738">IF(LEN($C1735)&gt;0,H1735-E1735,"")</f>
        <v>-100919.0322</v>
      </c>
      <c r="O1735" s="6">
        <f t="shared" si="1738"/>
        <v>-2.892018823</v>
      </c>
      <c r="P1735" s="6">
        <f t="shared" si="1738"/>
        <v>-1.174540216</v>
      </c>
      <c r="Q1735" s="6"/>
      <c r="R1735" s="6"/>
      <c r="S1735" s="6"/>
      <c r="T1735" s="6"/>
      <c r="U1735" s="6"/>
      <c r="V1735" s="6"/>
      <c r="W1735" s="6"/>
      <c r="X1735" s="6"/>
      <c r="Y1735" s="6"/>
      <c r="Z1735" s="6"/>
      <c r="AA1735" s="6"/>
      <c r="AB1735" s="6"/>
      <c r="AC1735" s="6"/>
      <c r="AD1735" s="6"/>
      <c r="AE1735" s="6"/>
      <c r="AF1735" s="6"/>
      <c r="AG1735" s="6"/>
    </row>
    <row r="1736" ht="14.25" customHeight="1">
      <c r="A1736" s="6"/>
      <c r="B1736" s="6"/>
      <c r="C1736" s="6">
        <v>1729.0</v>
      </c>
      <c r="D1736" s="6"/>
      <c r="E1736" s="6">
        <v>8805922.15721199</v>
      </c>
      <c r="F1736" s="6">
        <v>460.7261581824533</v>
      </c>
      <c r="G1736" s="6">
        <v>4.252695536099733</v>
      </c>
      <c r="H1736" s="6">
        <v>8634298.238167578</v>
      </c>
      <c r="I1736" s="6">
        <v>454.22842322946116</v>
      </c>
      <c r="J1736" s="6">
        <v>3.2839654679197263</v>
      </c>
      <c r="K1736" s="6"/>
      <c r="L1736" s="6"/>
      <c r="M1736" s="6"/>
      <c r="N1736" s="6">
        <f t="shared" ref="N1736:P1736" si="1739">IF(LEN($C1736)&gt;0,H1736-E1736,"")</f>
        <v>-171623.919</v>
      </c>
      <c r="O1736" s="6">
        <f t="shared" si="1739"/>
        <v>-6.497734953</v>
      </c>
      <c r="P1736" s="6">
        <f t="shared" si="1739"/>
        <v>-0.9687300682</v>
      </c>
      <c r="Q1736" s="6"/>
      <c r="R1736" s="6"/>
      <c r="S1736" s="6"/>
      <c r="T1736" s="6"/>
      <c r="U1736" s="6"/>
      <c r="V1736" s="6"/>
      <c r="W1736" s="6"/>
      <c r="X1736" s="6"/>
      <c r="Y1736" s="6"/>
      <c r="Z1736" s="6"/>
      <c r="AA1736" s="6"/>
      <c r="AB1736" s="6"/>
      <c r="AC1736" s="6"/>
      <c r="AD1736" s="6"/>
      <c r="AE1736" s="6"/>
      <c r="AF1736" s="6"/>
      <c r="AG1736" s="6"/>
    </row>
    <row r="1737" ht="14.25" customHeight="1">
      <c r="A1737" s="6"/>
      <c r="B1737" s="6"/>
      <c r="C1737" s="6">
        <v>1730.0</v>
      </c>
      <c r="D1737" s="6"/>
      <c r="E1737" s="6">
        <v>8894614.620250465</v>
      </c>
      <c r="F1737" s="6">
        <v>476.43043357138816</v>
      </c>
      <c r="G1737" s="6">
        <v>4.487654478069478</v>
      </c>
      <c r="H1737" s="6">
        <v>8639132.506866273</v>
      </c>
      <c r="I1737" s="6">
        <v>465.39454674058334</v>
      </c>
      <c r="J1737" s="6">
        <v>3.118418229801085</v>
      </c>
      <c r="K1737" s="6"/>
      <c r="L1737" s="6"/>
      <c r="M1737" s="6"/>
      <c r="N1737" s="6">
        <f t="shared" ref="N1737:P1737" si="1740">IF(LEN($C1737)&gt;0,H1737-E1737,"")</f>
        <v>-255482.1134</v>
      </c>
      <c r="O1737" s="6">
        <f t="shared" si="1740"/>
        <v>-11.03588683</v>
      </c>
      <c r="P1737" s="6">
        <f t="shared" si="1740"/>
        <v>-1.369236248</v>
      </c>
      <c r="Q1737" s="6"/>
      <c r="R1737" s="6"/>
      <c r="S1737" s="6"/>
      <c r="T1737" s="6"/>
      <c r="U1737" s="6"/>
      <c r="V1737" s="6"/>
      <c r="W1737" s="6"/>
      <c r="X1737" s="6"/>
      <c r="Y1737" s="6"/>
      <c r="Z1737" s="6"/>
      <c r="AA1737" s="6"/>
      <c r="AB1737" s="6"/>
      <c r="AC1737" s="6"/>
      <c r="AD1737" s="6"/>
      <c r="AE1737" s="6"/>
      <c r="AF1737" s="6"/>
      <c r="AG1737" s="6"/>
    </row>
    <row r="1738" ht="14.25" customHeight="1">
      <c r="A1738" s="6"/>
      <c r="B1738" s="6"/>
      <c r="C1738" s="6">
        <v>1731.0</v>
      </c>
      <c r="D1738" s="6"/>
      <c r="E1738" s="6">
        <v>8438687.065256145</v>
      </c>
      <c r="F1738" s="6">
        <v>498.94847281741744</v>
      </c>
      <c r="G1738" s="6">
        <v>3.788878306911383</v>
      </c>
      <c r="H1738" s="6">
        <v>8302417.012360964</v>
      </c>
      <c r="I1738" s="6">
        <v>492.03304383783836</v>
      </c>
      <c r="J1738" s="6">
        <v>2.6826015913731838</v>
      </c>
      <c r="K1738" s="6"/>
      <c r="L1738" s="6"/>
      <c r="M1738" s="6"/>
      <c r="N1738" s="6">
        <f t="shared" ref="N1738:P1738" si="1741">IF(LEN($C1738)&gt;0,H1738-E1738,"")</f>
        <v>-136270.0529</v>
      </c>
      <c r="O1738" s="6">
        <f t="shared" si="1741"/>
        <v>-6.91542898</v>
      </c>
      <c r="P1738" s="6">
        <f t="shared" si="1741"/>
        <v>-1.106276716</v>
      </c>
      <c r="Q1738" s="6"/>
      <c r="R1738" s="6"/>
      <c r="S1738" s="6"/>
      <c r="T1738" s="6"/>
      <c r="U1738" s="6"/>
      <c r="V1738" s="6"/>
      <c r="W1738" s="6"/>
      <c r="X1738" s="6"/>
      <c r="Y1738" s="6"/>
      <c r="Z1738" s="6"/>
      <c r="AA1738" s="6"/>
      <c r="AB1738" s="6"/>
      <c r="AC1738" s="6"/>
      <c r="AD1738" s="6"/>
      <c r="AE1738" s="6"/>
      <c r="AF1738" s="6"/>
      <c r="AG1738" s="6"/>
    </row>
    <row r="1739" ht="14.25" customHeight="1">
      <c r="A1739" s="6"/>
      <c r="B1739" s="6"/>
      <c r="C1739" s="6">
        <v>1732.0</v>
      </c>
      <c r="D1739" s="6"/>
      <c r="E1739" s="6">
        <v>6013303.7305002455</v>
      </c>
      <c r="F1739" s="6">
        <v>477.0390209766123</v>
      </c>
      <c r="G1739" s="6">
        <v>5.133405809138532</v>
      </c>
      <c r="H1739" s="6">
        <v>5894949.945590446</v>
      </c>
      <c r="I1739" s="6">
        <v>470.9763329177239</v>
      </c>
      <c r="J1739" s="6">
        <v>3.3649603292275323</v>
      </c>
      <c r="K1739" s="6"/>
      <c r="L1739" s="6"/>
      <c r="M1739" s="6"/>
      <c r="N1739" s="6">
        <f t="shared" ref="N1739:P1739" si="1742">IF(LEN($C1739)&gt;0,H1739-E1739,"")</f>
        <v>-118353.7849</v>
      </c>
      <c r="O1739" s="6">
        <f t="shared" si="1742"/>
        <v>-6.062688059</v>
      </c>
      <c r="P1739" s="6">
        <f t="shared" si="1742"/>
        <v>-1.76844548</v>
      </c>
      <c r="Q1739" s="6"/>
      <c r="R1739" s="6"/>
      <c r="S1739" s="6"/>
      <c r="T1739" s="6"/>
      <c r="U1739" s="6"/>
      <c r="V1739" s="6"/>
      <c r="W1739" s="6"/>
      <c r="X1739" s="6"/>
      <c r="Y1739" s="6"/>
      <c r="Z1739" s="6"/>
      <c r="AA1739" s="6"/>
      <c r="AB1739" s="6"/>
      <c r="AC1739" s="6"/>
      <c r="AD1739" s="6"/>
      <c r="AE1739" s="6"/>
      <c r="AF1739" s="6"/>
      <c r="AG1739" s="6"/>
    </row>
    <row r="1740" ht="14.25" customHeight="1">
      <c r="A1740" s="6"/>
      <c r="B1740" s="6"/>
      <c r="C1740" s="6">
        <v>1733.0</v>
      </c>
      <c r="D1740" s="6"/>
      <c r="E1740" s="6">
        <v>9407545.80230734</v>
      </c>
      <c r="F1740" s="6">
        <v>467.74542060583906</v>
      </c>
      <c r="G1740" s="6">
        <v>5.5230318707152435</v>
      </c>
      <c r="H1740" s="6">
        <v>9299547.659092035</v>
      </c>
      <c r="I1740" s="6">
        <v>463.1216424236477</v>
      </c>
      <c r="J1740" s="6">
        <v>3.9798449141845937</v>
      </c>
      <c r="K1740" s="6"/>
      <c r="L1740" s="6"/>
      <c r="M1740" s="6"/>
      <c r="N1740" s="6">
        <f t="shared" ref="N1740:P1740" si="1743">IF(LEN($C1740)&gt;0,H1740-E1740,"")</f>
        <v>-107998.1432</v>
      </c>
      <c r="O1740" s="6">
        <f t="shared" si="1743"/>
        <v>-4.623778182</v>
      </c>
      <c r="P1740" s="6">
        <f t="shared" si="1743"/>
        <v>-1.543186957</v>
      </c>
      <c r="Q1740" s="6"/>
      <c r="R1740" s="6"/>
      <c r="S1740" s="6"/>
      <c r="T1740" s="6"/>
      <c r="U1740" s="6"/>
      <c r="V1740" s="6"/>
      <c r="W1740" s="6"/>
      <c r="X1740" s="6"/>
      <c r="Y1740" s="6"/>
      <c r="Z1740" s="6"/>
      <c r="AA1740" s="6"/>
      <c r="AB1740" s="6"/>
      <c r="AC1740" s="6"/>
      <c r="AD1740" s="6"/>
      <c r="AE1740" s="6"/>
      <c r="AF1740" s="6"/>
      <c r="AG1740" s="6"/>
    </row>
    <row r="1741" ht="14.25" customHeight="1">
      <c r="A1741" s="6"/>
      <c r="B1741" s="6"/>
      <c r="C1741" s="6">
        <v>1734.0</v>
      </c>
      <c r="D1741" s="6"/>
      <c r="E1741" s="6">
        <v>7159066.826201074</v>
      </c>
      <c r="F1741" s="6">
        <v>475.0445124953359</v>
      </c>
      <c r="G1741" s="6">
        <v>5.700810731752886</v>
      </c>
      <c r="H1741" s="6">
        <v>7068054.394181955</v>
      </c>
      <c r="I1741" s="6">
        <v>471.71256548805536</v>
      </c>
      <c r="J1741" s="6">
        <v>4.196698352525336</v>
      </c>
      <c r="K1741" s="6"/>
      <c r="L1741" s="6"/>
      <c r="M1741" s="6"/>
      <c r="N1741" s="6">
        <f t="shared" ref="N1741:P1741" si="1744">IF(LEN($C1741)&gt;0,H1741-E1741,"")</f>
        <v>-91012.43202</v>
      </c>
      <c r="O1741" s="6">
        <f t="shared" si="1744"/>
        <v>-3.331947007</v>
      </c>
      <c r="P1741" s="6">
        <f t="shared" si="1744"/>
        <v>-1.504112379</v>
      </c>
      <c r="Q1741" s="6"/>
      <c r="R1741" s="6"/>
      <c r="S1741" s="6"/>
      <c r="T1741" s="6"/>
      <c r="U1741" s="6"/>
      <c r="V1741" s="6"/>
      <c r="W1741" s="6"/>
      <c r="X1741" s="6"/>
      <c r="Y1741" s="6"/>
      <c r="Z1741" s="6"/>
      <c r="AA1741" s="6"/>
      <c r="AB1741" s="6"/>
      <c r="AC1741" s="6"/>
      <c r="AD1741" s="6"/>
      <c r="AE1741" s="6"/>
      <c r="AF1741" s="6"/>
      <c r="AG1741" s="6"/>
    </row>
    <row r="1742" ht="14.25" customHeight="1">
      <c r="A1742" s="6"/>
      <c r="B1742" s="6"/>
      <c r="C1742" s="6">
        <v>1735.0</v>
      </c>
      <c r="D1742" s="6"/>
      <c r="E1742" s="6">
        <v>6381368.486314768</v>
      </c>
      <c r="F1742" s="6">
        <v>504.7133240425896</v>
      </c>
      <c r="G1742" s="6">
        <v>6.916877535843097</v>
      </c>
      <c r="H1742" s="6">
        <v>6188982.442566058</v>
      </c>
      <c r="I1742" s="6">
        <v>497.4305064646078</v>
      </c>
      <c r="J1742" s="6">
        <v>5.169192744859064</v>
      </c>
      <c r="K1742" s="6"/>
      <c r="L1742" s="6"/>
      <c r="M1742" s="6"/>
      <c r="N1742" s="6">
        <f t="shared" ref="N1742:P1742" si="1745">IF(LEN($C1742)&gt;0,H1742-E1742,"")</f>
        <v>-192386.0437</v>
      </c>
      <c r="O1742" s="6">
        <f t="shared" si="1745"/>
        <v>-7.282817578</v>
      </c>
      <c r="P1742" s="6">
        <f t="shared" si="1745"/>
        <v>-1.747684791</v>
      </c>
      <c r="Q1742" s="6"/>
      <c r="R1742" s="6"/>
      <c r="S1742" s="6"/>
      <c r="T1742" s="6"/>
      <c r="U1742" s="6"/>
      <c r="V1742" s="6"/>
      <c r="W1742" s="6"/>
      <c r="X1742" s="6"/>
      <c r="Y1742" s="6"/>
      <c r="Z1742" s="6"/>
      <c r="AA1742" s="6"/>
      <c r="AB1742" s="6"/>
      <c r="AC1742" s="6"/>
      <c r="AD1742" s="6"/>
      <c r="AE1742" s="6"/>
      <c r="AF1742" s="6"/>
      <c r="AG1742" s="6"/>
    </row>
    <row r="1743" ht="14.25" customHeight="1">
      <c r="A1743" s="6"/>
      <c r="B1743" s="6"/>
      <c r="C1743" s="6">
        <v>1736.0</v>
      </c>
      <c r="D1743" s="6"/>
      <c r="E1743" s="6">
        <v>6388392.747304675</v>
      </c>
      <c r="F1743" s="6">
        <v>456.9683085715978</v>
      </c>
      <c r="G1743" s="6">
        <v>4.847006676304043</v>
      </c>
      <c r="H1743" s="6">
        <v>6329845.606341551</v>
      </c>
      <c r="I1743" s="6">
        <v>454.5585477761075</v>
      </c>
      <c r="J1743" s="6">
        <v>4.119522467985621</v>
      </c>
      <c r="K1743" s="6"/>
      <c r="L1743" s="6"/>
      <c r="M1743" s="6"/>
      <c r="N1743" s="6">
        <f t="shared" ref="N1743:P1743" si="1746">IF(LEN($C1743)&gt;0,H1743-E1743,"")</f>
        <v>-58547.14096</v>
      </c>
      <c r="O1743" s="6">
        <f t="shared" si="1746"/>
        <v>-2.409760795</v>
      </c>
      <c r="P1743" s="6">
        <f t="shared" si="1746"/>
        <v>-0.7274842083</v>
      </c>
      <c r="Q1743" s="6"/>
      <c r="R1743" s="6"/>
      <c r="S1743" s="6"/>
      <c r="T1743" s="6"/>
      <c r="U1743" s="6"/>
      <c r="V1743" s="6"/>
      <c r="W1743" s="6"/>
      <c r="X1743" s="6"/>
      <c r="Y1743" s="6"/>
      <c r="Z1743" s="6"/>
      <c r="AA1743" s="6"/>
      <c r="AB1743" s="6"/>
      <c r="AC1743" s="6"/>
      <c r="AD1743" s="6"/>
      <c r="AE1743" s="6"/>
      <c r="AF1743" s="6"/>
      <c r="AG1743" s="6"/>
    </row>
    <row r="1744" ht="14.25" customHeight="1">
      <c r="A1744" s="6"/>
      <c r="B1744" s="6"/>
      <c r="C1744" s="6">
        <v>1737.0</v>
      </c>
      <c r="D1744" s="6"/>
      <c r="E1744" s="6">
        <v>6977463.7735743495</v>
      </c>
      <c r="F1744" s="6">
        <v>440.4550128251033</v>
      </c>
      <c r="G1744" s="6">
        <v>5.00574034470546</v>
      </c>
      <c r="H1744" s="6">
        <v>6888115.301984168</v>
      </c>
      <c r="I1744" s="6">
        <v>435.3443645350384</v>
      </c>
      <c r="J1744" s="6">
        <v>3.424477018074646</v>
      </c>
      <c r="K1744" s="6"/>
      <c r="L1744" s="6"/>
      <c r="M1744" s="6"/>
      <c r="N1744" s="6">
        <f t="shared" ref="N1744:P1744" si="1747">IF(LEN($C1744)&gt;0,H1744-E1744,"")</f>
        <v>-89348.47159</v>
      </c>
      <c r="O1744" s="6">
        <f t="shared" si="1747"/>
        <v>-5.11064829</v>
      </c>
      <c r="P1744" s="6">
        <f t="shared" si="1747"/>
        <v>-1.581263327</v>
      </c>
      <c r="Q1744" s="6"/>
      <c r="R1744" s="6"/>
      <c r="S1744" s="6"/>
      <c r="T1744" s="6"/>
      <c r="U1744" s="6"/>
      <c r="V1744" s="6"/>
      <c r="W1744" s="6"/>
      <c r="X1744" s="6"/>
      <c r="Y1744" s="6"/>
      <c r="Z1744" s="6"/>
      <c r="AA1744" s="6"/>
      <c r="AB1744" s="6"/>
      <c r="AC1744" s="6"/>
      <c r="AD1744" s="6"/>
      <c r="AE1744" s="6"/>
      <c r="AF1744" s="6"/>
      <c r="AG1744" s="6"/>
    </row>
    <row r="1745" ht="14.25" customHeight="1">
      <c r="A1745" s="6"/>
      <c r="B1745" s="6"/>
      <c r="C1745" s="6">
        <v>1738.0</v>
      </c>
      <c r="D1745" s="6"/>
      <c r="E1745" s="6">
        <v>5846910.377063608</v>
      </c>
      <c r="F1745" s="6">
        <v>466.8472172634547</v>
      </c>
      <c r="G1745" s="6">
        <v>5.707464015004541</v>
      </c>
      <c r="H1745" s="6">
        <v>5765016.983486489</v>
      </c>
      <c r="I1745" s="6">
        <v>464.0962398077971</v>
      </c>
      <c r="J1745" s="6">
        <v>4.3432672685526015</v>
      </c>
      <c r="K1745" s="6"/>
      <c r="L1745" s="6"/>
      <c r="M1745" s="6"/>
      <c r="N1745" s="6">
        <f t="shared" ref="N1745:P1745" si="1748">IF(LEN($C1745)&gt;0,H1745-E1745,"")</f>
        <v>-81893.39358</v>
      </c>
      <c r="O1745" s="6">
        <f t="shared" si="1748"/>
        <v>-2.750977456</v>
      </c>
      <c r="P1745" s="6">
        <f t="shared" si="1748"/>
        <v>-1.364196746</v>
      </c>
      <c r="Q1745" s="6"/>
      <c r="R1745" s="6"/>
      <c r="S1745" s="6"/>
      <c r="T1745" s="6"/>
      <c r="U1745" s="6"/>
      <c r="V1745" s="6"/>
      <c r="W1745" s="6"/>
      <c r="X1745" s="6"/>
      <c r="Y1745" s="6"/>
      <c r="Z1745" s="6"/>
      <c r="AA1745" s="6"/>
      <c r="AB1745" s="6"/>
      <c r="AC1745" s="6"/>
      <c r="AD1745" s="6"/>
      <c r="AE1745" s="6"/>
      <c r="AF1745" s="6"/>
      <c r="AG1745" s="6"/>
    </row>
    <row r="1746" ht="14.25" customHeight="1">
      <c r="A1746" s="6"/>
      <c r="B1746" s="6"/>
      <c r="C1746" s="6">
        <v>1739.0</v>
      </c>
      <c r="D1746" s="6"/>
      <c r="E1746" s="6">
        <v>7779447.679840931</v>
      </c>
      <c r="F1746" s="6">
        <v>443.22255780602893</v>
      </c>
      <c r="G1746" s="6">
        <v>4.58729706785649</v>
      </c>
      <c r="H1746" s="6">
        <v>7698940.794981676</v>
      </c>
      <c r="I1746" s="6">
        <v>439.78402033908463</v>
      </c>
      <c r="J1746" s="6">
        <v>3.883331020553873</v>
      </c>
      <c r="K1746" s="6"/>
      <c r="L1746" s="6"/>
      <c r="M1746" s="6"/>
      <c r="N1746" s="6">
        <f t="shared" ref="N1746:P1746" si="1749">IF(LEN($C1746)&gt;0,H1746-E1746,"")</f>
        <v>-80506.88486</v>
      </c>
      <c r="O1746" s="6">
        <f t="shared" si="1749"/>
        <v>-3.438537467</v>
      </c>
      <c r="P1746" s="6">
        <f t="shared" si="1749"/>
        <v>-0.7039660473</v>
      </c>
      <c r="Q1746" s="6"/>
      <c r="R1746" s="6"/>
      <c r="S1746" s="6"/>
      <c r="T1746" s="6"/>
      <c r="U1746" s="6"/>
      <c r="V1746" s="6"/>
      <c r="W1746" s="6"/>
      <c r="X1746" s="6"/>
      <c r="Y1746" s="6"/>
      <c r="Z1746" s="6"/>
      <c r="AA1746" s="6"/>
      <c r="AB1746" s="6"/>
      <c r="AC1746" s="6"/>
      <c r="AD1746" s="6"/>
      <c r="AE1746" s="6"/>
      <c r="AF1746" s="6"/>
      <c r="AG1746" s="6"/>
    </row>
    <row r="1747" ht="14.25" customHeight="1">
      <c r="A1747" s="6"/>
      <c r="B1747" s="6"/>
      <c r="C1747" s="6">
        <v>1740.0</v>
      </c>
      <c r="D1747" s="6"/>
      <c r="E1747" s="6">
        <v>6023957.133417297</v>
      </c>
      <c r="F1747" s="6">
        <v>484.11463259460464</v>
      </c>
      <c r="G1747" s="6">
        <v>6.960434232766367</v>
      </c>
      <c r="H1747" s="6">
        <v>5877129.853426602</v>
      </c>
      <c r="I1747" s="6">
        <v>479.95055147790265</v>
      </c>
      <c r="J1747" s="6">
        <v>5.224348192867083</v>
      </c>
      <c r="K1747" s="6"/>
      <c r="L1747" s="6"/>
      <c r="M1747" s="6"/>
      <c r="N1747" s="6">
        <f t="shared" ref="N1747:P1747" si="1750">IF(LEN($C1747)&gt;0,H1747-E1747,"")</f>
        <v>-146827.28</v>
      </c>
      <c r="O1747" s="6">
        <f t="shared" si="1750"/>
        <v>-4.164081117</v>
      </c>
      <c r="P1747" s="6">
        <f t="shared" si="1750"/>
        <v>-1.73608604</v>
      </c>
      <c r="Q1747" s="6"/>
      <c r="R1747" s="6"/>
      <c r="S1747" s="6"/>
      <c r="T1747" s="6"/>
      <c r="U1747" s="6"/>
      <c r="V1747" s="6"/>
      <c r="W1747" s="6"/>
      <c r="X1747" s="6"/>
      <c r="Y1747" s="6"/>
      <c r="Z1747" s="6"/>
      <c r="AA1747" s="6"/>
      <c r="AB1747" s="6"/>
      <c r="AC1747" s="6"/>
      <c r="AD1747" s="6"/>
      <c r="AE1747" s="6"/>
      <c r="AF1747" s="6"/>
      <c r="AG1747" s="6"/>
    </row>
    <row r="1748" ht="14.25" customHeight="1">
      <c r="A1748" s="6"/>
      <c r="B1748" s="6"/>
      <c r="C1748" s="6">
        <v>1741.0</v>
      </c>
      <c r="D1748" s="6"/>
      <c r="E1748" s="6">
        <v>8077047.080018112</v>
      </c>
      <c r="F1748" s="6">
        <v>472.79967666289764</v>
      </c>
      <c r="G1748" s="6">
        <v>5.41582715415567</v>
      </c>
      <c r="H1748" s="6">
        <v>7937752.962925605</v>
      </c>
      <c r="I1748" s="6">
        <v>468.37394506835125</v>
      </c>
      <c r="J1748" s="6">
        <v>3.809268889544629</v>
      </c>
      <c r="K1748" s="6"/>
      <c r="L1748" s="6"/>
      <c r="M1748" s="6"/>
      <c r="N1748" s="6">
        <f t="shared" ref="N1748:P1748" si="1751">IF(LEN($C1748)&gt;0,H1748-E1748,"")</f>
        <v>-139294.1171</v>
      </c>
      <c r="O1748" s="6">
        <f t="shared" si="1751"/>
        <v>-4.425731595</v>
      </c>
      <c r="P1748" s="6">
        <f t="shared" si="1751"/>
        <v>-1.606558265</v>
      </c>
      <c r="Q1748" s="6"/>
      <c r="R1748" s="6"/>
      <c r="S1748" s="6"/>
      <c r="T1748" s="6"/>
      <c r="U1748" s="6"/>
      <c r="V1748" s="6"/>
      <c r="W1748" s="6"/>
      <c r="X1748" s="6"/>
      <c r="Y1748" s="6"/>
      <c r="Z1748" s="6"/>
      <c r="AA1748" s="6"/>
      <c r="AB1748" s="6"/>
      <c r="AC1748" s="6"/>
      <c r="AD1748" s="6"/>
      <c r="AE1748" s="6"/>
      <c r="AF1748" s="6"/>
      <c r="AG1748" s="6"/>
    </row>
    <row r="1749" ht="14.25" customHeight="1">
      <c r="A1749" s="6"/>
      <c r="B1749" s="6"/>
      <c r="C1749" s="6">
        <v>1742.0</v>
      </c>
      <c r="D1749" s="6"/>
      <c r="E1749" s="6">
        <v>6781370.449329768</v>
      </c>
      <c r="F1749" s="6">
        <v>451.32560846211493</v>
      </c>
      <c r="G1749" s="6">
        <v>6.350783451707718</v>
      </c>
      <c r="H1749" s="6">
        <v>6630605.852587988</v>
      </c>
      <c r="I1749" s="6">
        <v>445.09436321770636</v>
      </c>
      <c r="J1749" s="6">
        <v>4.5960638218343846</v>
      </c>
      <c r="K1749" s="6"/>
      <c r="L1749" s="6"/>
      <c r="M1749" s="6"/>
      <c r="N1749" s="6">
        <f t="shared" ref="N1749:P1749" si="1752">IF(LEN($C1749)&gt;0,H1749-E1749,"")</f>
        <v>-150764.5967</v>
      </c>
      <c r="O1749" s="6">
        <f t="shared" si="1752"/>
        <v>-6.231245244</v>
      </c>
      <c r="P1749" s="6">
        <f t="shared" si="1752"/>
        <v>-1.75471963</v>
      </c>
      <c r="Q1749" s="6"/>
      <c r="R1749" s="6"/>
      <c r="S1749" s="6"/>
      <c r="T1749" s="6"/>
      <c r="U1749" s="6"/>
      <c r="V1749" s="6"/>
      <c r="W1749" s="6"/>
      <c r="X1749" s="6"/>
      <c r="Y1749" s="6"/>
      <c r="Z1749" s="6"/>
      <c r="AA1749" s="6"/>
      <c r="AB1749" s="6"/>
      <c r="AC1749" s="6"/>
      <c r="AD1749" s="6"/>
      <c r="AE1749" s="6"/>
      <c r="AF1749" s="6"/>
      <c r="AG1749" s="6"/>
    </row>
    <row r="1750" ht="14.25" customHeight="1">
      <c r="A1750" s="6"/>
      <c r="B1750" s="6"/>
      <c r="C1750" s="6">
        <v>1743.0</v>
      </c>
      <c r="D1750" s="6"/>
      <c r="E1750" s="6">
        <v>6746614.316882375</v>
      </c>
      <c r="F1750" s="6">
        <v>473.71995270727086</v>
      </c>
      <c r="G1750" s="6">
        <v>4.8193261373175496</v>
      </c>
      <c r="H1750" s="6">
        <v>6681675.052174337</v>
      </c>
      <c r="I1750" s="6">
        <v>470.40396980894667</v>
      </c>
      <c r="J1750" s="6">
        <v>3.8591963575112054</v>
      </c>
      <c r="K1750" s="6"/>
      <c r="L1750" s="6"/>
      <c r="M1750" s="6"/>
      <c r="N1750" s="6">
        <f t="shared" ref="N1750:P1750" si="1753">IF(LEN($C1750)&gt;0,H1750-E1750,"")</f>
        <v>-64939.26471</v>
      </c>
      <c r="O1750" s="6">
        <f t="shared" si="1753"/>
        <v>-3.315982898</v>
      </c>
      <c r="P1750" s="6">
        <f t="shared" si="1753"/>
        <v>-0.9601297798</v>
      </c>
      <c r="Q1750" s="6"/>
      <c r="R1750" s="6"/>
      <c r="S1750" s="6"/>
      <c r="T1750" s="6"/>
      <c r="U1750" s="6"/>
      <c r="V1750" s="6"/>
      <c r="W1750" s="6"/>
      <c r="X1750" s="6"/>
      <c r="Y1750" s="6"/>
      <c r="Z1750" s="6"/>
      <c r="AA1750" s="6"/>
      <c r="AB1750" s="6"/>
      <c r="AC1750" s="6"/>
      <c r="AD1750" s="6"/>
      <c r="AE1750" s="6"/>
      <c r="AF1750" s="6"/>
      <c r="AG1750" s="6"/>
    </row>
    <row r="1751" ht="14.25" customHeight="1">
      <c r="A1751" s="6"/>
      <c r="B1751" s="6"/>
      <c r="C1751" s="6">
        <v>1744.0</v>
      </c>
      <c r="D1751" s="6"/>
      <c r="E1751" s="6">
        <v>7615407.925025908</v>
      </c>
      <c r="F1751" s="6">
        <v>486.27713082789467</v>
      </c>
      <c r="G1751" s="6">
        <v>6.825773608964903</v>
      </c>
      <c r="H1751" s="6">
        <v>7501868.550312507</v>
      </c>
      <c r="I1751" s="6">
        <v>482.22887881485514</v>
      </c>
      <c r="J1751" s="6">
        <v>5.309180669951205</v>
      </c>
      <c r="K1751" s="6"/>
      <c r="L1751" s="6"/>
      <c r="M1751" s="6"/>
      <c r="N1751" s="6">
        <f t="shared" ref="N1751:P1751" si="1754">IF(LEN($C1751)&gt;0,H1751-E1751,"")</f>
        <v>-113539.3747</v>
      </c>
      <c r="O1751" s="6">
        <f t="shared" si="1754"/>
        <v>-4.048252013</v>
      </c>
      <c r="P1751" s="6">
        <f t="shared" si="1754"/>
        <v>-1.516592939</v>
      </c>
      <c r="Q1751" s="6"/>
      <c r="R1751" s="6"/>
      <c r="S1751" s="6"/>
      <c r="T1751" s="6"/>
      <c r="U1751" s="6"/>
      <c r="V1751" s="6"/>
      <c r="W1751" s="6"/>
      <c r="X1751" s="6"/>
      <c r="Y1751" s="6"/>
      <c r="Z1751" s="6"/>
      <c r="AA1751" s="6"/>
      <c r="AB1751" s="6"/>
      <c r="AC1751" s="6"/>
      <c r="AD1751" s="6"/>
      <c r="AE1751" s="6"/>
      <c r="AF1751" s="6"/>
      <c r="AG1751" s="6"/>
    </row>
    <row r="1752" ht="14.25" customHeight="1">
      <c r="A1752" s="6"/>
      <c r="B1752" s="6"/>
      <c r="C1752" s="6">
        <v>1745.0</v>
      </c>
      <c r="D1752" s="6"/>
      <c r="E1752" s="6">
        <v>7562511.776594259</v>
      </c>
      <c r="F1752" s="6">
        <v>472.0712338230339</v>
      </c>
      <c r="G1752" s="6">
        <v>6.886058119485909</v>
      </c>
      <c r="H1752" s="6">
        <v>7386336.904140136</v>
      </c>
      <c r="I1752" s="6">
        <v>466.80234151392347</v>
      </c>
      <c r="J1752" s="6">
        <v>4.435580597167928</v>
      </c>
      <c r="K1752" s="6"/>
      <c r="L1752" s="6"/>
      <c r="M1752" s="6"/>
      <c r="N1752" s="6">
        <f t="shared" ref="N1752:P1752" si="1755">IF(LEN($C1752)&gt;0,H1752-E1752,"")</f>
        <v>-176174.8725</v>
      </c>
      <c r="O1752" s="6">
        <f t="shared" si="1755"/>
        <v>-5.268892309</v>
      </c>
      <c r="P1752" s="6">
        <f t="shared" si="1755"/>
        <v>-2.450477522</v>
      </c>
      <c r="Q1752" s="6"/>
      <c r="R1752" s="6"/>
      <c r="S1752" s="6"/>
      <c r="T1752" s="6"/>
      <c r="U1752" s="6"/>
      <c r="V1752" s="6"/>
      <c r="W1752" s="6"/>
      <c r="X1752" s="6"/>
      <c r="Y1752" s="6"/>
      <c r="Z1752" s="6"/>
      <c r="AA1752" s="6"/>
      <c r="AB1752" s="6"/>
      <c r="AC1752" s="6"/>
      <c r="AD1752" s="6"/>
      <c r="AE1752" s="6"/>
      <c r="AF1752" s="6"/>
      <c r="AG1752" s="6"/>
    </row>
    <row r="1753" ht="14.25" customHeight="1">
      <c r="A1753" s="6"/>
      <c r="B1753" s="6"/>
      <c r="C1753" s="6">
        <v>1746.0</v>
      </c>
      <c r="D1753" s="6"/>
      <c r="E1753" s="6">
        <v>9454006.408633564</v>
      </c>
      <c r="F1753" s="6">
        <v>476.29835810213683</v>
      </c>
      <c r="G1753" s="6">
        <v>4.850874588806353</v>
      </c>
      <c r="H1753" s="6">
        <v>9375418.199113242</v>
      </c>
      <c r="I1753" s="6">
        <v>471.9996323865188</v>
      </c>
      <c r="J1753" s="6">
        <v>3.769146756842951</v>
      </c>
      <c r="K1753" s="6"/>
      <c r="L1753" s="6"/>
      <c r="M1753" s="6"/>
      <c r="N1753" s="6">
        <f t="shared" ref="N1753:P1753" si="1756">IF(LEN($C1753)&gt;0,H1753-E1753,"")</f>
        <v>-78588.20952</v>
      </c>
      <c r="O1753" s="6">
        <f t="shared" si="1756"/>
        <v>-4.298725716</v>
      </c>
      <c r="P1753" s="6">
        <f t="shared" si="1756"/>
        <v>-1.081727832</v>
      </c>
      <c r="Q1753" s="6"/>
      <c r="R1753" s="6"/>
      <c r="S1753" s="6"/>
      <c r="T1753" s="6"/>
      <c r="U1753" s="6"/>
      <c r="V1753" s="6"/>
      <c r="W1753" s="6"/>
      <c r="X1753" s="6"/>
      <c r="Y1753" s="6"/>
      <c r="Z1753" s="6"/>
      <c r="AA1753" s="6"/>
      <c r="AB1753" s="6"/>
      <c r="AC1753" s="6"/>
      <c r="AD1753" s="6"/>
      <c r="AE1753" s="6"/>
      <c r="AF1753" s="6"/>
      <c r="AG1753" s="6"/>
    </row>
    <row r="1754" ht="14.25" customHeight="1">
      <c r="A1754" s="6"/>
      <c r="B1754" s="6"/>
      <c r="C1754" s="6">
        <v>1747.0</v>
      </c>
      <c r="D1754" s="6"/>
      <c r="E1754" s="6">
        <v>7931604.573483392</v>
      </c>
      <c r="F1754" s="6">
        <v>445.2665119120488</v>
      </c>
      <c r="G1754" s="6">
        <v>4.5355369528891885</v>
      </c>
      <c r="H1754" s="6">
        <v>7838852.735561985</v>
      </c>
      <c r="I1754" s="6">
        <v>441.0396938954673</v>
      </c>
      <c r="J1754" s="6">
        <v>3.4950018188826566</v>
      </c>
      <c r="K1754" s="6"/>
      <c r="L1754" s="6"/>
      <c r="M1754" s="6"/>
      <c r="N1754" s="6">
        <f t="shared" ref="N1754:P1754" si="1757">IF(LEN($C1754)&gt;0,H1754-E1754,"")</f>
        <v>-92751.83792</v>
      </c>
      <c r="O1754" s="6">
        <f t="shared" si="1757"/>
        <v>-4.226818017</v>
      </c>
      <c r="P1754" s="6">
        <f t="shared" si="1757"/>
        <v>-1.040535134</v>
      </c>
      <c r="Q1754" s="6"/>
      <c r="R1754" s="6"/>
      <c r="S1754" s="6"/>
      <c r="T1754" s="6"/>
      <c r="U1754" s="6"/>
      <c r="V1754" s="6"/>
      <c r="W1754" s="6"/>
      <c r="X1754" s="6"/>
      <c r="Y1754" s="6"/>
      <c r="Z1754" s="6"/>
      <c r="AA1754" s="6"/>
      <c r="AB1754" s="6"/>
      <c r="AC1754" s="6"/>
      <c r="AD1754" s="6"/>
      <c r="AE1754" s="6"/>
      <c r="AF1754" s="6"/>
      <c r="AG1754" s="6"/>
    </row>
    <row r="1755" ht="14.25" customHeight="1">
      <c r="A1755" s="6"/>
      <c r="B1755" s="6"/>
      <c r="C1755" s="6">
        <v>1748.0</v>
      </c>
      <c r="D1755" s="6"/>
      <c r="E1755" s="6">
        <v>8551410.810882814</v>
      </c>
      <c r="F1755" s="6">
        <v>480.4905919273498</v>
      </c>
      <c r="G1755" s="6">
        <v>4.236182051415801</v>
      </c>
      <c r="H1755" s="6">
        <v>8471190.429454401</v>
      </c>
      <c r="I1755" s="6">
        <v>476.4920202966421</v>
      </c>
      <c r="J1755" s="6">
        <v>3.159541893404905</v>
      </c>
      <c r="K1755" s="6"/>
      <c r="L1755" s="6"/>
      <c r="M1755" s="6"/>
      <c r="N1755" s="6">
        <f t="shared" ref="N1755:P1755" si="1758">IF(LEN($C1755)&gt;0,H1755-E1755,"")</f>
        <v>-80220.38143</v>
      </c>
      <c r="O1755" s="6">
        <f t="shared" si="1758"/>
        <v>-3.998571631</v>
      </c>
      <c r="P1755" s="6">
        <f t="shared" si="1758"/>
        <v>-1.076640158</v>
      </c>
      <c r="Q1755" s="6"/>
      <c r="R1755" s="6"/>
      <c r="S1755" s="6"/>
      <c r="T1755" s="6"/>
      <c r="U1755" s="6"/>
      <c r="V1755" s="6"/>
      <c r="W1755" s="6"/>
      <c r="X1755" s="6"/>
      <c r="Y1755" s="6"/>
      <c r="Z1755" s="6"/>
      <c r="AA1755" s="6"/>
      <c r="AB1755" s="6"/>
      <c r="AC1755" s="6"/>
      <c r="AD1755" s="6"/>
      <c r="AE1755" s="6"/>
      <c r="AF1755" s="6"/>
      <c r="AG1755" s="6"/>
    </row>
    <row r="1756" ht="14.25" customHeight="1">
      <c r="A1756" s="6"/>
      <c r="B1756" s="6"/>
      <c r="C1756" s="6">
        <v>1749.0</v>
      </c>
      <c r="D1756" s="6"/>
      <c r="E1756" s="6">
        <v>9670448.154378168</v>
      </c>
      <c r="F1756" s="6">
        <v>490.9545204209956</v>
      </c>
      <c r="G1756" s="6">
        <v>4.512362331521871</v>
      </c>
      <c r="H1756" s="6">
        <v>9567952.159010645</v>
      </c>
      <c r="I1756" s="6">
        <v>485.8153326438381</v>
      </c>
      <c r="J1756" s="6">
        <v>3.0885497369132464</v>
      </c>
      <c r="K1756" s="6"/>
      <c r="L1756" s="6"/>
      <c r="M1756" s="6"/>
      <c r="N1756" s="6">
        <f t="shared" ref="N1756:P1756" si="1759">IF(LEN($C1756)&gt;0,H1756-E1756,"")</f>
        <v>-102495.9954</v>
      </c>
      <c r="O1756" s="6">
        <f t="shared" si="1759"/>
        <v>-5.139187777</v>
      </c>
      <c r="P1756" s="6">
        <f t="shared" si="1759"/>
        <v>-1.423812595</v>
      </c>
      <c r="Q1756" s="6"/>
      <c r="R1756" s="6"/>
      <c r="S1756" s="6"/>
      <c r="T1756" s="6"/>
      <c r="U1756" s="6"/>
      <c r="V1756" s="6"/>
      <c r="W1756" s="6"/>
      <c r="X1756" s="6"/>
      <c r="Y1756" s="6"/>
      <c r="Z1756" s="6"/>
      <c r="AA1756" s="6"/>
      <c r="AB1756" s="6"/>
      <c r="AC1756" s="6"/>
      <c r="AD1756" s="6"/>
      <c r="AE1756" s="6"/>
      <c r="AF1756" s="6"/>
      <c r="AG1756" s="6"/>
    </row>
    <row r="1757" ht="14.25" customHeight="1">
      <c r="A1757" s="6"/>
      <c r="B1757" s="6"/>
      <c r="C1757" s="6">
        <v>1750.0</v>
      </c>
      <c r="D1757" s="6"/>
      <c r="E1757" s="6">
        <v>6870314.092347094</v>
      </c>
      <c r="F1757" s="6">
        <v>501.45292090217526</v>
      </c>
      <c r="G1757" s="6">
        <v>4.1591257484843664</v>
      </c>
      <c r="H1757" s="6">
        <v>6751847.699760785</v>
      </c>
      <c r="I1757" s="6">
        <v>496.1064440720528</v>
      </c>
      <c r="J1757" s="6">
        <v>3.356541783488451</v>
      </c>
      <c r="K1757" s="6"/>
      <c r="L1757" s="6"/>
      <c r="M1757" s="6"/>
      <c r="N1757" s="6">
        <f t="shared" ref="N1757:P1757" si="1760">IF(LEN($C1757)&gt;0,H1757-E1757,"")</f>
        <v>-118466.3926</v>
      </c>
      <c r="O1757" s="6">
        <f t="shared" si="1760"/>
        <v>-5.34647683</v>
      </c>
      <c r="P1757" s="6">
        <f t="shared" si="1760"/>
        <v>-0.802583965</v>
      </c>
      <c r="Q1757" s="6"/>
      <c r="R1757" s="6"/>
      <c r="S1757" s="6"/>
      <c r="T1757" s="6"/>
      <c r="U1757" s="6"/>
      <c r="V1757" s="6"/>
      <c r="W1757" s="6"/>
      <c r="X1757" s="6"/>
      <c r="Y1757" s="6"/>
      <c r="Z1757" s="6"/>
      <c r="AA1757" s="6"/>
      <c r="AB1757" s="6"/>
      <c r="AC1757" s="6"/>
      <c r="AD1757" s="6"/>
      <c r="AE1757" s="6"/>
      <c r="AF1757" s="6"/>
      <c r="AG1757" s="6"/>
    </row>
    <row r="1758" ht="14.25" customHeight="1">
      <c r="A1758" s="6"/>
      <c r="B1758" s="6"/>
      <c r="C1758" s="6">
        <v>1751.0</v>
      </c>
      <c r="D1758" s="6"/>
      <c r="E1758" s="6">
        <v>6536666.211801353</v>
      </c>
      <c r="F1758" s="6">
        <v>484.60561104644944</v>
      </c>
      <c r="G1758" s="6">
        <v>5.672287835160396</v>
      </c>
      <c r="H1758" s="6">
        <v>6421510.911124797</v>
      </c>
      <c r="I1758" s="6">
        <v>480.68546726230073</v>
      </c>
      <c r="J1758" s="6">
        <v>4.020274946875128</v>
      </c>
      <c r="K1758" s="6"/>
      <c r="L1758" s="6"/>
      <c r="M1758" s="6"/>
      <c r="N1758" s="6">
        <f t="shared" ref="N1758:P1758" si="1761">IF(LEN($C1758)&gt;0,H1758-E1758,"")</f>
        <v>-115155.3007</v>
      </c>
      <c r="O1758" s="6">
        <f t="shared" si="1761"/>
        <v>-3.920143784</v>
      </c>
      <c r="P1758" s="6">
        <f t="shared" si="1761"/>
        <v>-1.652012888</v>
      </c>
      <c r="Q1758" s="6"/>
      <c r="R1758" s="6"/>
      <c r="S1758" s="6"/>
      <c r="T1758" s="6"/>
      <c r="U1758" s="6"/>
      <c r="V1758" s="6"/>
      <c r="W1758" s="6"/>
      <c r="X1758" s="6"/>
      <c r="Y1758" s="6"/>
      <c r="Z1758" s="6"/>
      <c r="AA1758" s="6"/>
      <c r="AB1758" s="6"/>
      <c r="AC1758" s="6"/>
      <c r="AD1758" s="6"/>
      <c r="AE1758" s="6"/>
      <c r="AF1758" s="6"/>
      <c r="AG1758" s="6"/>
    </row>
    <row r="1759" ht="14.25" customHeight="1">
      <c r="A1759" s="6"/>
      <c r="B1759" s="6"/>
      <c r="C1759" s="6">
        <v>1752.0</v>
      </c>
      <c r="D1759" s="6"/>
      <c r="E1759" s="6">
        <v>6774360.735706291</v>
      </c>
      <c r="F1759" s="6">
        <v>469.63247547530835</v>
      </c>
      <c r="G1759" s="6">
        <v>4.794696147059681</v>
      </c>
      <c r="H1759" s="6">
        <v>6660766.219958107</v>
      </c>
      <c r="I1759" s="6">
        <v>465.44807916759447</v>
      </c>
      <c r="J1759" s="6">
        <v>3.431427197397716</v>
      </c>
      <c r="K1759" s="6"/>
      <c r="L1759" s="6"/>
      <c r="M1759" s="6"/>
      <c r="N1759" s="6">
        <f t="shared" ref="N1759:P1759" si="1762">IF(LEN($C1759)&gt;0,H1759-E1759,"")</f>
        <v>-113594.5157</v>
      </c>
      <c r="O1759" s="6">
        <f t="shared" si="1762"/>
        <v>-4.184396308</v>
      </c>
      <c r="P1759" s="6">
        <f t="shared" si="1762"/>
        <v>-1.36326895</v>
      </c>
      <c r="Q1759" s="6"/>
      <c r="R1759" s="6"/>
      <c r="S1759" s="6"/>
      <c r="T1759" s="6"/>
      <c r="U1759" s="6"/>
      <c r="V1759" s="6"/>
      <c r="W1759" s="6"/>
      <c r="X1759" s="6"/>
      <c r="Y1759" s="6"/>
      <c r="Z1759" s="6"/>
      <c r="AA1759" s="6"/>
      <c r="AB1759" s="6"/>
      <c r="AC1759" s="6"/>
      <c r="AD1759" s="6"/>
      <c r="AE1759" s="6"/>
      <c r="AF1759" s="6"/>
      <c r="AG1759" s="6"/>
    </row>
    <row r="1760" ht="14.25" customHeight="1">
      <c r="A1760" s="6"/>
      <c r="B1760" s="6"/>
      <c r="C1760" s="6">
        <v>1753.0</v>
      </c>
      <c r="D1760" s="6"/>
      <c r="E1760" s="6">
        <v>7663288.563996596</v>
      </c>
      <c r="F1760" s="6">
        <v>486.18264525156184</v>
      </c>
      <c r="G1760" s="6">
        <v>4.194916408877422</v>
      </c>
      <c r="H1760" s="6">
        <v>7576605.783010105</v>
      </c>
      <c r="I1760" s="6">
        <v>482.5433326323487</v>
      </c>
      <c r="J1760" s="6">
        <v>3.139126026944335</v>
      </c>
      <c r="K1760" s="6"/>
      <c r="L1760" s="6"/>
      <c r="M1760" s="6"/>
      <c r="N1760" s="6">
        <f t="shared" ref="N1760:P1760" si="1763">IF(LEN($C1760)&gt;0,H1760-E1760,"")</f>
        <v>-86682.78099</v>
      </c>
      <c r="O1760" s="6">
        <f t="shared" si="1763"/>
        <v>-3.639312619</v>
      </c>
      <c r="P1760" s="6">
        <f t="shared" si="1763"/>
        <v>-1.055790382</v>
      </c>
      <c r="Q1760" s="6"/>
      <c r="R1760" s="6"/>
      <c r="S1760" s="6"/>
      <c r="T1760" s="6"/>
      <c r="U1760" s="6"/>
      <c r="V1760" s="6"/>
      <c r="W1760" s="6"/>
      <c r="X1760" s="6"/>
      <c r="Y1760" s="6"/>
      <c r="Z1760" s="6"/>
      <c r="AA1760" s="6"/>
      <c r="AB1760" s="6"/>
      <c r="AC1760" s="6"/>
      <c r="AD1760" s="6"/>
      <c r="AE1760" s="6"/>
      <c r="AF1760" s="6"/>
      <c r="AG1760" s="6"/>
    </row>
    <row r="1761" ht="14.25" customHeight="1">
      <c r="A1761" s="6"/>
      <c r="B1761" s="6"/>
      <c r="C1761" s="6">
        <v>1754.0</v>
      </c>
      <c r="D1761" s="6"/>
      <c r="E1761" s="6">
        <v>9049402.093992112</v>
      </c>
      <c r="F1761" s="6">
        <v>458.5438873650091</v>
      </c>
      <c r="G1761" s="6">
        <v>4.290659257828555</v>
      </c>
      <c r="H1761" s="6">
        <v>8939450.452051938</v>
      </c>
      <c r="I1761" s="6">
        <v>455.42662821296256</v>
      </c>
      <c r="J1761" s="6">
        <v>2.98564920424985</v>
      </c>
      <c r="K1761" s="6"/>
      <c r="L1761" s="6"/>
      <c r="M1761" s="6"/>
      <c r="N1761" s="6">
        <f t="shared" ref="N1761:P1761" si="1764">IF(LEN($C1761)&gt;0,H1761-E1761,"")</f>
        <v>-109951.6419</v>
      </c>
      <c r="O1761" s="6">
        <f t="shared" si="1764"/>
        <v>-3.117259152</v>
      </c>
      <c r="P1761" s="6">
        <f t="shared" si="1764"/>
        <v>-1.305010054</v>
      </c>
      <c r="Q1761" s="6"/>
      <c r="R1761" s="6"/>
      <c r="S1761" s="6"/>
      <c r="T1761" s="6"/>
      <c r="U1761" s="6"/>
      <c r="V1761" s="6"/>
      <c r="W1761" s="6"/>
      <c r="X1761" s="6"/>
      <c r="Y1761" s="6"/>
      <c r="Z1761" s="6"/>
      <c r="AA1761" s="6"/>
      <c r="AB1761" s="6"/>
      <c r="AC1761" s="6"/>
      <c r="AD1761" s="6"/>
      <c r="AE1761" s="6"/>
      <c r="AF1761" s="6"/>
      <c r="AG1761" s="6"/>
    </row>
    <row r="1762" ht="14.25" customHeight="1">
      <c r="A1762" s="6"/>
      <c r="B1762" s="6"/>
      <c r="C1762" s="6">
        <v>1755.0</v>
      </c>
      <c r="D1762" s="6"/>
      <c r="E1762" s="6">
        <v>7974000.9758242285</v>
      </c>
      <c r="F1762" s="6">
        <v>469.6412086271101</v>
      </c>
      <c r="G1762" s="6">
        <v>5.28372123351525</v>
      </c>
      <c r="H1762" s="6">
        <v>7883764.257627834</v>
      </c>
      <c r="I1762" s="6">
        <v>466.8214287286138</v>
      </c>
      <c r="J1762" s="6">
        <v>4.090603305999444</v>
      </c>
      <c r="K1762" s="6"/>
      <c r="L1762" s="6"/>
      <c r="M1762" s="6"/>
      <c r="N1762" s="6">
        <f t="shared" ref="N1762:P1762" si="1765">IF(LEN($C1762)&gt;0,H1762-E1762,"")</f>
        <v>-90236.7182</v>
      </c>
      <c r="O1762" s="6">
        <f t="shared" si="1765"/>
        <v>-2.819779898</v>
      </c>
      <c r="P1762" s="6">
        <f t="shared" si="1765"/>
        <v>-1.193117928</v>
      </c>
      <c r="Q1762" s="6"/>
      <c r="R1762" s="6"/>
      <c r="S1762" s="6"/>
      <c r="T1762" s="6"/>
      <c r="U1762" s="6"/>
      <c r="V1762" s="6"/>
      <c r="W1762" s="6"/>
      <c r="X1762" s="6"/>
      <c r="Y1762" s="6"/>
      <c r="Z1762" s="6"/>
      <c r="AA1762" s="6"/>
      <c r="AB1762" s="6"/>
      <c r="AC1762" s="6"/>
      <c r="AD1762" s="6"/>
      <c r="AE1762" s="6"/>
      <c r="AF1762" s="6"/>
      <c r="AG1762" s="6"/>
    </row>
    <row r="1763" ht="14.25" customHeight="1">
      <c r="A1763" s="6"/>
      <c r="B1763" s="6"/>
      <c r="C1763" s="6">
        <v>1756.0</v>
      </c>
      <c r="D1763" s="6"/>
      <c r="E1763" s="6">
        <v>5522170.872336823</v>
      </c>
      <c r="F1763" s="6">
        <v>472.57884090804697</v>
      </c>
      <c r="G1763" s="6">
        <v>5.439851417388422</v>
      </c>
      <c r="H1763" s="6">
        <v>5430560.139944369</v>
      </c>
      <c r="I1763" s="6">
        <v>469.975045910964</v>
      </c>
      <c r="J1763" s="6">
        <v>4.2463596158584735</v>
      </c>
      <c r="K1763" s="6"/>
      <c r="L1763" s="6"/>
      <c r="M1763" s="6"/>
      <c r="N1763" s="6">
        <f t="shared" ref="N1763:P1763" si="1766">IF(LEN($C1763)&gt;0,H1763-E1763,"")</f>
        <v>-91610.73239</v>
      </c>
      <c r="O1763" s="6">
        <f t="shared" si="1766"/>
        <v>-2.603794997</v>
      </c>
      <c r="P1763" s="6">
        <f t="shared" si="1766"/>
        <v>-1.193491802</v>
      </c>
      <c r="Q1763" s="6"/>
      <c r="R1763" s="6"/>
      <c r="S1763" s="6"/>
      <c r="T1763" s="6"/>
      <c r="U1763" s="6"/>
      <c r="V1763" s="6"/>
      <c r="W1763" s="6"/>
      <c r="X1763" s="6"/>
      <c r="Y1763" s="6"/>
      <c r="Z1763" s="6"/>
      <c r="AA1763" s="6"/>
      <c r="AB1763" s="6"/>
      <c r="AC1763" s="6"/>
      <c r="AD1763" s="6"/>
      <c r="AE1763" s="6"/>
      <c r="AF1763" s="6"/>
      <c r="AG1763" s="6"/>
    </row>
    <row r="1764" ht="14.25" customHeight="1">
      <c r="A1764" s="6"/>
      <c r="B1764" s="6"/>
      <c r="C1764" s="6">
        <v>1757.0</v>
      </c>
      <c r="D1764" s="6"/>
      <c r="E1764" s="6">
        <v>5017769.871089419</v>
      </c>
      <c r="F1764" s="6">
        <v>436.7276177631197</v>
      </c>
      <c r="G1764" s="6">
        <v>5.3276647196720495</v>
      </c>
      <c r="H1764" s="6">
        <v>4954343.800644061</v>
      </c>
      <c r="I1764" s="6">
        <v>433.08449102608336</v>
      </c>
      <c r="J1764" s="6">
        <v>3.779871723924286</v>
      </c>
      <c r="K1764" s="6"/>
      <c r="L1764" s="6"/>
      <c r="M1764" s="6"/>
      <c r="N1764" s="6">
        <f t="shared" ref="N1764:P1764" si="1767">IF(LEN($C1764)&gt;0,H1764-E1764,"")</f>
        <v>-63426.07045</v>
      </c>
      <c r="O1764" s="6">
        <f t="shared" si="1767"/>
        <v>-3.643126737</v>
      </c>
      <c r="P1764" s="6">
        <f t="shared" si="1767"/>
        <v>-1.547792996</v>
      </c>
      <c r="Q1764" s="6"/>
      <c r="R1764" s="6"/>
      <c r="S1764" s="6"/>
      <c r="T1764" s="6"/>
      <c r="U1764" s="6"/>
      <c r="V1764" s="6"/>
      <c r="W1764" s="6"/>
      <c r="X1764" s="6"/>
      <c r="Y1764" s="6"/>
      <c r="Z1764" s="6"/>
      <c r="AA1764" s="6"/>
      <c r="AB1764" s="6"/>
      <c r="AC1764" s="6"/>
      <c r="AD1764" s="6"/>
      <c r="AE1764" s="6"/>
      <c r="AF1764" s="6"/>
      <c r="AG1764" s="6"/>
    </row>
    <row r="1765" ht="14.25" customHeight="1">
      <c r="A1765" s="6"/>
      <c r="B1765" s="6"/>
      <c r="C1765" s="6">
        <v>1758.0</v>
      </c>
      <c r="D1765" s="6"/>
      <c r="E1765" s="6">
        <v>5671596.256231729</v>
      </c>
      <c r="F1765" s="6">
        <v>461.74869063753647</v>
      </c>
      <c r="G1765" s="6">
        <v>5.493258984864538</v>
      </c>
      <c r="H1765" s="6">
        <v>5580269.363048323</v>
      </c>
      <c r="I1765" s="6">
        <v>458.57709819314084</v>
      </c>
      <c r="J1765" s="6">
        <v>4.151564951977818</v>
      </c>
      <c r="K1765" s="6"/>
      <c r="L1765" s="6"/>
      <c r="M1765" s="6"/>
      <c r="N1765" s="6">
        <f t="shared" ref="N1765:P1765" si="1768">IF(LEN($C1765)&gt;0,H1765-E1765,"")</f>
        <v>-91326.89318</v>
      </c>
      <c r="O1765" s="6">
        <f t="shared" si="1768"/>
        <v>-3.171592444</v>
      </c>
      <c r="P1765" s="6">
        <f t="shared" si="1768"/>
        <v>-1.341694033</v>
      </c>
      <c r="Q1765" s="6"/>
      <c r="R1765" s="6"/>
      <c r="S1765" s="6"/>
      <c r="T1765" s="6"/>
      <c r="U1765" s="6"/>
      <c r="V1765" s="6"/>
      <c r="W1765" s="6"/>
      <c r="X1765" s="6"/>
      <c r="Y1765" s="6"/>
      <c r="Z1765" s="6"/>
      <c r="AA1765" s="6"/>
      <c r="AB1765" s="6"/>
      <c r="AC1765" s="6"/>
      <c r="AD1765" s="6"/>
      <c r="AE1765" s="6"/>
      <c r="AF1765" s="6"/>
      <c r="AG1765" s="6"/>
    </row>
    <row r="1766" ht="14.25" customHeight="1">
      <c r="A1766" s="6"/>
      <c r="B1766" s="6"/>
      <c r="C1766" s="6">
        <v>1759.0</v>
      </c>
      <c r="D1766" s="6"/>
      <c r="E1766" s="6">
        <v>6952877.637962661</v>
      </c>
      <c r="F1766" s="6">
        <v>437.07425965613885</v>
      </c>
      <c r="G1766" s="6">
        <v>4.192310987818637</v>
      </c>
      <c r="H1766" s="6">
        <v>6870188.412038918</v>
      </c>
      <c r="I1766" s="6">
        <v>433.4896857848106</v>
      </c>
      <c r="J1766" s="6">
        <v>2.8622588328173078</v>
      </c>
      <c r="K1766" s="6"/>
      <c r="L1766" s="6"/>
      <c r="M1766" s="6"/>
      <c r="N1766" s="6">
        <f t="shared" ref="N1766:P1766" si="1769">IF(LEN($C1766)&gt;0,H1766-E1766,"")</f>
        <v>-82689.22592</v>
      </c>
      <c r="O1766" s="6">
        <f t="shared" si="1769"/>
        <v>-3.584573871</v>
      </c>
      <c r="P1766" s="6">
        <f t="shared" si="1769"/>
        <v>-1.330052155</v>
      </c>
      <c r="Q1766" s="6"/>
      <c r="R1766" s="6"/>
      <c r="S1766" s="6"/>
      <c r="T1766" s="6"/>
      <c r="U1766" s="6"/>
      <c r="V1766" s="6"/>
      <c r="W1766" s="6"/>
      <c r="X1766" s="6"/>
      <c r="Y1766" s="6"/>
      <c r="Z1766" s="6"/>
      <c r="AA1766" s="6"/>
      <c r="AB1766" s="6"/>
      <c r="AC1766" s="6"/>
      <c r="AD1766" s="6"/>
      <c r="AE1766" s="6"/>
      <c r="AF1766" s="6"/>
      <c r="AG1766" s="6"/>
    </row>
    <row r="1767" ht="14.25" customHeight="1">
      <c r="A1767" s="6"/>
      <c r="B1767" s="6"/>
      <c r="C1767" s="6">
        <v>1760.0</v>
      </c>
      <c r="D1767" s="6"/>
      <c r="E1767" s="6">
        <v>7477157.042831132</v>
      </c>
      <c r="F1767" s="6">
        <v>477.8623981003844</v>
      </c>
      <c r="G1767" s="6">
        <v>5.048945359705441</v>
      </c>
      <c r="H1767" s="6">
        <v>7388507.15983326</v>
      </c>
      <c r="I1767" s="6">
        <v>473.2342653213248</v>
      </c>
      <c r="J1767" s="6">
        <v>3.778292248915281</v>
      </c>
      <c r="K1767" s="6"/>
      <c r="L1767" s="6"/>
      <c r="M1767" s="6"/>
      <c r="N1767" s="6">
        <f t="shared" ref="N1767:P1767" si="1770">IF(LEN($C1767)&gt;0,H1767-E1767,"")</f>
        <v>-88649.883</v>
      </c>
      <c r="O1767" s="6">
        <f t="shared" si="1770"/>
        <v>-4.628132779</v>
      </c>
      <c r="P1767" s="6">
        <f t="shared" si="1770"/>
        <v>-1.270653111</v>
      </c>
      <c r="Q1767" s="6"/>
      <c r="R1767" s="6"/>
      <c r="S1767" s="6"/>
      <c r="T1767" s="6"/>
      <c r="U1767" s="6"/>
      <c r="V1767" s="6"/>
      <c r="W1767" s="6"/>
      <c r="X1767" s="6"/>
      <c r="Y1767" s="6"/>
      <c r="Z1767" s="6"/>
      <c r="AA1767" s="6"/>
      <c r="AB1767" s="6"/>
      <c r="AC1767" s="6"/>
      <c r="AD1767" s="6"/>
      <c r="AE1767" s="6"/>
      <c r="AF1767" s="6"/>
      <c r="AG1767" s="6"/>
    </row>
    <row r="1768" ht="14.25" customHeight="1">
      <c r="A1768" s="6"/>
      <c r="B1768" s="6"/>
      <c r="C1768" s="6">
        <v>1761.0</v>
      </c>
      <c r="D1768" s="6"/>
      <c r="E1768" s="6">
        <v>7312181.263632432</v>
      </c>
      <c r="F1768" s="6">
        <v>478.7310796347037</v>
      </c>
      <c r="G1768" s="6">
        <v>4.90129694929875</v>
      </c>
      <c r="H1768" s="6">
        <v>7252187.525519319</v>
      </c>
      <c r="I1768" s="6">
        <v>476.202983945264</v>
      </c>
      <c r="J1768" s="6">
        <v>3.9804121427451253</v>
      </c>
      <c r="K1768" s="6"/>
      <c r="L1768" s="6"/>
      <c r="M1768" s="6"/>
      <c r="N1768" s="6">
        <f t="shared" ref="N1768:P1768" si="1771">IF(LEN($C1768)&gt;0,H1768-E1768,"")</f>
        <v>-59993.73811</v>
      </c>
      <c r="O1768" s="6">
        <f t="shared" si="1771"/>
        <v>-2.528095689</v>
      </c>
      <c r="P1768" s="6">
        <f t="shared" si="1771"/>
        <v>-0.9208848066</v>
      </c>
      <c r="Q1768" s="6"/>
      <c r="R1768" s="6"/>
      <c r="S1768" s="6"/>
      <c r="T1768" s="6"/>
      <c r="U1768" s="6"/>
      <c r="V1768" s="6"/>
      <c r="W1768" s="6"/>
      <c r="X1768" s="6"/>
      <c r="Y1768" s="6"/>
      <c r="Z1768" s="6"/>
      <c r="AA1768" s="6"/>
      <c r="AB1768" s="6"/>
      <c r="AC1768" s="6"/>
      <c r="AD1768" s="6"/>
      <c r="AE1768" s="6"/>
      <c r="AF1768" s="6"/>
      <c r="AG1768" s="6"/>
    </row>
    <row r="1769" ht="14.25" customHeight="1">
      <c r="A1769" s="6"/>
      <c r="B1769" s="6"/>
      <c r="C1769" s="6">
        <v>1762.0</v>
      </c>
      <c r="D1769" s="6"/>
      <c r="E1769" s="6">
        <v>7267773.715592364</v>
      </c>
      <c r="F1769" s="6">
        <v>473.03770687350084</v>
      </c>
      <c r="G1769" s="6">
        <v>4.653607473076276</v>
      </c>
      <c r="H1769" s="6">
        <v>7195558.713334713</v>
      </c>
      <c r="I1769" s="6">
        <v>470.6251532110091</v>
      </c>
      <c r="J1769" s="6">
        <v>3.8047990769434494</v>
      </c>
      <c r="K1769" s="6"/>
      <c r="L1769" s="6"/>
      <c r="M1769" s="6"/>
      <c r="N1769" s="6">
        <f t="shared" ref="N1769:P1769" si="1772">IF(LEN($C1769)&gt;0,H1769-E1769,"")</f>
        <v>-72215.00226</v>
      </c>
      <c r="O1769" s="6">
        <f t="shared" si="1772"/>
        <v>-2.412553662</v>
      </c>
      <c r="P1769" s="6">
        <f t="shared" si="1772"/>
        <v>-0.8488083961</v>
      </c>
      <c r="Q1769" s="6"/>
      <c r="R1769" s="6"/>
      <c r="S1769" s="6"/>
      <c r="T1769" s="6"/>
      <c r="U1769" s="6"/>
      <c r="V1769" s="6"/>
      <c r="W1769" s="6"/>
      <c r="X1769" s="6"/>
      <c r="Y1769" s="6"/>
      <c r="Z1769" s="6"/>
      <c r="AA1769" s="6"/>
      <c r="AB1769" s="6"/>
      <c r="AC1769" s="6"/>
      <c r="AD1769" s="6"/>
      <c r="AE1769" s="6"/>
      <c r="AF1769" s="6"/>
      <c r="AG1769" s="6"/>
    </row>
    <row r="1770" ht="14.25" customHeight="1">
      <c r="A1770" s="6"/>
      <c r="B1770" s="6"/>
      <c r="C1770" s="6">
        <v>1763.0</v>
      </c>
      <c r="D1770" s="6"/>
      <c r="E1770" s="6">
        <v>6886861.990562464</v>
      </c>
      <c r="F1770" s="6">
        <v>448.0250452301719</v>
      </c>
      <c r="G1770" s="6">
        <v>5.435409585282766</v>
      </c>
      <c r="H1770" s="6">
        <v>6753330.38410565</v>
      </c>
      <c r="I1770" s="6">
        <v>440.8283579490253</v>
      </c>
      <c r="J1770" s="6">
        <v>3.791157007025174</v>
      </c>
      <c r="K1770" s="6"/>
      <c r="L1770" s="6"/>
      <c r="M1770" s="6"/>
      <c r="N1770" s="6">
        <f t="shared" ref="N1770:P1770" si="1773">IF(LEN($C1770)&gt;0,H1770-E1770,"")</f>
        <v>-133531.6065</v>
      </c>
      <c r="O1770" s="6">
        <f t="shared" si="1773"/>
        <v>-7.196687281</v>
      </c>
      <c r="P1770" s="6">
        <f t="shared" si="1773"/>
        <v>-1.644252578</v>
      </c>
      <c r="Q1770" s="6"/>
      <c r="R1770" s="6"/>
      <c r="S1770" s="6"/>
      <c r="T1770" s="6"/>
      <c r="U1770" s="6"/>
      <c r="V1770" s="6"/>
      <c r="W1770" s="6"/>
      <c r="X1770" s="6"/>
      <c r="Y1770" s="6"/>
      <c r="Z1770" s="6"/>
      <c r="AA1770" s="6"/>
      <c r="AB1770" s="6"/>
      <c r="AC1770" s="6"/>
      <c r="AD1770" s="6"/>
      <c r="AE1770" s="6"/>
      <c r="AF1770" s="6"/>
      <c r="AG1770" s="6"/>
    </row>
    <row r="1771" ht="14.25" customHeight="1">
      <c r="A1771" s="6"/>
      <c r="B1771" s="6"/>
      <c r="C1771" s="6">
        <v>1764.0</v>
      </c>
      <c r="D1771" s="6"/>
      <c r="E1771" s="6">
        <v>6033255.569295372</v>
      </c>
      <c r="F1771" s="6">
        <v>434.90510688537256</v>
      </c>
      <c r="G1771" s="6">
        <v>4.214218737268324</v>
      </c>
      <c r="H1771" s="6">
        <v>5978388.857478103</v>
      </c>
      <c r="I1771" s="6">
        <v>432.8774784307779</v>
      </c>
      <c r="J1771" s="6">
        <v>3.4340813711309135</v>
      </c>
      <c r="K1771" s="6"/>
      <c r="L1771" s="6"/>
      <c r="M1771" s="6"/>
      <c r="N1771" s="6">
        <f t="shared" ref="N1771:P1771" si="1774">IF(LEN($C1771)&gt;0,H1771-E1771,"")</f>
        <v>-54866.71182</v>
      </c>
      <c r="O1771" s="6">
        <f t="shared" si="1774"/>
        <v>-2.027628455</v>
      </c>
      <c r="P1771" s="6">
        <f t="shared" si="1774"/>
        <v>-0.7801373661</v>
      </c>
      <c r="Q1771" s="6"/>
      <c r="R1771" s="6"/>
      <c r="S1771" s="6"/>
      <c r="T1771" s="6"/>
      <c r="U1771" s="6"/>
      <c r="V1771" s="6"/>
      <c r="W1771" s="6"/>
      <c r="X1771" s="6"/>
      <c r="Y1771" s="6"/>
      <c r="Z1771" s="6"/>
      <c r="AA1771" s="6"/>
      <c r="AB1771" s="6"/>
      <c r="AC1771" s="6"/>
      <c r="AD1771" s="6"/>
      <c r="AE1771" s="6"/>
      <c r="AF1771" s="6"/>
      <c r="AG1771" s="6"/>
    </row>
    <row r="1772" ht="14.25" customHeight="1">
      <c r="A1772" s="6"/>
      <c r="B1772" s="6"/>
      <c r="C1772" s="6">
        <v>1765.0</v>
      </c>
      <c r="D1772" s="6"/>
      <c r="E1772" s="6">
        <v>8862929.679957882</v>
      </c>
      <c r="F1772" s="6">
        <v>465.5741734530503</v>
      </c>
      <c r="G1772" s="6">
        <v>5.55766661318059</v>
      </c>
      <c r="H1772" s="6">
        <v>8786690.56420218</v>
      </c>
      <c r="I1772" s="6">
        <v>462.9416499672542</v>
      </c>
      <c r="J1772" s="6">
        <v>4.526009197300443</v>
      </c>
      <c r="K1772" s="6"/>
      <c r="L1772" s="6"/>
      <c r="M1772" s="6"/>
      <c r="N1772" s="6">
        <f t="shared" ref="N1772:P1772" si="1775">IF(LEN($C1772)&gt;0,H1772-E1772,"")</f>
        <v>-76239.11576</v>
      </c>
      <c r="O1772" s="6">
        <f t="shared" si="1775"/>
        <v>-2.632523486</v>
      </c>
      <c r="P1772" s="6">
        <f t="shared" si="1775"/>
        <v>-1.031657416</v>
      </c>
      <c r="Q1772" s="6"/>
      <c r="R1772" s="6"/>
      <c r="S1772" s="6"/>
      <c r="T1772" s="6"/>
      <c r="U1772" s="6"/>
      <c r="V1772" s="6"/>
      <c r="W1772" s="6"/>
      <c r="X1772" s="6"/>
      <c r="Y1772" s="6"/>
      <c r="Z1772" s="6"/>
      <c r="AA1772" s="6"/>
      <c r="AB1772" s="6"/>
      <c r="AC1772" s="6"/>
      <c r="AD1772" s="6"/>
      <c r="AE1772" s="6"/>
      <c r="AF1772" s="6"/>
      <c r="AG1772" s="6"/>
    </row>
    <row r="1773" ht="14.25" customHeight="1">
      <c r="A1773" s="6"/>
      <c r="B1773" s="6"/>
      <c r="C1773" s="6">
        <v>1766.0</v>
      </c>
      <c r="D1773" s="6"/>
      <c r="E1773" s="6">
        <v>5846254.378128602</v>
      </c>
      <c r="F1773" s="6">
        <v>443.8127682290293</v>
      </c>
      <c r="G1773" s="6">
        <v>5.510238864904964</v>
      </c>
      <c r="H1773" s="6">
        <v>5754747.006815083</v>
      </c>
      <c r="I1773" s="6">
        <v>440.0208595862479</v>
      </c>
      <c r="J1773" s="6">
        <v>3.9311532739400574</v>
      </c>
      <c r="K1773" s="6"/>
      <c r="L1773" s="6"/>
      <c r="M1773" s="6"/>
      <c r="N1773" s="6">
        <f t="shared" ref="N1773:P1773" si="1776">IF(LEN($C1773)&gt;0,H1773-E1773,"")</f>
        <v>-91507.37131</v>
      </c>
      <c r="O1773" s="6">
        <f t="shared" si="1776"/>
        <v>-3.791908643</v>
      </c>
      <c r="P1773" s="6">
        <f t="shared" si="1776"/>
        <v>-1.579085591</v>
      </c>
      <c r="Q1773" s="6"/>
      <c r="R1773" s="6"/>
      <c r="S1773" s="6"/>
      <c r="T1773" s="6"/>
      <c r="U1773" s="6"/>
      <c r="V1773" s="6"/>
      <c r="W1773" s="6"/>
      <c r="X1773" s="6"/>
      <c r="Y1773" s="6"/>
      <c r="Z1773" s="6"/>
      <c r="AA1773" s="6"/>
      <c r="AB1773" s="6"/>
      <c r="AC1773" s="6"/>
      <c r="AD1773" s="6"/>
      <c r="AE1773" s="6"/>
      <c r="AF1773" s="6"/>
      <c r="AG1773" s="6"/>
    </row>
    <row r="1774" ht="14.25" customHeight="1">
      <c r="A1774" s="6"/>
      <c r="B1774" s="6"/>
      <c r="C1774" s="6">
        <v>1767.0</v>
      </c>
      <c r="D1774" s="6"/>
      <c r="E1774" s="6">
        <v>7240484.234788735</v>
      </c>
      <c r="F1774" s="6">
        <v>446.51544509561</v>
      </c>
      <c r="G1774" s="6">
        <v>5.270695307361098</v>
      </c>
      <c r="H1774" s="6">
        <v>7141186.516554202</v>
      </c>
      <c r="I1774" s="6">
        <v>442.35084226435174</v>
      </c>
      <c r="J1774" s="6">
        <v>4.045113190163596</v>
      </c>
      <c r="K1774" s="6"/>
      <c r="L1774" s="6"/>
      <c r="M1774" s="6"/>
      <c r="N1774" s="6">
        <f t="shared" ref="N1774:P1774" si="1777">IF(LEN($C1774)&gt;0,H1774-E1774,"")</f>
        <v>-99297.71823</v>
      </c>
      <c r="O1774" s="6">
        <f t="shared" si="1777"/>
        <v>-4.164602831</v>
      </c>
      <c r="P1774" s="6">
        <f t="shared" si="1777"/>
        <v>-1.225582117</v>
      </c>
      <c r="Q1774" s="6"/>
      <c r="R1774" s="6"/>
      <c r="S1774" s="6"/>
      <c r="T1774" s="6"/>
      <c r="U1774" s="6"/>
      <c r="V1774" s="6"/>
      <c r="W1774" s="6"/>
      <c r="X1774" s="6"/>
      <c r="Y1774" s="6"/>
      <c r="Z1774" s="6"/>
      <c r="AA1774" s="6"/>
      <c r="AB1774" s="6"/>
      <c r="AC1774" s="6"/>
      <c r="AD1774" s="6"/>
      <c r="AE1774" s="6"/>
      <c r="AF1774" s="6"/>
      <c r="AG1774" s="6"/>
    </row>
    <row r="1775" ht="14.25" customHeight="1">
      <c r="A1775" s="6"/>
      <c r="B1775" s="6"/>
      <c r="C1775" s="6">
        <v>1768.0</v>
      </c>
      <c r="D1775" s="6"/>
      <c r="E1775" s="6">
        <v>4619019.306470623</v>
      </c>
      <c r="F1775" s="6">
        <v>442.29279525046616</v>
      </c>
      <c r="G1775" s="6">
        <v>5.598017182491886</v>
      </c>
      <c r="H1775" s="6">
        <v>4506847.627016188</v>
      </c>
      <c r="I1775" s="6">
        <v>437.5027537319514</v>
      </c>
      <c r="J1775" s="6">
        <v>3.6200918186408915</v>
      </c>
      <c r="K1775" s="6"/>
      <c r="L1775" s="6"/>
      <c r="M1775" s="6"/>
      <c r="N1775" s="6">
        <f t="shared" ref="N1775:P1775" si="1778">IF(LEN($C1775)&gt;0,H1775-E1775,"")</f>
        <v>-112171.6795</v>
      </c>
      <c r="O1775" s="6">
        <f t="shared" si="1778"/>
        <v>-4.790041519</v>
      </c>
      <c r="P1775" s="6">
        <f t="shared" si="1778"/>
        <v>-1.977925364</v>
      </c>
      <c r="Q1775" s="6"/>
      <c r="R1775" s="6"/>
      <c r="S1775" s="6"/>
      <c r="T1775" s="6"/>
      <c r="U1775" s="6"/>
      <c r="V1775" s="6"/>
      <c r="W1775" s="6"/>
      <c r="X1775" s="6"/>
      <c r="Y1775" s="6"/>
      <c r="Z1775" s="6"/>
      <c r="AA1775" s="6"/>
      <c r="AB1775" s="6"/>
      <c r="AC1775" s="6"/>
      <c r="AD1775" s="6"/>
      <c r="AE1775" s="6"/>
      <c r="AF1775" s="6"/>
      <c r="AG1775" s="6"/>
    </row>
    <row r="1776" ht="14.25" customHeight="1">
      <c r="A1776" s="6"/>
      <c r="B1776" s="6"/>
      <c r="C1776" s="6">
        <v>1769.0</v>
      </c>
      <c r="D1776" s="6"/>
      <c r="E1776" s="6">
        <v>7210622.128411017</v>
      </c>
      <c r="F1776" s="6">
        <v>465.7442915781597</v>
      </c>
      <c r="G1776" s="6">
        <v>4.768178726245145</v>
      </c>
      <c r="H1776" s="6">
        <v>7012430.883518021</v>
      </c>
      <c r="I1776" s="6">
        <v>456.791357287655</v>
      </c>
      <c r="J1776" s="6">
        <v>3.3269998115536343</v>
      </c>
      <c r="K1776" s="6"/>
      <c r="L1776" s="6"/>
      <c r="M1776" s="6"/>
      <c r="N1776" s="6">
        <f t="shared" ref="N1776:P1776" si="1779">IF(LEN($C1776)&gt;0,H1776-E1776,"")</f>
        <v>-198191.2449</v>
      </c>
      <c r="O1776" s="6">
        <f t="shared" si="1779"/>
        <v>-8.952934291</v>
      </c>
      <c r="P1776" s="6">
        <f t="shared" si="1779"/>
        <v>-1.441178915</v>
      </c>
      <c r="Q1776" s="6"/>
      <c r="R1776" s="6"/>
      <c r="S1776" s="6"/>
      <c r="T1776" s="6"/>
      <c r="U1776" s="6"/>
      <c r="V1776" s="6"/>
      <c r="W1776" s="6"/>
      <c r="X1776" s="6"/>
      <c r="Y1776" s="6"/>
      <c r="Z1776" s="6"/>
      <c r="AA1776" s="6"/>
      <c r="AB1776" s="6"/>
      <c r="AC1776" s="6"/>
      <c r="AD1776" s="6"/>
      <c r="AE1776" s="6"/>
      <c r="AF1776" s="6"/>
      <c r="AG1776" s="6"/>
    </row>
    <row r="1777" ht="14.25" customHeight="1">
      <c r="A1777" s="6"/>
      <c r="B1777" s="6"/>
      <c r="C1777" s="6">
        <v>1770.0</v>
      </c>
      <c r="D1777" s="6"/>
      <c r="E1777" s="6">
        <v>5873169.3336556945</v>
      </c>
      <c r="F1777" s="6">
        <v>466.6692830179853</v>
      </c>
      <c r="G1777" s="6">
        <v>4.699494320079438</v>
      </c>
      <c r="H1777" s="6">
        <v>5733297.849055859</v>
      </c>
      <c r="I1777" s="6">
        <v>461.42753522723325</v>
      </c>
      <c r="J1777" s="6">
        <v>3.4060986959942134</v>
      </c>
      <c r="K1777" s="6"/>
      <c r="L1777" s="6"/>
      <c r="M1777" s="6"/>
      <c r="N1777" s="6">
        <f t="shared" ref="N1777:P1777" si="1780">IF(LEN($C1777)&gt;0,H1777-E1777,"")</f>
        <v>-139871.4846</v>
      </c>
      <c r="O1777" s="6">
        <f t="shared" si="1780"/>
        <v>-5.241747791</v>
      </c>
      <c r="P1777" s="6">
        <f t="shared" si="1780"/>
        <v>-1.293395624</v>
      </c>
      <c r="Q1777" s="6"/>
      <c r="R1777" s="6"/>
      <c r="S1777" s="6"/>
      <c r="T1777" s="6"/>
      <c r="U1777" s="6"/>
      <c r="V1777" s="6"/>
      <c r="W1777" s="6"/>
      <c r="X1777" s="6"/>
      <c r="Y1777" s="6"/>
      <c r="Z1777" s="6"/>
      <c r="AA1777" s="6"/>
      <c r="AB1777" s="6"/>
      <c r="AC1777" s="6"/>
      <c r="AD1777" s="6"/>
      <c r="AE1777" s="6"/>
      <c r="AF1777" s="6"/>
      <c r="AG1777" s="6"/>
    </row>
    <row r="1778" ht="14.25" customHeight="1">
      <c r="A1778" s="6"/>
      <c r="B1778" s="6"/>
      <c r="C1778" s="6">
        <v>1771.0</v>
      </c>
      <c r="D1778" s="6"/>
      <c r="E1778" s="6">
        <v>8199176.232695683</v>
      </c>
      <c r="F1778" s="6">
        <v>471.1619589008816</v>
      </c>
      <c r="G1778" s="6">
        <v>4.757171243149891</v>
      </c>
      <c r="H1778" s="6">
        <v>8069752.390721351</v>
      </c>
      <c r="I1778" s="6">
        <v>466.333114119738</v>
      </c>
      <c r="J1778" s="6">
        <v>3.517219602194897</v>
      </c>
      <c r="K1778" s="6"/>
      <c r="L1778" s="6"/>
      <c r="M1778" s="6"/>
      <c r="N1778" s="6">
        <f t="shared" ref="N1778:P1778" si="1781">IF(LEN($C1778)&gt;0,H1778-E1778,"")</f>
        <v>-129423.842</v>
      </c>
      <c r="O1778" s="6">
        <f t="shared" si="1781"/>
        <v>-4.828844781</v>
      </c>
      <c r="P1778" s="6">
        <f t="shared" si="1781"/>
        <v>-1.239951641</v>
      </c>
      <c r="Q1778" s="6"/>
      <c r="R1778" s="6"/>
      <c r="S1778" s="6"/>
      <c r="T1778" s="6"/>
      <c r="U1778" s="6"/>
      <c r="V1778" s="6"/>
      <c r="W1778" s="6"/>
      <c r="X1778" s="6"/>
      <c r="Y1778" s="6"/>
      <c r="Z1778" s="6"/>
      <c r="AA1778" s="6"/>
      <c r="AB1778" s="6"/>
      <c r="AC1778" s="6"/>
      <c r="AD1778" s="6"/>
      <c r="AE1778" s="6"/>
      <c r="AF1778" s="6"/>
      <c r="AG1778" s="6"/>
    </row>
    <row r="1779" ht="14.25" customHeight="1">
      <c r="A1779" s="6"/>
      <c r="B1779" s="6"/>
      <c r="C1779" s="6">
        <v>1772.0</v>
      </c>
      <c r="D1779" s="6"/>
      <c r="E1779" s="6">
        <v>6373580.101569792</v>
      </c>
      <c r="F1779" s="6">
        <v>461.498956717492</v>
      </c>
      <c r="G1779" s="6">
        <v>5.9479988426523835</v>
      </c>
      <c r="H1779" s="6">
        <v>6259039.474293354</v>
      </c>
      <c r="I1779" s="6">
        <v>455.11152319880506</v>
      </c>
      <c r="J1779" s="6">
        <v>4.590138232944172</v>
      </c>
      <c r="K1779" s="6"/>
      <c r="L1779" s="6"/>
      <c r="M1779" s="6"/>
      <c r="N1779" s="6">
        <f t="shared" ref="N1779:P1779" si="1782">IF(LEN($C1779)&gt;0,H1779-E1779,"")</f>
        <v>-114540.6273</v>
      </c>
      <c r="O1779" s="6">
        <f t="shared" si="1782"/>
        <v>-6.387433519</v>
      </c>
      <c r="P1779" s="6">
        <f t="shared" si="1782"/>
        <v>-1.35786061</v>
      </c>
      <c r="Q1779" s="6"/>
      <c r="R1779" s="6"/>
      <c r="S1779" s="6"/>
      <c r="T1779" s="6"/>
      <c r="U1779" s="6"/>
      <c r="V1779" s="6"/>
      <c r="W1779" s="6"/>
      <c r="X1779" s="6"/>
      <c r="Y1779" s="6"/>
      <c r="Z1779" s="6"/>
      <c r="AA1779" s="6"/>
      <c r="AB1779" s="6"/>
      <c r="AC1779" s="6"/>
      <c r="AD1779" s="6"/>
      <c r="AE1779" s="6"/>
      <c r="AF1779" s="6"/>
      <c r="AG1779" s="6"/>
    </row>
    <row r="1780" ht="14.25" customHeight="1">
      <c r="A1780" s="6"/>
      <c r="B1780" s="6"/>
      <c r="C1780" s="6">
        <v>1773.0</v>
      </c>
      <c r="D1780" s="6"/>
      <c r="E1780" s="6">
        <v>8763156.186642421</v>
      </c>
      <c r="F1780" s="6">
        <v>466.54561808961324</v>
      </c>
      <c r="G1780" s="6">
        <v>4.860884048441751</v>
      </c>
      <c r="H1780" s="6">
        <v>8580086.19109952</v>
      </c>
      <c r="I1780" s="6">
        <v>459.18954034652336</v>
      </c>
      <c r="J1780" s="6">
        <v>3.214875000430745</v>
      </c>
      <c r="K1780" s="6"/>
      <c r="L1780" s="6"/>
      <c r="M1780" s="6"/>
      <c r="N1780" s="6">
        <f t="shared" ref="N1780:P1780" si="1783">IF(LEN($C1780)&gt;0,H1780-E1780,"")</f>
        <v>-183069.9955</v>
      </c>
      <c r="O1780" s="6">
        <f t="shared" si="1783"/>
        <v>-7.356077743</v>
      </c>
      <c r="P1780" s="6">
        <f t="shared" si="1783"/>
        <v>-1.646009048</v>
      </c>
      <c r="Q1780" s="6"/>
      <c r="R1780" s="6"/>
      <c r="S1780" s="6"/>
      <c r="T1780" s="6"/>
      <c r="U1780" s="6"/>
      <c r="V1780" s="6"/>
      <c r="W1780" s="6"/>
      <c r="X1780" s="6"/>
      <c r="Y1780" s="6"/>
      <c r="Z1780" s="6"/>
      <c r="AA1780" s="6"/>
      <c r="AB1780" s="6"/>
      <c r="AC1780" s="6"/>
      <c r="AD1780" s="6"/>
      <c r="AE1780" s="6"/>
      <c r="AF1780" s="6"/>
      <c r="AG1780" s="6"/>
    </row>
    <row r="1781" ht="14.25" customHeight="1">
      <c r="A1781" s="6"/>
      <c r="B1781" s="6"/>
      <c r="C1781" s="6">
        <v>1774.0</v>
      </c>
      <c r="D1781" s="6"/>
      <c r="E1781" s="6">
        <v>8818854.985226324</v>
      </c>
      <c r="F1781" s="6">
        <v>429.77351261831876</v>
      </c>
      <c r="G1781" s="6">
        <v>5.0947800825892795</v>
      </c>
      <c r="H1781" s="6">
        <v>8737482.809582397</v>
      </c>
      <c r="I1781" s="6">
        <v>426.5876058352353</v>
      </c>
      <c r="J1781" s="6">
        <v>4.032059983479102</v>
      </c>
      <c r="K1781" s="6"/>
      <c r="L1781" s="6"/>
      <c r="M1781" s="6"/>
      <c r="N1781" s="6">
        <f t="shared" ref="N1781:P1781" si="1784">IF(LEN($C1781)&gt;0,H1781-E1781,"")</f>
        <v>-81372.17564</v>
      </c>
      <c r="O1781" s="6">
        <f t="shared" si="1784"/>
        <v>-3.185906783</v>
      </c>
      <c r="P1781" s="6">
        <f t="shared" si="1784"/>
        <v>-1.062720099</v>
      </c>
      <c r="Q1781" s="6"/>
      <c r="R1781" s="6"/>
      <c r="S1781" s="6"/>
      <c r="T1781" s="6"/>
      <c r="U1781" s="6"/>
      <c r="V1781" s="6"/>
      <c r="W1781" s="6"/>
      <c r="X1781" s="6"/>
      <c r="Y1781" s="6"/>
      <c r="Z1781" s="6"/>
      <c r="AA1781" s="6"/>
      <c r="AB1781" s="6"/>
      <c r="AC1781" s="6"/>
      <c r="AD1781" s="6"/>
      <c r="AE1781" s="6"/>
      <c r="AF1781" s="6"/>
      <c r="AG1781" s="6"/>
    </row>
    <row r="1782" ht="14.25" customHeight="1">
      <c r="A1782" s="6"/>
      <c r="B1782" s="6"/>
      <c r="C1782" s="6">
        <v>1775.0</v>
      </c>
      <c r="D1782" s="6"/>
      <c r="E1782" s="6">
        <v>7488717.757697466</v>
      </c>
      <c r="F1782" s="6">
        <v>440.07101796615575</v>
      </c>
      <c r="G1782" s="6">
        <v>5.398258155545088</v>
      </c>
      <c r="H1782" s="6">
        <v>7452242.144188154</v>
      </c>
      <c r="I1782" s="6">
        <v>438.4502350451944</v>
      </c>
      <c r="J1782" s="6">
        <v>4.739030606382901</v>
      </c>
      <c r="K1782" s="6"/>
      <c r="L1782" s="6"/>
      <c r="M1782" s="6"/>
      <c r="N1782" s="6">
        <f t="shared" ref="N1782:P1782" si="1785">IF(LEN($C1782)&gt;0,H1782-E1782,"")</f>
        <v>-36475.61351</v>
      </c>
      <c r="O1782" s="6">
        <f t="shared" si="1785"/>
        <v>-1.620782921</v>
      </c>
      <c r="P1782" s="6">
        <f t="shared" si="1785"/>
        <v>-0.6592275492</v>
      </c>
      <c r="Q1782" s="6"/>
      <c r="R1782" s="6"/>
      <c r="S1782" s="6"/>
      <c r="T1782" s="6"/>
      <c r="U1782" s="6"/>
      <c r="V1782" s="6"/>
      <c r="W1782" s="6"/>
      <c r="X1782" s="6"/>
      <c r="Y1782" s="6"/>
      <c r="Z1782" s="6"/>
      <c r="AA1782" s="6"/>
      <c r="AB1782" s="6"/>
      <c r="AC1782" s="6"/>
      <c r="AD1782" s="6"/>
      <c r="AE1782" s="6"/>
      <c r="AF1782" s="6"/>
      <c r="AG1782" s="6"/>
    </row>
    <row r="1783" ht="14.25" customHeight="1">
      <c r="A1783" s="6"/>
      <c r="B1783" s="6"/>
      <c r="C1783" s="6">
        <v>1776.0</v>
      </c>
      <c r="D1783" s="6"/>
      <c r="E1783" s="6">
        <v>8163824.167818784</v>
      </c>
      <c r="F1783" s="6">
        <v>455.01040339251625</v>
      </c>
      <c r="G1783" s="6">
        <v>4.736339017854973</v>
      </c>
      <c r="H1783" s="6">
        <v>8026048.881424119</v>
      </c>
      <c r="I1783" s="6">
        <v>448.61436150686364</v>
      </c>
      <c r="J1783" s="6">
        <v>3.577466110694341</v>
      </c>
      <c r="K1783" s="6"/>
      <c r="L1783" s="6"/>
      <c r="M1783" s="6"/>
      <c r="N1783" s="6">
        <f t="shared" ref="N1783:P1783" si="1786">IF(LEN($C1783)&gt;0,H1783-E1783,"")</f>
        <v>-137775.2864</v>
      </c>
      <c r="O1783" s="6">
        <f t="shared" si="1786"/>
        <v>-6.396041886</v>
      </c>
      <c r="P1783" s="6">
        <f t="shared" si="1786"/>
        <v>-1.158872907</v>
      </c>
      <c r="Q1783" s="6"/>
      <c r="R1783" s="6"/>
      <c r="S1783" s="6"/>
      <c r="T1783" s="6"/>
      <c r="U1783" s="6"/>
      <c r="V1783" s="6"/>
      <c r="W1783" s="6"/>
      <c r="X1783" s="6"/>
      <c r="Y1783" s="6"/>
      <c r="Z1783" s="6"/>
      <c r="AA1783" s="6"/>
      <c r="AB1783" s="6"/>
      <c r="AC1783" s="6"/>
      <c r="AD1783" s="6"/>
      <c r="AE1783" s="6"/>
      <c r="AF1783" s="6"/>
      <c r="AG1783" s="6"/>
    </row>
    <row r="1784" ht="14.25" customHeight="1">
      <c r="A1784" s="6"/>
      <c r="B1784" s="6"/>
      <c r="C1784" s="6">
        <v>1777.0</v>
      </c>
      <c r="D1784" s="6"/>
      <c r="E1784" s="6">
        <v>7346800.89738045</v>
      </c>
      <c r="F1784" s="6">
        <v>484.6747785733639</v>
      </c>
      <c r="G1784" s="6">
        <v>4.727614714857956</v>
      </c>
      <c r="H1784" s="6">
        <v>7283874.287710105</v>
      </c>
      <c r="I1784" s="6">
        <v>482.2812215450908</v>
      </c>
      <c r="J1784" s="6">
        <v>3.8331047665812075</v>
      </c>
      <c r="K1784" s="6"/>
      <c r="L1784" s="6"/>
      <c r="M1784" s="6"/>
      <c r="N1784" s="6">
        <f t="shared" ref="N1784:P1784" si="1787">IF(LEN($C1784)&gt;0,H1784-E1784,"")</f>
        <v>-62926.60967</v>
      </c>
      <c r="O1784" s="6">
        <f t="shared" si="1787"/>
        <v>-2.393557028</v>
      </c>
      <c r="P1784" s="6">
        <f t="shared" si="1787"/>
        <v>-0.8945099483</v>
      </c>
      <c r="Q1784" s="6"/>
      <c r="R1784" s="6"/>
      <c r="S1784" s="6"/>
      <c r="T1784" s="6"/>
      <c r="U1784" s="6"/>
      <c r="V1784" s="6"/>
      <c r="W1784" s="6"/>
      <c r="X1784" s="6"/>
      <c r="Y1784" s="6"/>
      <c r="Z1784" s="6"/>
      <c r="AA1784" s="6"/>
      <c r="AB1784" s="6"/>
      <c r="AC1784" s="6"/>
      <c r="AD1784" s="6"/>
      <c r="AE1784" s="6"/>
      <c r="AF1784" s="6"/>
      <c r="AG1784" s="6"/>
    </row>
    <row r="1785" ht="14.25" customHeight="1">
      <c r="A1785" s="6"/>
      <c r="B1785" s="6"/>
      <c r="C1785" s="6">
        <v>1778.0</v>
      </c>
      <c r="D1785" s="6"/>
      <c r="E1785" s="6">
        <v>7424539.461968698</v>
      </c>
      <c r="F1785" s="6">
        <v>488.744016002023</v>
      </c>
      <c r="G1785" s="6">
        <v>4.52760612394604</v>
      </c>
      <c r="H1785" s="6">
        <v>7326398.919925458</v>
      </c>
      <c r="I1785" s="6">
        <v>485.13562566007346</v>
      </c>
      <c r="J1785" s="6">
        <v>3.339983162358328</v>
      </c>
      <c r="K1785" s="6"/>
      <c r="L1785" s="6"/>
      <c r="M1785" s="6"/>
      <c r="N1785" s="6">
        <f t="shared" ref="N1785:P1785" si="1788">IF(LEN($C1785)&gt;0,H1785-E1785,"")</f>
        <v>-98140.54204</v>
      </c>
      <c r="O1785" s="6">
        <f t="shared" si="1788"/>
        <v>-3.608390342</v>
      </c>
      <c r="P1785" s="6">
        <f t="shared" si="1788"/>
        <v>-1.187622962</v>
      </c>
      <c r="Q1785" s="6"/>
      <c r="R1785" s="6"/>
      <c r="S1785" s="6"/>
      <c r="T1785" s="6"/>
      <c r="U1785" s="6"/>
      <c r="V1785" s="6"/>
      <c r="W1785" s="6"/>
      <c r="X1785" s="6"/>
      <c r="Y1785" s="6"/>
      <c r="Z1785" s="6"/>
      <c r="AA1785" s="6"/>
      <c r="AB1785" s="6"/>
      <c r="AC1785" s="6"/>
      <c r="AD1785" s="6"/>
      <c r="AE1785" s="6"/>
      <c r="AF1785" s="6"/>
      <c r="AG1785" s="6"/>
    </row>
    <row r="1786" ht="14.25" customHeight="1">
      <c r="A1786" s="6"/>
      <c r="B1786" s="6"/>
      <c r="C1786" s="6">
        <v>1779.0</v>
      </c>
      <c r="D1786" s="6"/>
      <c r="E1786" s="6">
        <v>6686337.727197903</v>
      </c>
      <c r="F1786" s="6">
        <v>442.454446896251</v>
      </c>
      <c r="G1786" s="6">
        <v>5.012731812967851</v>
      </c>
      <c r="H1786" s="6">
        <v>6605315.1969608795</v>
      </c>
      <c r="I1786" s="6">
        <v>439.5372168870979</v>
      </c>
      <c r="J1786" s="6">
        <v>3.8685077901444704</v>
      </c>
      <c r="K1786" s="6"/>
      <c r="L1786" s="6"/>
      <c r="M1786" s="6"/>
      <c r="N1786" s="6">
        <f t="shared" ref="N1786:P1786" si="1789">IF(LEN($C1786)&gt;0,H1786-E1786,"")</f>
        <v>-81022.53024</v>
      </c>
      <c r="O1786" s="6">
        <f t="shared" si="1789"/>
        <v>-2.917230009</v>
      </c>
      <c r="P1786" s="6">
        <f t="shared" si="1789"/>
        <v>-1.144224023</v>
      </c>
      <c r="Q1786" s="6"/>
      <c r="R1786" s="6"/>
      <c r="S1786" s="6"/>
      <c r="T1786" s="6"/>
      <c r="U1786" s="6"/>
      <c r="V1786" s="6"/>
      <c r="W1786" s="6"/>
      <c r="X1786" s="6"/>
      <c r="Y1786" s="6"/>
      <c r="Z1786" s="6"/>
      <c r="AA1786" s="6"/>
      <c r="AB1786" s="6"/>
      <c r="AC1786" s="6"/>
      <c r="AD1786" s="6"/>
      <c r="AE1786" s="6"/>
      <c r="AF1786" s="6"/>
      <c r="AG1786" s="6"/>
    </row>
    <row r="1787" ht="14.25" customHeight="1">
      <c r="A1787" s="6"/>
      <c r="B1787" s="6"/>
      <c r="C1787" s="6">
        <v>1780.0</v>
      </c>
      <c r="D1787" s="6"/>
      <c r="E1787" s="6">
        <v>8476968.131272769</v>
      </c>
      <c r="F1787" s="6">
        <v>456.46403554420436</v>
      </c>
      <c r="G1787" s="6">
        <v>4.545774284071767</v>
      </c>
      <c r="H1787" s="6">
        <v>8384749.405319236</v>
      </c>
      <c r="I1787" s="6">
        <v>450.7761753916987</v>
      </c>
      <c r="J1787" s="6">
        <v>3.6899449276727467</v>
      </c>
      <c r="K1787" s="6"/>
      <c r="L1787" s="6"/>
      <c r="M1787" s="6"/>
      <c r="N1787" s="6">
        <f t="shared" ref="N1787:P1787" si="1790">IF(LEN($C1787)&gt;0,H1787-E1787,"")</f>
        <v>-92218.72595</v>
      </c>
      <c r="O1787" s="6">
        <f t="shared" si="1790"/>
        <v>-5.687860153</v>
      </c>
      <c r="P1787" s="6">
        <f t="shared" si="1790"/>
        <v>-0.8558293564</v>
      </c>
      <c r="Q1787" s="6"/>
      <c r="R1787" s="6"/>
      <c r="S1787" s="6"/>
      <c r="T1787" s="6"/>
      <c r="U1787" s="6"/>
      <c r="V1787" s="6"/>
      <c r="W1787" s="6"/>
      <c r="X1787" s="6"/>
      <c r="Y1787" s="6"/>
      <c r="Z1787" s="6"/>
      <c r="AA1787" s="6"/>
      <c r="AB1787" s="6"/>
      <c r="AC1787" s="6"/>
      <c r="AD1787" s="6"/>
      <c r="AE1787" s="6"/>
      <c r="AF1787" s="6"/>
      <c r="AG1787" s="6"/>
    </row>
    <row r="1788" ht="14.25" customHeight="1">
      <c r="A1788" s="6"/>
      <c r="B1788" s="6"/>
      <c r="C1788" s="6">
        <v>1781.0</v>
      </c>
      <c r="D1788" s="6"/>
      <c r="E1788" s="6">
        <v>9550649.588385357</v>
      </c>
      <c r="F1788" s="6">
        <v>487.9479899770465</v>
      </c>
      <c r="G1788" s="6">
        <v>4.803901673470401</v>
      </c>
      <c r="H1788" s="6">
        <v>9350970.715021618</v>
      </c>
      <c r="I1788" s="6">
        <v>477.8009490628556</v>
      </c>
      <c r="J1788" s="6">
        <v>3.3088989826854154</v>
      </c>
      <c r="K1788" s="6"/>
      <c r="L1788" s="6"/>
      <c r="M1788" s="6"/>
      <c r="N1788" s="6">
        <f t="shared" ref="N1788:P1788" si="1791">IF(LEN($C1788)&gt;0,H1788-E1788,"")</f>
        <v>-199678.8734</v>
      </c>
      <c r="O1788" s="6">
        <f t="shared" si="1791"/>
        <v>-10.14704091</v>
      </c>
      <c r="P1788" s="6">
        <f t="shared" si="1791"/>
        <v>-1.495002691</v>
      </c>
      <c r="Q1788" s="6"/>
      <c r="R1788" s="6"/>
      <c r="S1788" s="6"/>
      <c r="T1788" s="6"/>
      <c r="U1788" s="6"/>
      <c r="V1788" s="6"/>
      <c r="W1788" s="6"/>
      <c r="X1788" s="6"/>
      <c r="Y1788" s="6"/>
      <c r="Z1788" s="6"/>
      <c r="AA1788" s="6"/>
      <c r="AB1788" s="6"/>
      <c r="AC1788" s="6"/>
      <c r="AD1788" s="6"/>
      <c r="AE1788" s="6"/>
      <c r="AF1788" s="6"/>
      <c r="AG1788" s="6"/>
    </row>
    <row r="1789" ht="14.25" customHeight="1">
      <c r="A1789" s="6"/>
      <c r="B1789" s="6"/>
      <c r="C1789" s="6">
        <v>1782.0</v>
      </c>
      <c r="D1789" s="6"/>
      <c r="E1789" s="6">
        <v>6448162.220737729</v>
      </c>
      <c r="F1789" s="6">
        <v>477.6273114083914</v>
      </c>
      <c r="G1789" s="6">
        <v>5.863430016705482</v>
      </c>
      <c r="H1789" s="6">
        <v>6364298.637993768</v>
      </c>
      <c r="I1789" s="6">
        <v>474.8449482519953</v>
      </c>
      <c r="J1789" s="6">
        <v>4.512184493140397</v>
      </c>
      <c r="K1789" s="6"/>
      <c r="L1789" s="6"/>
      <c r="M1789" s="6"/>
      <c r="N1789" s="6">
        <f t="shared" ref="N1789:P1789" si="1792">IF(LEN($C1789)&gt;0,H1789-E1789,"")</f>
        <v>-83863.58274</v>
      </c>
      <c r="O1789" s="6">
        <f t="shared" si="1792"/>
        <v>-2.782363156</v>
      </c>
      <c r="P1789" s="6">
        <f t="shared" si="1792"/>
        <v>-1.351245524</v>
      </c>
      <c r="Q1789" s="6"/>
      <c r="R1789" s="6"/>
      <c r="S1789" s="6"/>
      <c r="T1789" s="6"/>
      <c r="U1789" s="6"/>
      <c r="V1789" s="6"/>
      <c r="W1789" s="6"/>
      <c r="X1789" s="6"/>
      <c r="Y1789" s="6"/>
      <c r="Z1789" s="6"/>
      <c r="AA1789" s="6"/>
      <c r="AB1789" s="6"/>
      <c r="AC1789" s="6"/>
      <c r="AD1789" s="6"/>
      <c r="AE1789" s="6"/>
      <c r="AF1789" s="6"/>
      <c r="AG1789" s="6"/>
    </row>
    <row r="1790" ht="14.25" customHeight="1">
      <c r="A1790" s="6"/>
      <c r="B1790" s="6"/>
      <c r="C1790" s="6">
        <v>1783.0</v>
      </c>
      <c r="D1790" s="6"/>
      <c r="E1790" s="6">
        <v>5746868.12102372</v>
      </c>
      <c r="F1790" s="6">
        <v>463.43098229460844</v>
      </c>
      <c r="G1790" s="6">
        <v>5.120288479423273</v>
      </c>
      <c r="H1790" s="6">
        <v>5670402.174963226</v>
      </c>
      <c r="I1790" s="6">
        <v>459.13536888076163</v>
      </c>
      <c r="J1790" s="6">
        <v>3.6871248935294654</v>
      </c>
      <c r="K1790" s="6"/>
      <c r="L1790" s="6"/>
      <c r="M1790" s="6"/>
      <c r="N1790" s="6">
        <f t="shared" ref="N1790:P1790" si="1793">IF(LEN($C1790)&gt;0,H1790-E1790,"")</f>
        <v>-76465.94606</v>
      </c>
      <c r="O1790" s="6">
        <f t="shared" si="1793"/>
        <v>-4.295613414</v>
      </c>
      <c r="P1790" s="6">
        <f t="shared" si="1793"/>
        <v>-1.433163586</v>
      </c>
      <c r="Q1790" s="6"/>
      <c r="R1790" s="6"/>
      <c r="S1790" s="6"/>
      <c r="T1790" s="6"/>
      <c r="U1790" s="6"/>
      <c r="V1790" s="6"/>
      <c r="W1790" s="6"/>
      <c r="X1790" s="6"/>
      <c r="Y1790" s="6"/>
      <c r="Z1790" s="6"/>
      <c r="AA1790" s="6"/>
      <c r="AB1790" s="6"/>
      <c r="AC1790" s="6"/>
      <c r="AD1790" s="6"/>
      <c r="AE1790" s="6"/>
      <c r="AF1790" s="6"/>
      <c r="AG1790" s="6"/>
    </row>
    <row r="1791" ht="14.25" customHeight="1">
      <c r="A1791" s="6"/>
      <c r="B1791" s="6"/>
      <c r="C1791" s="6">
        <v>1784.0</v>
      </c>
      <c r="D1791" s="6"/>
      <c r="E1791" s="6">
        <v>6346323.47380167</v>
      </c>
      <c r="F1791" s="6">
        <v>477.7234752672656</v>
      </c>
      <c r="G1791" s="6">
        <v>4.612113747268399</v>
      </c>
      <c r="H1791" s="6">
        <v>6303584.730376</v>
      </c>
      <c r="I1791" s="6">
        <v>475.89192514971114</v>
      </c>
      <c r="J1791" s="6">
        <v>3.7245333595348535</v>
      </c>
      <c r="K1791" s="6"/>
      <c r="L1791" s="6"/>
      <c r="M1791" s="6"/>
      <c r="N1791" s="6">
        <f t="shared" ref="N1791:P1791" si="1794">IF(LEN($C1791)&gt;0,H1791-E1791,"")</f>
        <v>-42738.74343</v>
      </c>
      <c r="O1791" s="6">
        <f t="shared" si="1794"/>
        <v>-1.831550118</v>
      </c>
      <c r="P1791" s="6">
        <f t="shared" si="1794"/>
        <v>-0.8875803877</v>
      </c>
      <c r="Q1791" s="6"/>
      <c r="R1791" s="6"/>
      <c r="S1791" s="6"/>
      <c r="T1791" s="6"/>
      <c r="U1791" s="6"/>
      <c r="V1791" s="6"/>
      <c r="W1791" s="6"/>
      <c r="X1791" s="6"/>
      <c r="Y1791" s="6"/>
      <c r="Z1791" s="6"/>
      <c r="AA1791" s="6"/>
      <c r="AB1791" s="6"/>
      <c r="AC1791" s="6"/>
      <c r="AD1791" s="6"/>
      <c r="AE1791" s="6"/>
      <c r="AF1791" s="6"/>
      <c r="AG1791" s="6"/>
    </row>
    <row r="1792" ht="14.25" customHeight="1">
      <c r="A1792" s="6"/>
      <c r="B1792" s="6"/>
      <c r="C1792" s="6">
        <v>1785.0</v>
      </c>
      <c r="D1792" s="6"/>
      <c r="E1792" s="6">
        <v>7153417.177039535</v>
      </c>
      <c r="F1792" s="6">
        <v>443.9756236888287</v>
      </c>
      <c r="G1792" s="6">
        <v>4.9692684932254405</v>
      </c>
      <c r="H1792" s="6">
        <v>7079057.749259336</v>
      </c>
      <c r="I1792" s="6">
        <v>441.3992284781503</v>
      </c>
      <c r="J1792" s="6">
        <v>4.321991386551557</v>
      </c>
      <c r="K1792" s="6"/>
      <c r="L1792" s="6"/>
      <c r="M1792" s="6"/>
      <c r="N1792" s="6">
        <f t="shared" ref="N1792:P1792" si="1795">IF(LEN($C1792)&gt;0,H1792-E1792,"")</f>
        <v>-74359.42778</v>
      </c>
      <c r="O1792" s="6">
        <f t="shared" si="1795"/>
        <v>-2.576395211</v>
      </c>
      <c r="P1792" s="6">
        <f t="shared" si="1795"/>
        <v>-0.6472771067</v>
      </c>
      <c r="Q1792" s="6"/>
      <c r="R1792" s="6"/>
      <c r="S1792" s="6"/>
      <c r="T1792" s="6"/>
      <c r="U1792" s="6"/>
      <c r="V1792" s="6"/>
      <c r="W1792" s="6"/>
      <c r="X1792" s="6"/>
      <c r="Y1792" s="6"/>
      <c r="Z1792" s="6"/>
      <c r="AA1792" s="6"/>
      <c r="AB1792" s="6"/>
      <c r="AC1792" s="6"/>
      <c r="AD1792" s="6"/>
      <c r="AE1792" s="6"/>
      <c r="AF1792" s="6"/>
      <c r="AG1792" s="6"/>
    </row>
    <row r="1793" ht="14.25" customHeight="1">
      <c r="A1793" s="6"/>
      <c r="B1793" s="6"/>
      <c r="C1793" s="6">
        <v>1786.0</v>
      </c>
      <c r="D1793" s="6"/>
      <c r="E1793" s="6">
        <v>1.0317706166778255E7</v>
      </c>
      <c r="F1793" s="6">
        <v>474.3798808295709</v>
      </c>
      <c r="G1793" s="6">
        <v>4.53829209376016</v>
      </c>
      <c r="H1793" s="6">
        <v>1.0229788907497883E7</v>
      </c>
      <c r="I1793" s="6">
        <v>471.1805625870321</v>
      </c>
      <c r="J1793" s="6">
        <v>3.665369039800336</v>
      </c>
      <c r="K1793" s="6"/>
      <c r="L1793" s="6"/>
      <c r="M1793" s="6"/>
      <c r="N1793" s="6">
        <f t="shared" ref="N1793:P1793" si="1796">IF(LEN($C1793)&gt;0,H1793-E1793,"")</f>
        <v>-87917.25928</v>
      </c>
      <c r="O1793" s="6">
        <f t="shared" si="1796"/>
        <v>-3.199318243</v>
      </c>
      <c r="P1793" s="6">
        <f t="shared" si="1796"/>
        <v>-0.872923054</v>
      </c>
      <c r="Q1793" s="6"/>
      <c r="R1793" s="6"/>
      <c r="S1793" s="6"/>
      <c r="T1793" s="6"/>
      <c r="U1793" s="6"/>
      <c r="V1793" s="6"/>
      <c r="W1793" s="6"/>
      <c r="X1793" s="6"/>
      <c r="Y1793" s="6"/>
      <c r="Z1793" s="6"/>
      <c r="AA1793" s="6"/>
      <c r="AB1793" s="6"/>
      <c r="AC1793" s="6"/>
      <c r="AD1793" s="6"/>
      <c r="AE1793" s="6"/>
      <c r="AF1793" s="6"/>
      <c r="AG1793" s="6"/>
    </row>
    <row r="1794" ht="14.25" customHeight="1">
      <c r="A1794" s="6"/>
      <c r="B1794" s="6"/>
      <c r="C1794" s="6">
        <v>1787.0</v>
      </c>
      <c r="D1794" s="6"/>
      <c r="E1794" s="6">
        <v>7909318.1662737075</v>
      </c>
      <c r="F1794" s="6">
        <v>493.28327662503597</v>
      </c>
      <c r="G1794" s="6">
        <v>4.57014067275383</v>
      </c>
      <c r="H1794" s="6">
        <v>7754464.660815687</v>
      </c>
      <c r="I1794" s="6">
        <v>486.547503883403</v>
      </c>
      <c r="J1794" s="6">
        <v>2.937430216153689</v>
      </c>
      <c r="K1794" s="6"/>
      <c r="L1794" s="6"/>
      <c r="M1794" s="6"/>
      <c r="N1794" s="6">
        <f t="shared" ref="N1794:P1794" si="1797">IF(LEN($C1794)&gt;0,H1794-E1794,"")</f>
        <v>-154853.5055</v>
      </c>
      <c r="O1794" s="6">
        <f t="shared" si="1797"/>
        <v>-6.735772742</v>
      </c>
      <c r="P1794" s="6">
        <f t="shared" si="1797"/>
        <v>-1.632710457</v>
      </c>
      <c r="Q1794" s="6"/>
      <c r="R1794" s="6"/>
      <c r="S1794" s="6"/>
      <c r="T1794" s="6"/>
      <c r="U1794" s="6"/>
      <c r="V1794" s="6"/>
      <c r="W1794" s="6"/>
      <c r="X1794" s="6"/>
      <c r="Y1794" s="6"/>
      <c r="Z1794" s="6"/>
      <c r="AA1794" s="6"/>
      <c r="AB1794" s="6"/>
      <c r="AC1794" s="6"/>
      <c r="AD1794" s="6"/>
      <c r="AE1794" s="6"/>
      <c r="AF1794" s="6"/>
      <c r="AG1794" s="6"/>
    </row>
    <row r="1795" ht="14.25" customHeight="1">
      <c r="A1795" s="6"/>
      <c r="B1795" s="6"/>
      <c r="C1795" s="6">
        <v>1788.0</v>
      </c>
      <c r="D1795" s="6"/>
      <c r="E1795" s="6">
        <v>8008072.923478877</v>
      </c>
      <c r="F1795" s="6">
        <v>440.37300755966095</v>
      </c>
      <c r="G1795" s="6">
        <v>6.8042147033956395</v>
      </c>
      <c r="H1795" s="6">
        <v>7830422.8984017745</v>
      </c>
      <c r="I1795" s="6">
        <v>433.30030536197125</v>
      </c>
      <c r="J1795" s="6">
        <v>4.60626186111199</v>
      </c>
      <c r="K1795" s="6"/>
      <c r="L1795" s="6"/>
      <c r="M1795" s="6"/>
      <c r="N1795" s="6">
        <f t="shared" ref="N1795:P1795" si="1798">IF(LEN($C1795)&gt;0,H1795-E1795,"")</f>
        <v>-177650.0251</v>
      </c>
      <c r="O1795" s="6">
        <f t="shared" si="1798"/>
        <v>-7.072702198</v>
      </c>
      <c r="P1795" s="6">
        <f t="shared" si="1798"/>
        <v>-2.197952842</v>
      </c>
      <c r="Q1795" s="6"/>
      <c r="R1795" s="6"/>
      <c r="S1795" s="6"/>
      <c r="T1795" s="6"/>
      <c r="U1795" s="6"/>
      <c r="V1795" s="6"/>
      <c r="W1795" s="6"/>
      <c r="X1795" s="6"/>
      <c r="Y1795" s="6"/>
      <c r="Z1795" s="6"/>
      <c r="AA1795" s="6"/>
      <c r="AB1795" s="6"/>
      <c r="AC1795" s="6"/>
      <c r="AD1795" s="6"/>
      <c r="AE1795" s="6"/>
      <c r="AF1795" s="6"/>
      <c r="AG1795" s="6"/>
    </row>
    <row r="1796" ht="14.25" customHeight="1">
      <c r="A1796" s="6"/>
      <c r="B1796" s="6"/>
      <c r="C1796" s="6">
        <v>1789.0</v>
      </c>
      <c r="D1796" s="6"/>
      <c r="E1796" s="6">
        <v>1.0211732152727364E7</v>
      </c>
      <c r="F1796" s="6">
        <v>449.639586367026</v>
      </c>
      <c r="G1796" s="6">
        <v>4.0664244368603795</v>
      </c>
      <c r="H1796" s="6">
        <v>1.0062508490690315E7</v>
      </c>
      <c r="I1796" s="6">
        <v>442.06795127638986</v>
      </c>
      <c r="J1796" s="6">
        <v>2.943536664572971</v>
      </c>
      <c r="K1796" s="6"/>
      <c r="L1796" s="6"/>
      <c r="M1796" s="6"/>
      <c r="N1796" s="6">
        <f t="shared" ref="N1796:P1796" si="1799">IF(LEN($C1796)&gt;0,H1796-E1796,"")</f>
        <v>-149223.662</v>
      </c>
      <c r="O1796" s="6">
        <f t="shared" si="1799"/>
        <v>-7.571635091</v>
      </c>
      <c r="P1796" s="6">
        <f t="shared" si="1799"/>
        <v>-1.122887772</v>
      </c>
      <c r="Q1796" s="6"/>
      <c r="R1796" s="6"/>
      <c r="S1796" s="6"/>
      <c r="T1796" s="6"/>
      <c r="U1796" s="6"/>
      <c r="V1796" s="6"/>
      <c r="W1796" s="6"/>
      <c r="X1796" s="6"/>
      <c r="Y1796" s="6"/>
      <c r="Z1796" s="6"/>
      <c r="AA1796" s="6"/>
      <c r="AB1796" s="6"/>
      <c r="AC1796" s="6"/>
      <c r="AD1796" s="6"/>
      <c r="AE1796" s="6"/>
      <c r="AF1796" s="6"/>
      <c r="AG1796" s="6"/>
    </row>
    <row r="1797" ht="14.25" customHeight="1">
      <c r="A1797" s="6"/>
      <c r="B1797" s="6"/>
      <c r="C1797" s="6">
        <v>1790.0</v>
      </c>
      <c r="D1797" s="6"/>
      <c r="E1797" s="6">
        <v>6788214.883056904</v>
      </c>
      <c r="F1797" s="6">
        <v>463.3631295771579</v>
      </c>
      <c r="G1797" s="6">
        <v>4.860546271008713</v>
      </c>
      <c r="H1797" s="6">
        <v>6722467.555189192</v>
      </c>
      <c r="I1797" s="6">
        <v>460.75913588974754</v>
      </c>
      <c r="J1797" s="6">
        <v>3.77891710114543</v>
      </c>
      <c r="K1797" s="6"/>
      <c r="L1797" s="6"/>
      <c r="M1797" s="6"/>
      <c r="N1797" s="6">
        <f t="shared" ref="N1797:P1797" si="1800">IF(LEN($C1797)&gt;0,H1797-E1797,"")</f>
        <v>-65747.32787</v>
      </c>
      <c r="O1797" s="6">
        <f t="shared" si="1800"/>
        <v>-2.603993687</v>
      </c>
      <c r="P1797" s="6">
        <f t="shared" si="1800"/>
        <v>-1.08162917</v>
      </c>
      <c r="Q1797" s="6"/>
      <c r="R1797" s="6"/>
      <c r="S1797" s="6"/>
      <c r="T1797" s="6"/>
      <c r="U1797" s="6"/>
      <c r="V1797" s="6"/>
      <c r="W1797" s="6"/>
      <c r="X1797" s="6"/>
      <c r="Y1797" s="6"/>
      <c r="Z1797" s="6"/>
      <c r="AA1797" s="6"/>
      <c r="AB1797" s="6"/>
      <c r="AC1797" s="6"/>
      <c r="AD1797" s="6"/>
      <c r="AE1797" s="6"/>
      <c r="AF1797" s="6"/>
      <c r="AG1797" s="6"/>
    </row>
    <row r="1798" ht="14.25" customHeight="1">
      <c r="A1798" s="6"/>
      <c r="B1798" s="6"/>
      <c r="C1798" s="6">
        <v>1791.0</v>
      </c>
      <c r="D1798" s="6"/>
      <c r="E1798" s="6">
        <v>7046436.610771318</v>
      </c>
      <c r="F1798" s="6">
        <v>464.51512412174793</v>
      </c>
      <c r="G1798" s="6">
        <v>5.124510542429266</v>
      </c>
      <c r="H1798" s="6">
        <v>6920737.037592195</v>
      </c>
      <c r="I1798" s="6">
        <v>458.63800955183365</v>
      </c>
      <c r="J1798" s="6">
        <v>3.1463907563764133</v>
      </c>
      <c r="K1798" s="6"/>
      <c r="L1798" s="6"/>
      <c r="M1798" s="6"/>
      <c r="N1798" s="6">
        <f t="shared" ref="N1798:P1798" si="1801">IF(LEN($C1798)&gt;0,H1798-E1798,"")</f>
        <v>-125699.5732</v>
      </c>
      <c r="O1798" s="6">
        <f t="shared" si="1801"/>
        <v>-5.87711457</v>
      </c>
      <c r="P1798" s="6">
        <f t="shared" si="1801"/>
        <v>-1.978119786</v>
      </c>
      <c r="Q1798" s="6"/>
      <c r="R1798" s="6"/>
      <c r="S1798" s="6"/>
      <c r="T1798" s="6"/>
      <c r="U1798" s="6"/>
      <c r="V1798" s="6"/>
      <c r="W1798" s="6"/>
      <c r="X1798" s="6"/>
      <c r="Y1798" s="6"/>
      <c r="Z1798" s="6"/>
      <c r="AA1798" s="6"/>
      <c r="AB1798" s="6"/>
      <c r="AC1798" s="6"/>
      <c r="AD1798" s="6"/>
      <c r="AE1798" s="6"/>
      <c r="AF1798" s="6"/>
      <c r="AG1798" s="6"/>
    </row>
    <row r="1799" ht="14.25" customHeight="1">
      <c r="A1799" s="6"/>
      <c r="B1799" s="6"/>
      <c r="C1799" s="6">
        <v>1792.0</v>
      </c>
      <c r="D1799" s="6"/>
      <c r="E1799" s="6">
        <v>6458305.623115748</v>
      </c>
      <c r="F1799" s="6">
        <v>489.60389809560525</v>
      </c>
      <c r="G1799" s="6">
        <v>5.605236716850131</v>
      </c>
      <c r="H1799" s="6">
        <v>6344058.88308258</v>
      </c>
      <c r="I1799" s="6">
        <v>486.2504342771933</v>
      </c>
      <c r="J1799" s="6">
        <v>4.2242010560560574</v>
      </c>
      <c r="K1799" s="6"/>
      <c r="L1799" s="6"/>
      <c r="M1799" s="6"/>
      <c r="N1799" s="6">
        <f t="shared" ref="N1799:P1799" si="1802">IF(LEN($C1799)&gt;0,H1799-E1799,"")</f>
        <v>-114246.74</v>
      </c>
      <c r="O1799" s="6">
        <f t="shared" si="1802"/>
        <v>-3.353463818</v>
      </c>
      <c r="P1799" s="6">
        <f t="shared" si="1802"/>
        <v>-1.381035661</v>
      </c>
      <c r="Q1799" s="6"/>
      <c r="R1799" s="6"/>
      <c r="S1799" s="6"/>
      <c r="T1799" s="6"/>
      <c r="U1799" s="6"/>
      <c r="V1799" s="6"/>
      <c r="W1799" s="6"/>
      <c r="X1799" s="6"/>
      <c r="Y1799" s="6"/>
      <c r="Z1799" s="6"/>
      <c r="AA1799" s="6"/>
      <c r="AB1799" s="6"/>
      <c r="AC1799" s="6"/>
      <c r="AD1799" s="6"/>
      <c r="AE1799" s="6"/>
      <c r="AF1799" s="6"/>
      <c r="AG1799" s="6"/>
    </row>
    <row r="1800" ht="14.25" customHeight="1">
      <c r="A1800" s="6"/>
      <c r="B1800" s="6"/>
      <c r="C1800" s="6">
        <v>1793.0</v>
      </c>
      <c r="D1800" s="6"/>
      <c r="E1800" s="6">
        <v>8587109.754416144</v>
      </c>
      <c r="F1800" s="6">
        <v>504.70588779789193</v>
      </c>
      <c r="G1800" s="6">
        <v>5.185923306522229</v>
      </c>
      <c r="H1800" s="6">
        <v>8432668.137995804</v>
      </c>
      <c r="I1800" s="6">
        <v>497.8731680135753</v>
      </c>
      <c r="J1800" s="6">
        <v>4.127389591772317</v>
      </c>
      <c r="K1800" s="6"/>
      <c r="L1800" s="6"/>
      <c r="M1800" s="6"/>
      <c r="N1800" s="6">
        <f t="shared" ref="N1800:P1800" si="1803">IF(LEN($C1800)&gt;0,H1800-E1800,"")</f>
        <v>-154441.6164</v>
      </c>
      <c r="O1800" s="6">
        <f t="shared" si="1803"/>
        <v>-6.832719784</v>
      </c>
      <c r="P1800" s="6">
        <f t="shared" si="1803"/>
        <v>-1.058533715</v>
      </c>
      <c r="Q1800" s="6"/>
      <c r="R1800" s="6"/>
      <c r="S1800" s="6"/>
      <c r="T1800" s="6"/>
      <c r="U1800" s="6"/>
      <c r="V1800" s="6"/>
      <c r="W1800" s="6"/>
      <c r="X1800" s="6"/>
      <c r="Y1800" s="6"/>
      <c r="Z1800" s="6"/>
      <c r="AA1800" s="6"/>
      <c r="AB1800" s="6"/>
      <c r="AC1800" s="6"/>
      <c r="AD1800" s="6"/>
      <c r="AE1800" s="6"/>
      <c r="AF1800" s="6"/>
      <c r="AG1800" s="6"/>
    </row>
    <row r="1801" ht="14.25" customHeight="1">
      <c r="A1801" s="6"/>
      <c r="B1801" s="6"/>
      <c r="C1801" s="6">
        <v>1794.0</v>
      </c>
      <c r="D1801" s="6"/>
      <c r="E1801" s="6">
        <v>7161861.051459881</v>
      </c>
      <c r="F1801" s="6">
        <v>452.6745647803452</v>
      </c>
      <c r="G1801" s="6">
        <v>4.848064140056402</v>
      </c>
      <c r="H1801" s="6">
        <v>7042712.605757413</v>
      </c>
      <c r="I1801" s="6">
        <v>447.68768942484377</v>
      </c>
      <c r="J1801" s="6">
        <v>3.381961275978868</v>
      </c>
      <c r="K1801" s="6"/>
      <c r="L1801" s="6"/>
      <c r="M1801" s="6"/>
      <c r="N1801" s="6">
        <f t="shared" ref="N1801:P1801" si="1804">IF(LEN($C1801)&gt;0,H1801-E1801,"")</f>
        <v>-119148.4457</v>
      </c>
      <c r="O1801" s="6">
        <f t="shared" si="1804"/>
        <v>-4.986875356</v>
      </c>
      <c r="P1801" s="6">
        <f t="shared" si="1804"/>
        <v>-1.466102864</v>
      </c>
      <c r="Q1801" s="6"/>
      <c r="R1801" s="6"/>
      <c r="S1801" s="6"/>
      <c r="T1801" s="6"/>
      <c r="U1801" s="6"/>
      <c r="V1801" s="6"/>
      <c r="W1801" s="6"/>
      <c r="X1801" s="6"/>
      <c r="Y1801" s="6"/>
      <c r="Z1801" s="6"/>
      <c r="AA1801" s="6"/>
      <c r="AB1801" s="6"/>
      <c r="AC1801" s="6"/>
      <c r="AD1801" s="6"/>
      <c r="AE1801" s="6"/>
      <c r="AF1801" s="6"/>
      <c r="AG1801" s="6"/>
    </row>
    <row r="1802" ht="14.25" customHeight="1">
      <c r="A1802" s="6"/>
      <c r="B1802" s="6"/>
      <c r="C1802" s="6">
        <v>1795.0</v>
      </c>
      <c r="D1802" s="6"/>
      <c r="E1802" s="6">
        <v>6788822.395538357</v>
      </c>
      <c r="F1802" s="6">
        <v>449.55998178569433</v>
      </c>
      <c r="G1802" s="6">
        <v>4.821507354438313</v>
      </c>
      <c r="H1802" s="6">
        <v>6718366.095885421</v>
      </c>
      <c r="I1802" s="6">
        <v>448.19199152699554</v>
      </c>
      <c r="J1802" s="6">
        <v>3.8311048544833244</v>
      </c>
      <c r="K1802" s="6"/>
      <c r="L1802" s="6"/>
      <c r="M1802" s="6"/>
      <c r="N1802" s="6">
        <f t="shared" ref="N1802:P1802" si="1805">IF(LEN($C1802)&gt;0,H1802-E1802,"")</f>
        <v>-70456.29965</v>
      </c>
      <c r="O1802" s="6">
        <f t="shared" si="1805"/>
        <v>-1.367990259</v>
      </c>
      <c r="P1802" s="6">
        <f t="shared" si="1805"/>
        <v>-0.9904025</v>
      </c>
      <c r="Q1802" s="6"/>
      <c r="R1802" s="6"/>
      <c r="S1802" s="6"/>
      <c r="T1802" s="6"/>
      <c r="U1802" s="6"/>
      <c r="V1802" s="6"/>
      <c r="W1802" s="6"/>
      <c r="X1802" s="6"/>
      <c r="Y1802" s="6"/>
      <c r="Z1802" s="6"/>
      <c r="AA1802" s="6"/>
      <c r="AB1802" s="6"/>
      <c r="AC1802" s="6"/>
      <c r="AD1802" s="6"/>
      <c r="AE1802" s="6"/>
      <c r="AF1802" s="6"/>
      <c r="AG1802" s="6"/>
    </row>
    <row r="1803" ht="14.25" customHeight="1">
      <c r="A1803" s="6"/>
      <c r="B1803" s="6"/>
      <c r="C1803" s="6">
        <v>1796.0</v>
      </c>
      <c r="D1803" s="6"/>
      <c r="E1803" s="6">
        <v>7860556.3486107765</v>
      </c>
      <c r="F1803" s="6">
        <v>511.90988765099786</v>
      </c>
      <c r="G1803" s="6">
        <v>4.54008838328413</v>
      </c>
      <c r="H1803" s="6">
        <v>7695657.287947457</v>
      </c>
      <c r="I1803" s="6">
        <v>504.34035226362664</v>
      </c>
      <c r="J1803" s="6">
        <v>3.1711768759125065</v>
      </c>
      <c r="K1803" s="6"/>
      <c r="L1803" s="6"/>
      <c r="M1803" s="6"/>
      <c r="N1803" s="6">
        <f t="shared" ref="N1803:P1803" si="1806">IF(LEN($C1803)&gt;0,H1803-E1803,"")</f>
        <v>-164899.0607</v>
      </c>
      <c r="O1803" s="6">
        <f t="shared" si="1806"/>
        <v>-7.569535387</v>
      </c>
      <c r="P1803" s="6">
        <f t="shared" si="1806"/>
        <v>-1.368911507</v>
      </c>
      <c r="Q1803" s="6"/>
      <c r="R1803" s="6"/>
      <c r="S1803" s="6"/>
      <c r="T1803" s="6"/>
      <c r="U1803" s="6"/>
      <c r="V1803" s="6"/>
      <c r="W1803" s="6"/>
      <c r="X1803" s="6"/>
      <c r="Y1803" s="6"/>
      <c r="Z1803" s="6"/>
      <c r="AA1803" s="6"/>
      <c r="AB1803" s="6"/>
      <c r="AC1803" s="6"/>
      <c r="AD1803" s="6"/>
      <c r="AE1803" s="6"/>
      <c r="AF1803" s="6"/>
      <c r="AG1803" s="6"/>
    </row>
    <row r="1804" ht="14.25" customHeight="1">
      <c r="A1804" s="6"/>
      <c r="B1804" s="6"/>
      <c r="C1804" s="6">
        <v>1797.0</v>
      </c>
      <c r="D1804" s="6"/>
      <c r="E1804" s="6">
        <v>6937386.60070059</v>
      </c>
      <c r="F1804" s="6">
        <v>476.07336564474815</v>
      </c>
      <c r="G1804" s="6">
        <v>4.205397496829263</v>
      </c>
      <c r="H1804" s="6">
        <v>6881426.771304404</v>
      </c>
      <c r="I1804" s="6">
        <v>473.9233633476956</v>
      </c>
      <c r="J1804" s="6">
        <v>3.4398724988399403</v>
      </c>
      <c r="K1804" s="6"/>
      <c r="L1804" s="6"/>
      <c r="M1804" s="6"/>
      <c r="N1804" s="6">
        <f t="shared" ref="N1804:P1804" si="1807">IF(LEN($C1804)&gt;0,H1804-E1804,"")</f>
        <v>-55959.8294</v>
      </c>
      <c r="O1804" s="6">
        <f t="shared" si="1807"/>
        <v>-2.150002297</v>
      </c>
      <c r="P1804" s="6">
        <f t="shared" si="1807"/>
        <v>-0.765524998</v>
      </c>
      <c r="Q1804" s="6"/>
      <c r="R1804" s="6"/>
      <c r="S1804" s="6"/>
      <c r="T1804" s="6"/>
      <c r="U1804" s="6"/>
      <c r="V1804" s="6"/>
      <c r="W1804" s="6"/>
      <c r="X1804" s="6"/>
      <c r="Y1804" s="6"/>
      <c r="Z1804" s="6"/>
      <c r="AA1804" s="6"/>
      <c r="AB1804" s="6"/>
      <c r="AC1804" s="6"/>
      <c r="AD1804" s="6"/>
      <c r="AE1804" s="6"/>
      <c r="AF1804" s="6"/>
      <c r="AG1804" s="6"/>
    </row>
    <row r="1805" ht="14.25" customHeight="1">
      <c r="A1805" s="6"/>
      <c r="B1805" s="6"/>
      <c r="C1805" s="6">
        <v>1798.0</v>
      </c>
      <c r="D1805" s="6"/>
      <c r="E1805" s="6">
        <v>8554371.314161846</v>
      </c>
      <c r="F1805" s="6">
        <v>482.45101274385087</v>
      </c>
      <c r="G1805" s="6">
        <v>4.785122967760813</v>
      </c>
      <c r="H1805" s="6">
        <v>8460605.173577804</v>
      </c>
      <c r="I1805" s="6">
        <v>478.4555348344883</v>
      </c>
      <c r="J1805" s="6">
        <v>3.646078367157334</v>
      </c>
      <c r="K1805" s="6"/>
      <c r="L1805" s="6"/>
      <c r="M1805" s="6"/>
      <c r="N1805" s="6">
        <f t="shared" ref="N1805:P1805" si="1808">IF(LEN($C1805)&gt;0,H1805-E1805,"")</f>
        <v>-93766.14058</v>
      </c>
      <c r="O1805" s="6">
        <f t="shared" si="1808"/>
        <v>-3.995477909</v>
      </c>
      <c r="P1805" s="6">
        <f t="shared" si="1808"/>
        <v>-1.139044601</v>
      </c>
      <c r="Q1805" s="6"/>
      <c r="R1805" s="6"/>
      <c r="S1805" s="6"/>
      <c r="T1805" s="6"/>
      <c r="U1805" s="6"/>
      <c r="V1805" s="6"/>
      <c r="W1805" s="6"/>
      <c r="X1805" s="6"/>
      <c r="Y1805" s="6"/>
      <c r="Z1805" s="6"/>
      <c r="AA1805" s="6"/>
      <c r="AB1805" s="6"/>
      <c r="AC1805" s="6"/>
      <c r="AD1805" s="6"/>
      <c r="AE1805" s="6"/>
      <c r="AF1805" s="6"/>
      <c r="AG1805" s="6"/>
    </row>
    <row r="1806" ht="14.25" customHeight="1">
      <c r="A1806" s="6"/>
      <c r="B1806" s="6"/>
      <c r="C1806" s="6">
        <v>1799.0</v>
      </c>
      <c r="D1806" s="6"/>
      <c r="E1806" s="6">
        <v>8364883.066334863</v>
      </c>
      <c r="F1806" s="6">
        <v>456.4127767641117</v>
      </c>
      <c r="G1806" s="6">
        <v>4.839354890410146</v>
      </c>
      <c r="H1806" s="6">
        <v>8166645.428243124</v>
      </c>
      <c r="I1806" s="6">
        <v>446.9337298894658</v>
      </c>
      <c r="J1806" s="6">
        <v>3.314172005431306</v>
      </c>
      <c r="K1806" s="6"/>
      <c r="L1806" s="6"/>
      <c r="M1806" s="6"/>
      <c r="N1806" s="6">
        <f t="shared" ref="N1806:P1806" si="1809">IF(LEN($C1806)&gt;0,H1806-E1806,"")</f>
        <v>-198237.6381</v>
      </c>
      <c r="O1806" s="6">
        <f t="shared" si="1809"/>
        <v>-9.479046875</v>
      </c>
      <c r="P1806" s="6">
        <f t="shared" si="1809"/>
        <v>-1.525182885</v>
      </c>
      <c r="Q1806" s="6"/>
      <c r="R1806" s="6"/>
      <c r="S1806" s="6"/>
      <c r="T1806" s="6"/>
      <c r="U1806" s="6"/>
      <c r="V1806" s="6"/>
      <c r="W1806" s="6"/>
      <c r="X1806" s="6"/>
      <c r="Y1806" s="6"/>
      <c r="Z1806" s="6"/>
      <c r="AA1806" s="6"/>
      <c r="AB1806" s="6"/>
      <c r="AC1806" s="6"/>
      <c r="AD1806" s="6"/>
      <c r="AE1806" s="6"/>
      <c r="AF1806" s="6"/>
      <c r="AG1806" s="6"/>
    </row>
    <row r="1807" ht="14.25" customHeight="1">
      <c r="A1807" s="6"/>
      <c r="B1807" s="6"/>
      <c r="C1807" s="6">
        <v>1800.0</v>
      </c>
      <c r="D1807" s="6"/>
      <c r="E1807" s="6">
        <v>6162708.284274788</v>
      </c>
      <c r="F1807" s="6">
        <v>445.01151927982914</v>
      </c>
      <c r="G1807" s="6">
        <v>6.032938714875857</v>
      </c>
      <c r="H1807" s="6">
        <v>6066080.372893652</v>
      </c>
      <c r="I1807" s="6">
        <v>440.355271933067</v>
      </c>
      <c r="J1807" s="6">
        <v>4.44722884786282</v>
      </c>
      <c r="K1807" s="6"/>
      <c r="L1807" s="6"/>
      <c r="M1807" s="6"/>
      <c r="N1807" s="6">
        <f t="shared" ref="N1807:P1807" si="1810">IF(LEN($C1807)&gt;0,H1807-E1807,"")</f>
        <v>-96627.91138</v>
      </c>
      <c r="O1807" s="6">
        <f t="shared" si="1810"/>
        <v>-4.656247347</v>
      </c>
      <c r="P1807" s="6">
        <f t="shared" si="1810"/>
        <v>-1.585709867</v>
      </c>
      <c r="Q1807" s="6"/>
      <c r="R1807" s="6"/>
      <c r="S1807" s="6"/>
      <c r="T1807" s="6"/>
      <c r="U1807" s="6"/>
      <c r="V1807" s="6"/>
      <c r="W1807" s="6"/>
      <c r="X1807" s="6"/>
      <c r="Y1807" s="6"/>
      <c r="Z1807" s="6"/>
      <c r="AA1807" s="6"/>
      <c r="AB1807" s="6"/>
      <c r="AC1807" s="6"/>
      <c r="AD1807" s="6"/>
      <c r="AE1807" s="6"/>
      <c r="AF1807" s="6"/>
      <c r="AG1807" s="6"/>
    </row>
    <row r="1808" ht="14.25" customHeight="1">
      <c r="A1808" s="6"/>
      <c r="B1808" s="6"/>
      <c r="C1808" s="6">
        <v>1801.0</v>
      </c>
      <c r="D1808" s="6"/>
      <c r="E1808" s="6">
        <v>7797062.04510437</v>
      </c>
      <c r="F1808" s="6">
        <v>457.8312568907824</v>
      </c>
      <c r="G1808" s="6">
        <v>6.107810279424035</v>
      </c>
      <c r="H1808" s="6">
        <v>7693058.277954523</v>
      </c>
      <c r="I1808" s="6">
        <v>454.93731309876637</v>
      </c>
      <c r="J1808" s="6">
        <v>4.561843139572276</v>
      </c>
      <c r="K1808" s="6"/>
      <c r="L1808" s="6"/>
      <c r="M1808" s="6"/>
      <c r="N1808" s="6">
        <f t="shared" ref="N1808:P1808" si="1811">IF(LEN($C1808)&gt;0,H1808-E1808,"")</f>
        <v>-104003.7671</v>
      </c>
      <c r="O1808" s="6">
        <f t="shared" si="1811"/>
        <v>-2.893943792</v>
      </c>
      <c r="P1808" s="6">
        <f t="shared" si="1811"/>
        <v>-1.54596714</v>
      </c>
      <c r="Q1808" s="6"/>
      <c r="R1808" s="6"/>
      <c r="S1808" s="6"/>
      <c r="T1808" s="6"/>
      <c r="U1808" s="6"/>
      <c r="V1808" s="6"/>
      <c r="W1808" s="6"/>
      <c r="X1808" s="6"/>
      <c r="Y1808" s="6"/>
      <c r="Z1808" s="6"/>
      <c r="AA1808" s="6"/>
      <c r="AB1808" s="6"/>
      <c r="AC1808" s="6"/>
      <c r="AD1808" s="6"/>
      <c r="AE1808" s="6"/>
      <c r="AF1808" s="6"/>
      <c r="AG1808" s="6"/>
    </row>
    <row r="1809" ht="14.25" customHeight="1">
      <c r="A1809" s="6"/>
      <c r="B1809" s="6"/>
      <c r="C1809" s="6">
        <v>1802.0</v>
      </c>
      <c r="D1809" s="6"/>
      <c r="E1809" s="6">
        <v>8448474.486230303</v>
      </c>
      <c r="F1809" s="6">
        <v>484.56523297913253</v>
      </c>
      <c r="G1809" s="6">
        <v>5.533114464181105</v>
      </c>
      <c r="H1809" s="6">
        <v>8279586.881277713</v>
      </c>
      <c r="I1809" s="6">
        <v>477.39534266331407</v>
      </c>
      <c r="J1809" s="6">
        <v>3.9808058263380888</v>
      </c>
      <c r="K1809" s="6"/>
      <c r="L1809" s="6"/>
      <c r="M1809" s="6"/>
      <c r="N1809" s="6">
        <f t="shared" ref="N1809:P1809" si="1812">IF(LEN($C1809)&gt;0,H1809-E1809,"")</f>
        <v>-168887.605</v>
      </c>
      <c r="O1809" s="6">
        <f t="shared" si="1812"/>
        <v>-7.169890316</v>
      </c>
      <c r="P1809" s="6">
        <f t="shared" si="1812"/>
        <v>-1.552308638</v>
      </c>
      <c r="Q1809" s="6"/>
      <c r="R1809" s="6"/>
      <c r="S1809" s="6"/>
      <c r="T1809" s="6"/>
      <c r="U1809" s="6"/>
      <c r="V1809" s="6"/>
      <c r="W1809" s="6"/>
      <c r="X1809" s="6"/>
      <c r="Y1809" s="6"/>
      <c r="Z1809" s="6"/>
      <c r="AA1809" s="6"/>
      <c r="AB1809" s="6"/>
      <c r="AC1809" s="6"/>
      <c r="AD1809" s="6"/>
      <c r="AE1809" s="6"/>
      <c r="AF1809" s="6"/>
      <c r="AG1809" s="6"/>
    </row>
    <row r="1810" ht="14.25" customHeight="1">
      <c r="A1810" s="6"/>
      <c r="B1810" s="6"/>
      <c r="C1810" s="6">
        <v>1803.0</v>
      </c>
      <c r="D1810" s="6"/>
      <c r="E1810" s="6">
        <v>7384823.703233664</v>
      </c>
      <c r="F1810" s="6">
        <v>477.2678897327839</v>
      </c>
      <c r="G1810" s="6">
        <v>5.439156293107239</v>
      </c>
      <c r="H1810" s="6">
        <v>7157617.122156092</v>
      </c>
      <c r="I1810" s="6">
        <v>469.30852478703366</v>
      </c>
      <c r="J1810" s="6">
        <v>3.7032762140119115</v>
      </c>
      <c r="K1810" s="6"/>
      <c r="L1810" s="6"/>
      <c r="M1810" s="6"/>
      <c r="N1810" s="6">
        <f t="shared" ref="N1810:P1810" si="1813">IF(LEN($C1810)&gt;0,H1810-E1810,"")</f>
        <v>-227206.5811</v>
      </c>
      <c r="O1810" s="6">
        <f t="shared" si="1813"/>
        <v>-7.959364946</v>
      </c>
      <c r="P1810" s="6">
        <f t="shared" si="1813"/>
        <v>-1.735880079</v>
      </c>
      <c r="Q1810" s="6"/>
      <c r="R1810" s="6"/>
      <c r="S1810" s="6"/>
      <c r="T1810" s="6"/>
      <c r="U1810" s="6"/>
      <c r="V1810" s="6"/>
      <c r="W1810" s="6"/>
      <c r="X1810" s="6"/>
      <c r="Y1810" s="6"/>
      <c r="Z1810" s="6"/>
      <c r="AA1810" s="6"/>
      <c r="AB1810" s="6"/>
      <c r="AC1810" s="6"/>
      <c r="AD1810" s="6"/>
      <c r="AE1810" s="6"/>
      <c r="AF1810" s="6"/>
      <c r="AG1810" s="6"/>
    </row>
    <row r="1811" ht="14.25" customHeight="1">
      <c r="A1811" s="6"/>
      <c r="B1811" s="6"/>
      <c r="C1811" s="6">
        <v>1804.0</v>
      </c>
      <c r="D1811" s="6"/>
      <c r="E1811" s="6">
        <v>6015774.443275631</v>
      </c>
      <c r="F1811" s="6">
        <v>480.7534034580284</v>
      </c>
      <c r="G1811" s="6">
        <v>5.305592166975733</v>
      </c>
      <c r="H1811" s="6">
        <v>5968124.436340489</v>
      </c>
      <c r="I1811" s="6">
        <v>478.85430307218763</v>
      </c>
      <c r="J1811" s="6">
        <v>4.318749077440625</v>
      </c>
      <c r="K1811" s="6"/>
      <c r="L1811" s="6"/>
      <c r="M1811" s="6"/>
      <c r="N1811" s="6">
        <f t="shared" ref="N1811:P1811" si="1814">IF(LEN($C1811)&gt;0,H1811-E1811,"")</f>
        <v>-47650.00694</v>
      </c>
      <c r="O1811" s="6">
        <f t="shared" si="1814"/>
        <v>-1.899100386</v>
      </c>
      <c r="P1811" s="6">
        <f t="shared" si="1814"/>
        <v>-0.9868430895</v>
      </c>
      <c r="Q1811" s="6"/>
      <c r="R1811" s="6"/>
      <c r="S1811" s="6"/>
      <c r="T1811" s="6"/>
      <c r="U1811" s="6"/>
      <c r="V1811" s="6"/>
      <c r="W1811" s="6"/>
      <c r="X1811" s="6"/>
      <c r="Y1811" s="6"/>
      <c r="Z1811" s="6"/>
      <c r="AA1811" s="6"/>
      <c r="AB1811" s="6"/>
      <c r="AC1811" s="6"/>
      <c r="AD1811" s="6"/>
      <c r="AE1811" s="6"/>
      <c r="AF1811" s="6"/>
      <c r="AG1811" s="6"/>
    </row>
    <row r="1812" ht="14.25" customHeight="1">
      <c r="A1812" s="6"/>
      <c r="B1812" s="6"/>
      <c r="C1812" s="6">
        <v>1805.0</v>
      </c>
      <c r="D1812" s="6"/>
      <c r="E1812" s="6">
        <v>6074175.434003594</v>
      </c>
      <c r="F1812" s="6">
        <v>474.4747708005864</v>
      </c>
      <c r="G1812" s="6">
        <v>5.730333011381989</v>
      </c>
      <c r="H1812" s="6">
        <v>6020248.531111605</v>
      </c>
      <c r="I1812" s="6">
        <v>472.2993734361864</v>
      </c>
      <c r="J1812" s="6">
        <v>4.767431133750643</v>
      </c>
      <c r="K1812" s="6"/>
      <c r="L1812" s="6"/>
      <c r="M1812" s="6"/>
      <c r="N1812" s="6">
        <f t="shared" ref="N1812:P1812" si="1815">IF(LEN($C1812)&gt;0,H1812-E1812,"")</f>
        <v>-53926.90289</v>
      </c>
      <c r="O1812" s="6">
        <f t="shared" si="1815"/>
        <v>-2.175397364</v>
      </c>
      <c r="P1812" s="6">
        <f t="shared" si="1815"/>
        <v>-0.9629018776</v>
      </c>
      <c r="Q1812" s="6"/>
      <c r="R1812" s="6"/>
      <c r="S1812" s="6"/>
      <c r="T1812" s="6"/>
      <c r="U1812" s="6"/>
      <c r="V1812" s="6"/>
      <c r="W1812" s="6"/>
      <c r="X1812" s="6"/>
      <c r="Y1812" s="6"/>
      <c r="Z1812" s="6"/>
      <c r="AA1812" s="6"/>
      <c r="AB1812" s="6"/>
      <c r="AC1812" s="6"/>
      <c r="AD1812" s="6"/>
      <c r="AE1812" s="6"/>
      <c r="AF1812" s="6"/>
      <c r="AG1812" s="6"/>
    </row>
    <row r="1813" ht="14.25" customHeight="1">
      <c r="A1813" s="6"/>
      <c r="B1813" s="6"/>
      <c r="C1813" s="6">
        <v>1806.0</v>
      </c>
      <c r="D1813" s="6"/>
      <c r="E1813" s="6">
        <v>6067722.289471802</v>
      </c>
      <c r="F1813" s="6">
        <v>465.37175208624353</v>
      </c>
      <c r="G1813" s="6">
        <v>4.6932213301673364</v>
      </c>
      <c r="H1813" s="6">
        <v>5994653.203434408</v>
      </c>
      <c r="I1813" s="6">
        <v>462.20334453958196</v>
      </c>
      <c r="J1813" s="6">
        <v>3.157431139536355</v>
      </c>
      <c r="K1813" s="6"/>
      <c r="L1813" s="6"/>
      <c r="M1813" s="6"/>
      <c r="N1813" s="6">
        <f t="shared" ref="N1813:P1813" si="1816">IF(LEN($C1813)&gt;0,H1813-E1813,"")</f>
        <v>-73069.08604</v>
      </c>
      <c r="O1813" s="6">
        <f t="shared" si="1816"/>
        <v>-3.168407547</v>
      </c>
      <c r="P1813" s="6">
        <f t="shared" si="1816"/>
        <v>-1.535790191</v>
      </c>
      <c r="Q1813" s="6"/>
      <c r="R1813" s="6"/>
      <c r="S1813" s="6"/>
      <c r="T1813" s="6"/>
      <c r="U1813" s="6"/>
      <c r="V1813" s="6"/>
      <c r="W1813" s="6"/>
      <c r="X1813" s="6"/>
      <c r="Y1813" s="6"/>
      <c r="Z1813" s="6"/>
      <c r="AA1813" s="6"/>
      <c r="AB1813" s="6"/>
      <c r="AC1813" s="6"/>
      <c r="AD1813" s="6"/>
      <c r="AE1813" s="6"/>
      <c r="AF1813" s="6"/>
      <c r="AG1813" s="6"/>
    </row>
    <row r="1814" ht="14.25" customHeight="1">
      <c r="A1814" s="6"/>
      <c r="B1814" s="6"/>
      <c r="C1814" s="6">
        <v>1807.0</v>
      </c>
      <c r="D1814" s="6"/>
      <c r="E1814" s="6">
        <v>7729780.511868703</v>
      </c>
      <c r="F1814" s="6">
        <v>451.9227638629535</v>
      </c>
      <c r="G1814" s="6">
        <v>4.790316540830544</v>
      </c>
      <c r="H1814" s="6">
        <v>7531757.906410663</v>
      </c>
      <c r="I1814" s="6">
        <v>443.3318935311082</v>
      </c>
      <c r="J1814" s="6">
        <v>2.985902302232591</v>
      </c>
      <c r="K1814" s="6"/>
      <c r="L1814" s="6"/>
      <c r="M1814" s="6"/>
      <c r="N1814" s="6">
        <f t="shared" ref="N1814:P1814" si="1817">IF(LEN($C1814)&gt;0,H1814-E1814,"")</f>
        <v>-198022.6055</v>
      </c>
      <c r="O1814" s="6">
        <f t="shared" si="1817"/>
        <v>-8.590870332</v>
      </c>
      <c r="P1814" s="6">
        <f t="shared" si="1817"/>
        <v>-1.804414239</v>
      </c>
      <c r="Q1814" s="6"/>
      <c r="R1814" s="6"/>
      <c r="S1814" s="6"/>
      <c r="T1814" s="6"/>
      <c r="U1814" s="6"/>
      <c r="V1814" s="6"/>
      <c r="W1814" s="6"/>
      <c r="X1814" s="6"/>
      <c r="Y1814" s="6"/>
      <c r="Z1814" s="6"/>
      <c r="AA1814" s="6"/>
      <c r="AB1814" s="6"/>
      <c r="AC1814" s="6"/>
      <c r="AD1814" s="6"/>
      <c r="AE1814" s="6"/>
      <c r="AF1814" s="6"/>
      <c r="AG1814" s="6"/>
    </row>
    <row r="1815" ht="14.25" customHeight="1">
      <c r="A1815" s="6"/>
      <c r="B1815" s="6"/>
      <c r="C1815" s="6">
        <v>1808.0</v>
      </c>
      <c r="D1815" s="6"/>
      <c r="E1815" s="6">
        <v>5778029.190774153</v>
      </c>
      <c r="F1815" s="6">
        <v>496.58565850779866</v>
      </c>
      <c r="G1815" s="6">
        <v>6.020665193875551</v>
      </c>
      <c r="H1815" s="6">
        <v>5687484.947893388</v>
      </c>
      <c r="I1815" s="6">
        <v>491.00694871904744</v>
      </c>
      <c r="J1815" s="6">
        <v>4.2384216640781665</v>
      </c>
      <c r="K1815" s="6"/>
      <c r="L1815" s="6"/>
      <c r="M1815" s="6"/>
      <c r="N1815" s="6">
        <f t="shared" ref="N1815:P1815" si="1818">IF(LEN($C1815)&gt;0,H1815-E1815,"")</f>
        <v>-90544.24288</v>
      </c>
      <c r="O1815" s="6">
        <f t="shared" si="1818"/>
        <v>-5.578709789</v>
      </c>
      <c r="P1815" s="6">
        <f t="shared" si="1818"/>
        <v>-1.78224353</v>
      </c>
      <c r="Q1815" s="6"/>
      <c r="R1815" s="6"/>
      <c r="S1815" s="6"/>
      <c r="T1815" s="6"/>
      <c r="U1815" s="6"/>
      <c r="V1815" s="6"/>
      <c r="W1815" s="6"/>
      <c r="X1815" s="6"/>
      <c r="Y1815" s="6"/>
      <c r="Z1815" s="6"/>
      <c r="AA1815" s="6"/>
      <c r="AB1815" s="6"/>
      <c r="AC1815" s="6"/>
      <c r="AD1815" s="6"/>
      <c r="AE1815" s="6"/>
      <c r="AF1815" s="6"/>
      <c r="AG1815" s="6"/>
    </row>
    <row r="1816" ht="14.25" customHeight="1">
      <c r="A1816" s="6"/>
      <c r="B1816" s="6"/>
      <c r="C1816" s="6">
        <v>1809.0</v>
      </c>
      <c r="D1816" s="6"/>
      <c r="E1816" s="6">
        <v>8556213.817036437</v>
      </c>
      <c r="F1816" s="6">
        <v>463.564039749465</v>
      </c>
      <c r="G1816" s="6">
        <v>4.744679006279766</v>
      </c>
      <c r="H1816" s="6">
        <v>8385921.57672153</v>
      </c>
      <c r="I1816" s="6">
        <v>455.08409937991365</v>
      </c>
      <c r="J1816" s="6">
        <v>3.464227529301932</v>
      </c>
      <c r="K1816" s="6"/>
      <c r="L1816" s="6"/>
      <c r="M1816" s="6"/>
      <c r="N1816" s="6">
        <f t="shared" ref="N1816:P1816" si="1819">IF(LEN($C1816)&gt;0,H1816-E1816,"")</f>
        <v>-170292.2403</v>
      </c>
      <c r="O1816" s="6">
        <f t="shared" si="1819"/>
        <v>-8.47994037</v>
      </c>
      <c r="P1816" s="6">
        <f t="shared" si="1819"/>
        <v>-1.280451477</v>
      </c>
      <c r="Q1816" s="6"/>
      <c r="R1816" s="6"/>
      <c r="S1816" s="6"/>
      <c r="T1816" s="6"/>
      <c r="U1816" s="6"/>
      <c r="V1816" s="6"/>
      <c r="W1816" s="6"/>
      <c r="X1816" s="6"/>
      <c r="Y1816" s="6"/>
      <c r="Z1816" s="6"/>
      <c r="AA1816" s="6"/>
      <c r="AB1816" s="6"/>
      <c r="AC1816" s="6"/>
      <c r="AD1816" s="6"/>
      <c r="AE1816" s="6"/>
      <c r="AF1816" s="6"/>
      <c r="AG1816" s="6"/>
    </row>
    <row r="1817" ht="14.25" customHeight="1">
      <c r="A1817" s="6"/>
      <c r="B1817" s="6"/>
      <c r="C1817" s="6">
        <v>1810.0</v>
      </c>
      <c r="D1817" s="6"/>
      <c r="E1817" s="6">
        <v>7080622.536282497</v>
      </c>
      <c r="F1817" s="6">
        <v>443.4653946084434</v>
      </c>
      <c r="G1817" s="6">
        <v>4.924123307536326</v>
      </c>
      <c r="H1817" s="6">
        <v>6993577.309748105</v>
      </c>
      <c r="I1817" s="6">
        <v>439.6360930053692</v>
      </c>
      <c r="J1817" s="6">
        <v>4.112493777684367</v>
      </c>
      <c r="K1817" s="6"/>
      <c r="L1817" s="6"/>
      <c r="M1817" s="6"/>
      <c r="N1817" s="6">
        <f t="shared" ref="N1817:P1817" si="1820">IF(LEN($C1817)&gt;0,H1817-E1817,"")</f>
        <v>-87045.22653</v>
      </c>
      <c r="O1817" s="6">
        <f t="shared" si="1820"/>
        <v>-3.829301603</v>
      </c>
      <c r="P1817" s="6">
        <f t="shared" si="1820"/>
        <v>-0.8116295299</v>
      </c>
      <c r="Q1817" s="6"/>
      <c r="R1817" s="6"/>
      <c r="S1817" s="6"/>
      <c r="T1817" s="6"/>
      <c r="U1817" s="6"/>
      <c r="V1817" s="6"/>
      <c r="W1817" s="6"/>
      <c r="X1817" s="6"/>
      <c r="Y1817" s="6"/>
      <c r="Z1817" s="6"/>
      <c r="AA1817" s="6"/>
      <c r="AB1817" s="6"/>
      <c r="AC1817" s="6"/>
      <c r="AD1817" s="6"/>
      <c r="AE1817" s="6"/>
      <c r="AF1817" s="6"/>
      <c r="AG1817" s="6"/>
    </row>
    <row r="1818" ht="14.25" customHeight="1">
      <c r="A1818" s="6"/>
      <c r="B1818" s="6"/>
      <c r="C1818" s="6">
        <v>1811.0</v>
      </c>
      <c r="D1818" s="6"/>
      <c r="E1818" s="6">
        <v>9843148.216724398</v>
      </c>
      <c r="F1818" s="6">
        <v>483.895799475316</v>
      </c>
      <c r="G1818" s="6">
        <v>4.543974870234594</v>
      </c>
      <c r="H1818" s="6">
        <v>9739626.513670878</v>
      </c>
      <c r="I1818" s="6">
        <v>480.0256538870529</v>
      </c>
      <c r="J1818" s="6">
        <v>3.23838495192254</v>
      </c>
      <c r="K1818" s="6"/>
      <c r="L1818" s="6"/>
      <c r="M1818" s="6"/>
      <c r="N1818" s="6">
        <f t="shared" ref="N1818:P1818" si="1821">IF(LEN($C1818)&gt;0,H1818-E1818,"")</f>
        <v>-103521.7031</v>
      </c>
      <c r="O1818" s="6">
        <f t="shared" si="1821"/>
        <v>-3.870145588</v>
      </c>
      <c r="P1818" s="6">
        <f t="shared" si="1821"/>
        <v>-1.305589918</v>
      </c>
      <c r="Q1818" s="6"/>
      <c r="R1818" s="6"/>
      <c r="S1818" s="6"/>
      <c r="T1818" s="6"/>
      <c r="U1818" s="6"/>
      <c r="V1818" s="6"/>
      <c r="W1818" s="6"/>
      <c r="X1818" s="6"/>
      <c r="Y1818" s="6"/>
      <c r="Z1818" s="6"/>
      <c r="AA1818" s="6"/>
      <c r="AB1818" s="6"/>
      <c r="AC1818" s="6"/>
      <c r="AD1818" s="6"/>
      <c r="AE1818" s="6"/>
      <c r="AF1818" s="6"/>
      <c r="AG1818" s="6"/>
    </row>
    <row r="1819" ht="14.25" customHeight="1">
      <c r="A1819" s="6"/>
      <c r="B1819" s="6"/>
      <c r="C1819" s="6">
        <v>1812.0</v>
      </c>
      <c r="D1819" s="6"/>
      <c r="E1819" s="6">
        <v>5936512.936890393</v>
      </c>
      <c r="F1819" s="6">
        <v>452.39346032669107</v>
      </c>
      <c r="G1819" s="6">
        <v>5.671590777566578</v>
      </c>
      <c r="H1819" s="6">
        <v>5845601.165548692</v>
      </c>
      <c r="I1819" s="6">
        <v>448.144329150252</v>
      </c>
      <c r="J1819" s="6">
        <v>4.461163033225205</v>
      </c>
      <c r="K1819" s="6"/>
      <c r="L1819" s="6"/>
      <c r="M1819" s="6"/>
      <c r="N1819" s="6">
        <f t="shared" ref="N1819:P1819" si="1822">IF(LEN($C1819)&gt;0,H1819-E1819,"")</f>
        <v>-90911.77134</v>
      </c>
      <c r="O1819" s="6">
        <f t="shared" si="1822"/>
        <v>-4.249131176</v>
      </c>
      <c r="P1819" s="6">
        <f t="shared" si="1822"/>
        <v>-1.210427744</v>
      </c>
      <c r="Q1819" s="6"/>
      <c r="R1819" s="6"/>
      <c r="S1819" s="6"/>
      <c r="T1819" s="6"/>
      <c r="U1819" s="6"/>
      <c r="V1819" s="6"/>
      <c r="W1819" s="6"/>
      <c r="X1819" s="6"/>
      <c r="Y1819" s="6"/>
      <c r="Z1819" s="6"/>
      <c r="AA1819" s="6"/>
      <c r="AB1819" s="6"/>
      <c r="AC1819" s="6"/>
      <c r="AD1819" s="6"/>
      <c r="AE1819" s="6"/>
      <c r="AF1819" s="6"/>
      <c r="AG1819" s="6"/>
    </row>
    <row r="1820" ht="14.25" customHeight="1">
      <c r="A1820" s="6"/>
      <c r="B1820" s="6"/>
      <c r="C1820" s="6">
        <v>1813.0</v>
      </c>
      <c r="D1820" s="6"/>
      <c r="E1820" s="6">
        <v>7264687.099015638</v>
      </c>
      <c r="F1820" s="6">
        <v>467.6851126751229</v>
      </c>
      <c r="G1820" s="6">
        <v>4.416773310983165</v>
      </c>
      <c r="H1820" s="6">
        <v>7171502.258522309</v>
      </c>
      <c r="I1820" s="6">
        <v>462.3975767605815</v>
      </c>
      <c r="J1820" s="6">
        <v>3.425773819799408</v>
      </c>
      <c r="K1820" s="6"/>
      <c r="L1820" s="6"/>
      <c r="M1820" s="6"/>
      <c r="N1820" s="6">
        <f t="shared" ref="N1820:P1820" si="1823">IF(LEN($C1820)&gt;0,H1820-E1820,"")</f>
        <v>-93184.84049</v>
      </c>
      <c r="O1820" s="6">
        <f t="shared" si="1823"/>
        <v>-5.287535915</v>
      </c>
      <c r="P1820" s="6">
        <f t="shared" si="1823"/>
        <v>-0.9909994912</v>
      </c>
      <c r="Q1820" s="6"/>
      <c r="R1820" s="6"/>
      <c r="S1820" s="6"/>
      <c r="T1820" s="6"/>
      <c r="U1820" s="6"/>
      <c r="V1820" s="6"/>
      <c r="W1820" s="6"/>
      <c r="X1820" s="6"/>
      <c r="Y1820" s="6"/>
      <c r="Z1820" s="6"/>
      <c r="AA1820" s="6"/>
      <c r="AB1820" s="6"/>
      <c r="AC1820" s="6"/>
      <c r="AD1820" s="6"/>
      <c r="AE1820" s="6"/>
      <c r="AF1820" s="6"/>
      <c r="AG1820" s="6"/>
    </row>
    <row r="1821" ht="14.25" customHeight="1">
      <c r="A1821" s="6"/>
      <c r="B1821" s="6"/>
      <c r="C1821" s="6">
        <v>1814.0</v>
      </c>
      <c r="D1821" s="6"/>
      <c r="E1821" s="6">
        <v>7056462.602748742</v>
      </c>
      <c r="F1821" s="6">
        <v>464.1634732929118</v>
      </c>
      <c r="G1821" s="6">
        <v>4.727320875864025</v>
      </c>
      <c r="H1821" s="6">
        <v>7002586.347667247</v>
      </c>
      <c r="I1821" s="6">
        <v>461.2545448205187</v>
      </c>
      <c r="J1821" s="6">
        <v>3.993833070223132</v>
      </c>
      <c r="K1821" s="6"/>
      <c r="L1821" s="6"/>
      <c r="M1821" s="6"/>
      <c r="N1821" s="6">
        <f t="shared" ref="N1821:P1821" si="1824">IF(LEN($C1821)&gt;0,H1821-E1821,"")</f>
        <v>-53876.25508</v>
      </c>
      <c r="O1821" s="6">
        <f t="shared" si="1824"/>
        <v>-2.908928472</v>
      </c>
      <c r="P1821" s="6">
        <f t="shared" si="1824"/>
        <v>-0.7334878056</v>
      </c>
      <c r="Q1821" s="6"/>
      <c r="R1821" s="6"/>
      <c r="S1821" s="6"/>
      <c r="T1821" s="6"/>
      <c r="U1821" s="6"/>
      <c r="V1821" s="6"/>
      <c r="W1821" s="6"/>
      <c r="X1821" s="6"/>
      <c r="Y1821" s="6"/>
      <c r="Z1821" s="6"/>
      <c r="AA1821" s="6"/>
      <c r="AB1821" s="6"/>
      <c r="AC1821" s="6"/>
      <c r="AD1821" s="6"/>
      <c r="AE1821" s="6"/>
      <c r="AF1821" s="6"/>
      <c r="AG1821" s="6"/>
    </row>
    <row r="1822" ht="14.25" customHeight="1">
      <c r="A1822" s="6"/>
      <c r="B1822" s="6"/>
      <c r="C1822" s="6">
        <v>1815.0</v>
      </c>
      <c r="D1822" s="6"/>
      <c r="E1822" s="6">
        <v>5474046.461312208</v>
      </c>
      <c r="F1822" s="6">
        <v>458.8335899394859</v>
      </c>
      <c r="G1822" s="6">
        <v>4.968620009829779</v>
      </c>
      <c r="H1822" s="6">
        <v>5369945.19522399</v>
      </c>
      <c r="I1822" s="6">
        <v>453.25303942275275</v>
      </c>
      <c r="J1822" s="6">
        <v>3.9725695142455097</v>
      </c>
      <c r="K1822" s="6"/>
      <c r="L1822" s="6"/>
      <c r="M1822" s="6"/>
      <c r="N1822" s="6">
        <f t="shared" ref="N1822:P1822" si="1825">IF(LEN($C1822)&gt;0,H1822-E1822,"")</f>
        <v>-104101.2661</v>
      </c>
      <c r="O1822" s="6">
        <f t="shared" si="1825"/>
        <v>-5.580550517</v>
      </c>
      <c r="P1822" s="6">
        <f t="shared" si="1825"/>
        <v>-0.9960504956</v>
      </c>
      <c r="Q1822" s="6"/>
      <c r="R1822" s="6"/>
      <c r="S1822" s="6"/>
      <c r="T1822" s="6"/>
      <c r="U1822" s="6"/>
      <c r="V1822" s="6"/>
      <c r="W1822" s="6"/>
      <c r="X1822" s="6"/>
      <c r="Y1822" s="6"/>
      <c r="Z1822" s="6"/>
      <c r="AA1822" s="6"/>
      <c r="AB1822" s="6"/>
      <c r="AC1822" s="6"/>
      <c r="AD1822" s="6"/>
      <c r="AE1822" s="6"/>
      <c r="AF1822" s="6"/>
      <c r="AG1822" s="6"/>
    </row>
    <row r="1823" ht="14.25" customHeight="1">
      <c r="A1823" s="6"/>
      <c r="B1823" s="6"/>
      <c r="C1823" s="6">
        <v>1816.0</v>
      </c>
      <c r="D1823" s="6"/>
      <c r="E1823" s="6">
        <v>6739476.203461448</v>
      </c>
      <c r="F1823" s="6">
        <v>438.2754560937263</v>
      </c>
      <c r="G1823" s="6">
        <v>6.0840904333253345</v>
      </c>
      <c r="H1823" s="6">
        <v>6654408.222881699</v>
      </c>
      <c r="I1823" s="6">
        <v>435.51998022590806</v>
      </c>
      <c r="J1823" s="6">
        <v>4.685899264895752</v>
      </c>
      <c r="K1823" s="6"/>
      <c r="L1823" s="6"/>
      <c r="M1823" s="6"/>
      <c r="N1823" s="6">
        <f t="shared" ref="N1823:P1823" si="1826">IF(LEN($C1823)&gt;0,H1823-E1823,"")</f>
        <v>-85067.98058</v>
      </c>
      <c r="O1823" s="6">
        <f t="shared" si="1826"/>
        <v>-2.755475868</v>
      </c>
      <c r="P1823" s="6">
        <f t="shared" si="1826"/>
        <v>-1.398191168</v>
      </c>
      <c r="Q1823" s="6"/>
      <c r="R1823" s="6"/>
      <c r="S1823" s="6"/>
      <c r="T1823" s="6"/>
      <c r="U1823" s="6"/>
      <c r="V1823" s="6"/>
      <c r="W1823" s="6"/>
      <c r="X1823" s="6"/>
      <c r="Y1823" s="6"/>
      <c r="Z1823" s="6"/>
      <c r="AA1823" s="6"/>
      <c r="AB1823" s="6"/>
      <c r="AC1823" s="6"/>
      <c r="AD1823" s="6"/>
      <c r="AE1823" s="6"/>
      <c r="AF1823" s="6"/>
      <c r="AG1823" s="6"/>
    </row>
    <row r="1824" ht="14.25" customHeight="1">
      <c r="A1824" s="6"/>
      <c r="B1824" s="6"/>
      <c r="C1824" s="6">
        <v>1817.0</v>
      </c>
      <c r="D1824" s="6"/>
      <c r="E1824" s="6">
        <v>5148149.395059201</v>
      </c>
      <c r="F1824" s="6">
        <v>469.0176652674435</v>
      </c>
      <c r="G1824" s="6">
        <v>4.056754456148782</v>
      </c>
      <c r="H1824" s="6">
        <v>5069633.81099786</v>
      </c>
      <c r="I1824" s="6">
        <v>465.3647532481563</v>
      </c>
      <c r="J1824" s="6">
        <v>3.116844874557361</v>
      </c>
      <c r="K1824" s="6"/>
      <c r="L1824" s="6"/>
      <c r="M1824" s="6"/>
      <c r="N1824" s="6">
        <f t="shared" ref="N1824:P1824" si="1827">IF(LEN($C1824)&gt;0,H1824-E1824,"")</f>
        <v>-78515.58406</v>
      </c>
      <c r="O1824" s="6">
        <f t="shared" si="1827"/>
        <v>-3.652912019</v>
      </c>
      <c r="P1824" s="6">
        <f t="shared" si="1827"/>
        <v>-0.9399095816</v>
      </c>
      <c r="Q1824" s="6"/>
      <c r="R1824" s="6"/>
      <c r="S1824" s="6"/>
      <c r="T1824" s="6"/>
      <c r="U1824" s="6"/>
      <c r="V1824" s="6"/>
      <c r="W1824" s="6"/>
      <c r="X1824" s="6"/>
      <c r="Y1824" s="6"/>
      <c r="Z1824" s="6"/>
      <c r="AA1824" s="6"/>
      <c r="AB1824" s="6"/>
      <c r="AC1824" s="6"/>
      <c r="AD1824" s="6"/>
      <c r="AE1824" s="6"/>
      <c r="AF1824" s="6"/>
      <c r="AG1824" s="6"/>
    </row>
    <row r="1825" ht="14.25" customHeight="1">
      <c r="A1825" s="6"/>
      <c r="B1825" s="6"/>
      <c r="C1825" s="6">
        <v>1818.0</v>
      </c>
      <c r="D1825" s="6"/>
      <c r="E1825" s="6">
        <v>8519000.607321007</v>
      </c>
      <c r="F1825" s="6">
        <v>459.1420780668513</v>
      </c>
      <c r="G1825" s="6">
        <v>4.213030832954615</v>
      </c>
      <c r="H1825" s="6">
        <v>8414998.463902505</v>
      </c>
      <c r="I1825" s="6">
        <v>455.9866097623353</v>
      </c>
      <c r="J1825" s="6">
        <v>3.2325709595831524</v>
      </c>
      <c r="K1825" s="6"/>
      <c r="L1825" s="6"/>
      <c r="M1825" s="6"/>
      <c r="N1825" s="6">
        <f t="shared" ref="N1825:P1825" si="1828">IF(LEN($C1825)&gt;0,H1825-E1825,"")</f>
        <v>-104002.1434</v>
      </c>
      <c r="O1825" s="6">
        <f t="shared" si="1828"/>
        <v>-3.155468305</v>
      </c>
      <c r="P1825" s="6">
        <f t="shared" si="1828"/>
        <v>-0.9804598734</v>
      </c>
      <c r="Q1825" s="6"/>
      <c r="R1825" s="6"/>
      <c r="S1825" s="6"/>
      <c r="T1825" s="6"/>
      <c r="U1825" s="6"/>
      <c r="V1825" s="6"/>
      <c r="W1825" s="6"/>
      <c r="X1825" s="6"/>
      <c r="Y1825" s="6"/>
      <c r="Z1825" s="6"/>
      <c r="AA1825" s="6"/>
      <c r="AB1825" s="6"/>
      <c r="AC1825" s="6"/>
      <c r="AD1825" s="6"/>
      <c r="AE1825" s="6"/>
      <c r="AF1825" s="6"/>
      <c r="AG1825" s="6"/>
    </row>
    <row r="1826" ht="14.25" customHeight="1">
      <c r="A1826" s="6"/>
      <c r="B1826" s="6"/>
      <c r="C1826" s="6">
        <v>1819.0</v>
      </c>
      <c r="D1826" s="6"/>
      <c r="E1826" s="6">
        <v>6894090.627737882</v>
      </c>
      <c r="F1826" s="6">
        <v>479.07372208533997</v>
      </c>
      <c r="G1826" s="6">
        <v>3.851334486150094</v>
      </c>
      <c r="H1826" s="6">
        <v>6835695.161206172</v>
      </c>
      <c r="I1826" s="6">
        <v>476.81471209491224</v>
      </c>
      <c r="J1826" s="6">
        <v>2.871141815507274</v>
      </c>
      <c r="K1826" s="6"/>
      <c r="L1826" s="6"/>
      <c r="M1826" s="6"/>
      <c r="N1826" s="6">
        <f t="shared" ref="N1826:P1826" si="1829">IF(LEN($C1826)&gt;0,H1826-E1826,"")</f>
        <v>-58395.46653</v>
      </c>
      <c r="O1826" s="6">
        <f t="shared" si="1829"/>
        <v>-2.25900999</v>
      </c>
      <c r="P1826" s="6">
        <f t="shared" si="1829"/>
        <v>-0.9801926706</v>
      </c>
      <c r="Q1826" s="6"/>
      <c r="R1826" s="6"/>
      <c r="S1826" s="6"/>
      <c r="T1826" s="6"/>
      <c r="U1826" s="6"/>
      <c r="V1826" s="6"/>
      <c r="W1826" s="6"/>
      <c r="X1826" s="6"/>
      <c r="Y1826" s="6"/>
      <c r="Z1826" s="6"/>
      <c r="AA1826" s="6"/>
      <c r="AB1826" s="6"/>
      <c r="AC1826" s="6"/>
      <c r="AD1826" s="6"/>
      <c r="AE1826" s="6"/>
      <c r="AF1826" s="6"/>
      <c r="AG1826" s="6"/>
    </row>
    <row r="1827" ht="14.25" customHeight="1">
      <c r="A1827" s="6"/>
      <c r="B1827" s="6"/>
      <c r="C1827" s="6">
        <v>1820.0</v>
      </c>
      <c r="D1827" s="6"/>
      <c r="E1827" s="6">
        <v>8099322.994720391</v>
      </c>
      <c r="F1827" s="6">
        <v>469.14605614557365</v>
      </c>
      <c r="G1827" s="6">
        <v>4.455388661012102</v>
      </c>
      <c r="H1827" s="6">
        <v>7982347.662246274</v>
      </c>
      <c r="I1827" s="6">
        <v>464.845343935467</v>
      </c>
      <c r="J1827" s="6">
        <v>3.387357296069581</v>
      </c>
      <c r="K1827" s="6"/>
      <c r="L1827" s="6"/>
      <c r="M1827" s="6"/>
      <c r="N1827" s="6">
        <f t="shared" ref="N1827:P1827" si="1830">IF(LEN($C1827)&gt;0,H1827-E1827,"")</f>
        <v>-116975.3325</v>
      </c>
      <c r="O1827" s="6">
        <f t="shared" si="1830"/>
        <v>-4.30071221</v>
      </c>
      <c r="P1827" s="6">
        <f t="shared" si="1830"/>
        <v>-1.068031365</v>
      </c>
      <c r="Q1827" s="6"/>
      <c r="R1827" s="6"/>
      <c r="S1827" s="6"/>
      <c r="T1827" s="6"/>
      <c r="U1827" s="6"/>
      <c r="V1827" s="6"/>
      <c r="W1827" s="6"/>
      <c r="X1827" s="6"/>
      <c r="Y1827" s="6"/>
      <c r="Z1827" s="6"/>
      <c r="AA1827" s="6"/>
      <c r="AB1827" s="6"/>
      <c r="AC1827" s="6"/>
      <c r="AD1827" s="6"/>
      <c r="AE1827" s="6"/>
      <c r="AF1827" s="6"/>
      <c r="AG1827" s="6"/>
    </row>
    <row r="1828" ht="14.25" customHeight="1">
      <c r="A1828" s="6"/>
      <c r="B1828" s="6"/>
      <c r="C1828" s="6">
        <v>1821.0</v>
      </c>
      <c r="D1828" s="6"/>
      <c r="E1828" s="6">
        <v>6706840.512320049</v>
      </c>
      <c r="F1828" s="6">
        <v>447.8407225430799</v>
      </c>
      <c r="G1828" s="6">
        <v>5.048386424474083</v>
      </c>
      <c r="H1828" s="6">
        <v>6572729.358446684</v>
      </c>
      <c r="I1828" s="6">
        <v>440.3654060911788</v>
      </c>
      <c r="J1828" s="6">
        <v>3.7129726594440413</v>
      </c>
      <c r="K1828" s="6"/>
      <c r="L1828" s="6"/>
      <c r="M1828" s="6"/>
      <c r="N1828" s="6">
        <f t="shared" ref="N1828:P1828" si="1831">IF(LEN($C1828)&gt;0,H1828-E1828,"")</f>
        <v>-134111.1539</v>
      </c>
      <c r="O1828" s="6">
        <f t="shared" si="1831"/>
        <v>-7.475316452</v>
      </c>
      <c r="P1828" s="6">
        <f t="shared" si="1831"/>
        <v>-1.335413765</v>
      </c>
      <c r="Q1828" s="6"/>
      <c r="R1828" s="6"/>
      <c r="S1828" s="6"/>
      <c r="T1828" s="6"/>
      <c r="U1828" s="6"/>
      <c r="V1828" s="6"/>
      <c r="W1828" s="6"/>
      <c r="X1828" s="6"/>
      <c r="Y1828" s="6"/>
      <c r="Z1828" s="6"/>
      <c r="AA1828" s="6"/>
      <c r="AB1828" s="6"/>
      <c r="AC1828" s="6"/>
      <c r="AD1828" s="6"/>
      <c r="AE1828" s="6"/>
      <c r="AF1828" s="6"/>
      <c r="AG1828" s="6"/>
    </row>
    <row r="1829" ht="14.25" customHeight="1">
      <c r="A1829" s="6"/>
      <c r="B1829" s="6"/>
      <c r="C1829" s="6">
        <v>1822.0</v>
      </c>
      <c r="D1829" s="6"/>
      <c r="E1829" s="6">
        <v>6245842.202778907</v>
      </c>
      <c r="F1829" s="6">
        <v>483.8858433116632</v>
      </c>
      <c r="G1829" s="6">
        <v>5.115375486614492</v>
      </c>
      <c r="H1829" s="6">
        <v>6181726.808726954</v>
      </c>
      <c r="I1829" s="6">
        <v>480.6530142255541</v>
      </c>
      <c r="J1829" s="6">
        <v>4.051480812343945</v>
      </c>
      <c r="K1829" s="6"/>
      <c r="L1829" s="6"/>
      <c r="M1829" s="6"/>
      <c r="N1829" s="6">
        <f t="shared" ref="N1829:P1829" si="1832">IF(LEN($C1829)&gt;0,H1829-E1829,"")</f>
        <v>-64115.39405</v>
      </c>
      <c r="O1829" s="6">
        <f t="shared" si="1832"/>
        <v>-3.232829086</v>
      </c>
      <c r="P1829" s="6">
        <f t="shared" si="1832"/>
        <v>-1.063894674</v>
      </c>
      <c r="Q1829" s="6"/>
      <c r="R1829" s="6"/>
      <c r="S1829" s="6"/>
      <c r="T1829" s="6"/>
      <c r="U1829" s="6"/>
      <c r="V1829" s="6"/>
      <c r="W1829" s="6"/>
      <c r="X1829" s="6"/>
      <c r="Y1829" s="6"/>
      <c r="Z1829" s="6"/>
      <c r="AA1829" s="6"/>
      <c r="AB1829" s="6"/>
      <c r="AC1829" s="6"/>
      <c r="AD1829" s="6"/>
      <c r="AE1829" s="6"/>
      <c r="AF1829" s="6"/>
      <c r="AG1829" s="6"/>
    </row>
    <row r="1830" ht="14.25" customHeight="1">
      <c r="A1830" s="6"/>
      <c r="B1830" s="6"/>
      <c r="C1830" s="6">
        <v>1823.0</v>
      </c>
      <c r="D1830" s="6"/>
      <c r="E1830" s="6">
        <v>7472922.483083814</v>
      </c>
      <c r="F1830" s="6">
        <v>439.55140668622886</v>
      </c>
      <c r="G1830" s="6">
        <v>5.309274266269013</v>
      </c>
      <c r="H1830" s="6">
        <v>7403738.610555087</v>
      </c>
      <c r="I1830" s="6">
        <v>436.8428932940633</v>
      </c>
      <c r="J1830" s="6">
        <v>4.164531639702256</v>
      </c>
      <c r="K1830" s="6"/>
      <c r="L1830" s="6"/>
      <c r="M1830" s="6"/>
      <c r="N1830" s="6">
        <f t="shared" ref="N1830:P1830" si="1833">IF(LEN($C1830)&gt;0,H1830-E1830,"")</f>
        <v>-69183.87253</v>
      </c>
      <c r="O1830" s="6">
        <f t="shared" si="1833"/>
        <v>-2.708513392</v>
      </c>
      <c r="P1830" s="6">
        <f t="shared" si="1833"/>
        <v>-1.144742627</v>
      </c>
      <c r="Q1830" s="6"/>
      <c r="R1830" s="6"/>
      <c r="S1830" s="6"/>
      <c r="T1830" s="6"/>
      <c r="U1830" s="6"/>
      <c r="V1830" s="6"/>
      <c r="W1830" s="6"/>
      <c r="X1830" s="6"/>
      <c r="Y1830" s="6"/>
      <c r="Z1830" s="6"/>
      <c r="AA1830" s="6"/>
      <c r="AB1830" s="6"/>
      <c r="AC1830" s="6"/>
      <c r="AD1830" s="6"/>
      <c r="AE1830" s="6"/>
      <c r="AF1830" s="6"/>
      <c r="AG1830" s="6"/>
    </row>
    <row r="1831" ht="14.25" customHeight="1">
      <c r="A1831" s="6"/>
      <c r="B1831" s="6"/>
      <c r="C1831" s="6">
        <v>1824.0</v>
      </c>
      <c r="D1831" s="6"/>
      <c r="E1831" s="6">
        <v>8687155.314682584</v>
      </c>
      <c r="F1831" s="6">
        <v>513.2075547630774</v>
      </c>
      <c r="G1831" s="6">
        <v>4.600983707594679</v>
      </c>
      <c r="H1831" s="6">
        <v>8556803.936986392</v>
      </c>
      <c r="I1831" s="6">
        <v>505.9976129885195</v>
      </c>
      <c r="J1831" s="6">
        <v>3.3577962801330594</v>
      </c>
      <c r="K1831" s="6"/>
      <c r="L1831" s="6"/>
      <c r="M1831" s="6"/>
      <c r="N1831" s="6">
        <f t="shared" ref="N1831:P1831" si="1834">IF(LEN($C1831)&gt;0,H1831-E1831,"")</f>
        <v>-130351.3777</v>
      </c>
      <c r="O1831" s="6">
        <f t="shared" si="1834"/>
        <v>-7.209941775</v>
      </c>
      <c r="P1831" s="6">
        <f t="shared" si="1834"/>
        <v>-1.243187427</v>
      </c>
      <c r="Q1831" s="6"/>
      <c r="R1831" s="6"/>
      <c r="S1831" s="6"/>
      <c r="T1831" s="6"/>
      <c r="U1831" s="6"/>
      <c r="V1831" s="6"/>
      <c r="W1831" s="6"/>
      <c r="X1831" s="6"/>
      <c r="Y1831" s="6"/>
      <c r="Z1831" s="6"/>
      <c r="AA1831" s="6"/>
      <c r="AB1831" s="6"/>
      <c r="AC1831" s="6"/>
      <c r="AD1831" s="6"/>
      <c r="AE1831" s="6"/>
      <c r="AF1831" s="6"/>
      <c r="AG1831" s="6"/>
    </row>
    <row r="1832" ht="14.25" customHeight="1">
      <c r="A1832" s="6"/>
      <c r="B1832" s="6"/>
      <c r="C1832" s="6">
        <v>1825.0</v>
      </c>
      <c r="D1832" s="6"/>
      <c r="E1832" s="6">
        <v>7512336.096521393</v>
      </c>
      <c r="F1832" s="6">
        <v>441.75363076658573</v>
      </c>
      <c r="G1832" s="6">
        <v>4.614079696166601</v>
      </c>
      <c r="H1832" s="6">
        <v>7438603.158174382</v>
      </c>
      <c r="I1832" s="6">
        <v>438.9896461555005</v>
      </c>
      <c r="J1832" s="6">
        <v>3.4067034245910133</v>
      </c>
      <c r="K1832" s="6"/>
      <c r="L1832" s="6"/>
      <c r="M1832" s="6"/>
      <c r="N1832" s="6">
        <f t="shared" ref="N1832:P1832" si="1835">IF(LEN($C1832)&gt;0,H1832-E1832,"")</f>
        <v>-73732.93835</v>
      </c>
      <c r="O1832" s="6">
        <f t="shared" si="1835"/>
        <v>-2.763984611</v>
      </c>
      <c r="P1832" s="6">
        <f t="shared" si="1835"/>
        <v>-1.207376272</v>
      </c>
      <c r="Q1832" s="6"/>
      <c r="R1832" s="6"/>
      <c r="S1832" s="6"/>
      <c r="T1832" s="6"/>
      <c r="U1832" s="6"/>
      <c r="V1832" s="6"/>
      <c r="W1832" s="6"/>
      <c r="X1832" s="6"/>
      <c r="Y1832" s="6"/>
      <c r="Z1832" s="6"/>
      <c r="AA1832" s="6"/>
      <c r="AB1832" s="6"/>
      <c r="AC1832" s="6"/>
      <c r="AD1832" s="6"/>
      <c r="AE1832" s="6"/>
      <c r="AF1832" s="6"/>
      <c r="AG1832" s="6"/>
    </row>
    <row r="1833" ht="14.25" customHeight="1">
      <c r="A1833" s="6"/>
      <c r="B1833" s="6"/>
      <c r="C1833" s="6">
        <v>1826.0</v>
      </c>
      <c r="D1833" s="6"/>
      <c r="E1833" s="6">
        <v>7257191.96759882</v>
      </c>
      <c r="F1833" s="6">
        <v>518.1740233005658</v>
      </c>
      <c r="G1833" s="6">
        <v>5.127572659671472</v>
      </c>
      <c r="H1833" s="6">
        <v>7083715.3353384165</v>
      </c>
      <c r="I1833" s="6">
        <v>508.435051147366</v>
      </c>
      <c r="J1833" s="6">
        <v>3.626276809866776</v>
      </c>
      <c r="K1833" s="6"/>
      <c r="L1833" s="6"/>
      <c r="M1833" s="6"/>
      <c r="N1833" s="6">
        <f t="shared" ref="N1833:P1833" si="1836">IF(LEN($C1833)&gt;0,H1833-E1833,"")</f>
        <v>-173476.6323</v>
      </c>
      <c r="O1833" s="6">
        <f t="shared" si="1836"/>
        <v>-9.738972153</v>
      </c>
      <c r="P1833" s="6">
        <f t="shared" si="1836"/>
        <v>-1.50129585</v>
      </c>
      <c r="Q1833" s="6"/>
      <c r="R1833" s="6"/>
      <c r="S1833" s="6"/>
      <c r="T1833" s="6"/>
      <c r="U1833" s="6"/>
      <c r="V1833" s="6"/>
      <c r="W1833" s="6"/>
      <c r="X1833" s="6"/>
      <c r="Y1833" s="6"/>
      <c r="Z1833" s="6"/>
      <c r="AA1833" s="6"/>
      <c r="AB1833" s="6"/>
      <c r="AC1833" s="6"/>
      <c r="AD1833" s="6"/>
      <c r="AE1833" s="6"/>
      <c r="AF1833" s="6"/>
      <c r="AG1833" s="6"/>
    </row>
    <row r="1834" ht="14.25" customHeight="1">
      <c r="A1834" s="6"/>
      <c r="B1834" s="6"/>
      <c r="C1834" s="6">
        <v>1827.0</v>
      </c>
      <c r="D1834" s="6"/>
      <c r="E1834" s="6">
        <v>7118117.2221787805</v>
      </c>
      <c r="F1834" s="6">
        <v>452.56142093061226</v>
      </c>
      <c r="G1834" s="6">
        <v>5.109113125978598</v>
      </c>
      <c r="H1834" s="6">
        <v>7077429.725933319</v>
      </c>
      <c r="I1834" s="6">
        <v>451.1812369973849</v>
      </c>
      <c r="J1834" s="6">
        <v>4.655314563669972</v>
      </c>
      <c r="K1834" s="6"/>
      <c r="L1834" s="6"/>
      <c r="M1834" s="6"/>
      <c r="N1834" s="6">
        <f t="shared" ref="N1834:P1834" si="1837">IF(LEN($C1834)&gt;0,H1834-E1834,"")</f>
        <v>-40687.49625</v>
      </c>
      <c r="O1834" s="6">
        <f t="shared" si="1837"/>
        <v>-1.380183933</v>
      </c>
      <c r="P1834" s="6">
        <f t="shared" si="1837"/>
        <v>-0.4537985623</v>
      </c>
      <c r="Q1834" s="6"/>
      <c r="R1834" s="6"/>
      <c r="S1834" s="6"/>
      <c r="T1834" s="6"/>
      <c r="U1834" s="6"/>
      <c r="V1834" s="6"/>
      <c r="W1834" s="6"/>
      <c r="X1834" s="6"/>
      <c r="Y1834" s="6"/>
      <c r="Z1834" s="6"/>
      <c r="AA1834" s="6"/>
      <c r="AB1834" s="6"/>
      <c r="AC1834" s="6"/>
      <c r="AD1834" s="6"/>
      <c r="AE1834" s="6"/>
      <c r="AF1834" s="6"/>
      <c r="AG1834" s="6"/>
    </row>
    <row r="1835" ht="14.25" customHeight="1">
      <c r="A1835" s="6"/>
      <c r="B1835" s="6"/>
      <c r="C1835" s="6">
        <v>1828.0</v>
      </c>
      <c r="D1835" s="6"/>
      <c r="E1835" s="6">
        <v>6396803.814347472</v>
      </c>
      <c r="F1835" s="6">
        <v>444.041881447966</v>
      </c>
      <c r="G1835" s="6">
        <v>5.197649606516409</v>
      </c>
      <c r="H1835" s="6">
        <v>6272849.759890738</v>
      </c>
      <c r="I1835" s="6">
        <v>438.0224695313657</v>
      </c>
      <c r="J1835" s="6">
        <v>3.553705919989212</v>
      </c>
      <c r="K1835" s="6"/>
      <c r="L1835" s="6"/>
      <c r="M1835" s="6"/>
      <c r="N1835" s="6">
        <f t="shared" ref="N1835:P1835" si="1838">IF(LEN($C1835)&gt;0,H1835-E1835,"")</f>
        <v>-123954.0545</v>
      </c>
      <c r="O1835" s="6">
        <f t="shared" si="1838"/>
        <v>-6.019411917</v>
      </c>
      <c r="P1835" s="6">
        <f t="shared" si="1838"/>
        <v>-1.643943687</v>
      </c>
      <c r="Q1835" s="6"/>
      <c r="R1835" s="6"/>
      <c r="S1835" s="6"/>
      <c r="T1835" s="6"/>
      <c r="U1835" s="6"/>
      <c r="V1835" s="6"/>
      <c r="W1835" s="6"/>
      <c r="X1835" s="6"/>
      <c r="Y1835" s="6"/>
      <c r="Z1835" s="6"/>
      <c r="AA1835" s="6"/>
      <c r="AB1835" s="6"/>
      <c r="AC1835" s="6"/>
      <c r="AD1835" s="6"/>
      <c r="AE1835" s="6"/>
      <c r="AF1835" s="6"/>
      <c r="AG1835" s="6"/>
    </row>
    <row r="1836" ht="14.25" customHeight="1">
      <c r="A1836" s="6"/>
      <c r="B1836" s="6"/>
      <c r="C1836" s="6">
        <v>1829.0</v>
      </c>
      <c r="D1836" s="6"/>
      <c r="E1836" s="6">
        <v>6606529.390696719</v>
      </c>
      <c r="F1836" s="6">
        <v>480.0520535402155</v>
      </c>
      <c r="G1836" s="6">
        <v>5.891021521419791</v>
      </c>
      <c r="H1836" s="6">
        <v>6445291.895693517</v>
      </c>
      <c r="I1836" s="6">
        <v>472.98933927250204</v>
      </c>
      <c r="J1836" s="6">
        <v>4.281013917195205</v>
      </c>
      <c r="K1836" s="6"/>
      <c r="L1836" s="6"/>
      <c r="M1836" s="6"/>
      <c r="N1836" s="6">
        <f t="shared" ref="N1836:P1836" si="1839">IF(LEN($C1836)&gt;0,H1836-E1836,"")</f>
        <v>-161237.495</v>
      </c>
      <c r="O1836" s="6">
        <f t="shared" si="1839"/>
        <v>-7.062714268</v>
      </c>
      <c r="P1836" s="6">
        <f t="shared" si="1839"/>
        <v>-1.610007604</v>
      </c>
      <c r="Q1836" s="6"/>
      <c r="R1836" s="6"/>
      <c r="S1836" s="6"/>
      <c r="T1836" s="6"/>
      <c r="U1836" s="6"/>
      <c r="V1836" s="6"/>
      <c r="W1836" s="6"/>
      <c r="X1836" s="6"/>
      <c r="Y1836" s="6"/>
      <c r="Z1836" s="6"/>
      <c r="AA1836" s="6"/>
      <c r="AB1836" s="6"/>
      <c r="AC1836" s="6"/>
      <c r="AD1836" s="6"/>
      <c r="AE1836" s="6"/>
      <c r="AF1836" s="6"/>
      <c r="AG1836" s="6"/>
    </row>
    <row r="1837" ht="14.25" customHeight="1">
      <c r="A1837" s="6"/>
      <c r="B1837" s="6"/>
      <c r="C1837" s="6">
        <v>1830.0</v>
      </c>
      <c r="D1837" s="6"/>
      <c r="E1837" s="6">
        <v>9166579.586057698</v>
      </c>
      <c r="F1837" s="6">
        <v>448.90538744126343</v>
      </c>
      <c r="G1837" s="6">
        <v>4.602062948343537</v>
      </c>
      <c r="H1837" s="6">
        <v>9064930.929862078</v>
      </c>
      <c r="I1837" s="6">
        <v>443.80058782641714</v>
      </c>
      <c r="J1837" s="6">
        <v>3.3194490016559945</v>
      </c>
      <c r="K1837" s="6"/>
      <c r="L1837" s="6"/>
      <c r="M1837" s="6"/>
      <c r="N1837" s="6">
        <f t="shared" ref="N1837:P1837" si="1840">IF(LEN($C1837)&gt;0,H1837-E1837,"")</f>
        <v>-101648.6562</v>
      </c>
      <c r="O1837" s="6">
        <f t="shared" si="1840"/>
        <v>-5.104799615</v>
      </c>
      <c r="P1837" s="6">
        <f t="shared" si="1840"/>
        <v>-1.282613947</v>
      </c>
      <c r="Q1837" s="6"/>
      <c r="R1837" s="6"/>
      <c r="S1837" s="6"/>
      <c r="T1837" s="6"/>
      <c r="U1837" s="6"/>
      <c r="V1837" s="6"/>
      <c r="W1837" s="6"/>
      <c r="X1837" s="6"/>
      <c r="Y1837" s="6"/>
      <c r="Z1837" s="6"/>
      <c r="AA1837" s="6"/>
      <c r="AB1837" s="6"/>
      <c r="AC1837" s="6"/>
      <c r="AD1837" s="6"/>
      <c r="AE1837" s="6"/>
      <c r="AF1837" s="6"/>
      <c r="AG1837" s="6"/>
    </row>
    <row r="1838" ht="14.25" customHeight="1">
      <c r="A1838" s="6"/>
      <c r="B1838" s="6"/>
      <c r="C1838" s="6">
        <v>1831.0</v>
      </c>
      <c r="D1838" s="6"/>
      <c r="E1838" s="6">
        <v>7210012.993989074</v>
      </c>
      <c r="F1838" s="6">
        <v>479.50924361813463</v>
      </c>
      <c r="G1838" s="6">
        <v>4.573237484432012</v>
      </c>
      <c r="H1838" s="6">
        <v>7061715.160678066</v>
      </c>
      <c r="I1838" s="6">
        <v>474.8759655452512</v>
      </c>
      <c r="J1838" s="6">
        <v>2.949506165363495</v>
      </c>
      <c r="K1838" s="6"/>
      <c r="L1838" s="6"/>
      <c r="M1838" s="6"/>
      <c r="N1838" s="6">
        <f t="shared" ref="N1838:P1838" si="1841">IF(LEN($C1838)&gt;0,H1838-E1838,"")</f>
        <v>-148297.8333</v>
      </c>
      <c r="O1838" s="6">
        <f t="shared" si="1841"/>
        <v>-4.633278073</v>
      </c>
      <c r="P1838" s="6">
        <f t="shared" si="1841"/>
        <v>-1.623731319</v>
      </c>
      <c r="Q1838" s="6"/>
      <c r="R1838" s="6"/>
      <c r="S1838" s="6"/>
      <c r="T1838" s="6"/>
      <c r="U1838" s="6"/>
      <c r="V1838" s="6"/>
      <c r="W1838" s="6"/>
      <c r="X1838" s="6"/>
      <c r="Y1838" s="6"/>
      <c r="Z1838" s="6"/>
      <c r="AA1838" s="6"/>
      <c r="AB1838" s="6"/>
      <c r="AC1838" s="6"/>
      <c r="AD1838" s="6"/>
      <c r="AE1838" s="6"/>
      <c r="AF1838" s="6"/>
      <c r="AG1838" s="6"/>
    </row>
    <row r="1839" ht="14.25" customHeight="1">
      <c r="A1839" s="6"/>
      <c r="B1839" s="6"/>
      <c r="C1839" s="6">
        <v>1832.0</v>
      </c>
      <c r="D1839" s="6"/>
      <c r="E1839" s="6">
        <v>6200323.981090642</v>
      </c>
      <c r="F1839" s="6">
        <v>460.5652129230246</v>
      </c>
      <c r="G1839" s="6">
        <v>4.39632757848503</v>
      </c>
      <c r="H1839" s="6">
        <v>6090875.048532779</v>
      </c>
      <c r="I1839" s="6">
        <v>456.24593561393885</v>
      </c>
      <c r="J1839" s="6">
        <v>3.0394303901450432</v>
      </c>
      <c r="K1839" s="6"/>
      <c r="L1839" s="6"/>
      <c r="M1839" s="6"/>
      <c r="N1839" s="6">
        <f t="shared" ref="N1839:P1839" si="1842">IF(LEN($C1839)&gt;0,H1839-E1839,"")</f>
        <v>-109448.9326</v>
      </c>
      <c r="O1839" s="6">
        <f t="shared" si="1842"/>
        <v>-4.319277309</v>
      </c>
      <c r="P1839" s="6">
        <f t="shared" si="1842"/>
        <v>-1.356897188</v>
      </c>
      <c r="Q1839" s="6"/>
      <c r="R1839" s="6"/>
      <c r="S1839" s="6"/>
      <c r="T1839" s="6"/>
      <c r="U1839" s="6"/>
      <c r="V1839" s="6"/>
      <c r="W1839" s="6"/>
      <c r="X1839" s="6"/>
      <c r="Y1839" s="6"/>
      <c r="Z1839" s="6"/>
      <c r="AA1839" s="6"/>
      <c r="AB1839" s="6"/>
      <c r="AC1839" s="6"/>
      <c r="AD1839" s="6"/>
      <c r="AE1839" s="6"/>
      <c r="AF1839" s="6"/>
      <c r="AG1839" s="6"/>
    </row>
    <row r="1840" ht="14.25" customHeight="1">
      <c r="A1840" s="6"/>
      <c r="B1840" s="6"/>
      <c r="C1840" s="6">
        <v>1833.0</v>
      </c>
      <c r="D1840" s="6"/>
      <c r="E1840" s="6">
        <v>8429044.190237196</v>
      </c>
      <c r="F1840" s="6">
        <v>467.4425096262082</v>
      </c>
      <c r="G1840" s="6">
        <v>4.492401910741312</v>
      </c>
      <c r="H1840" s="6">
        <v>8285935.9215279315</v>
      </c>
      <c r="I1840" s="6">
        <v>460.953233198597</v>
      </c>
      <c r="J1840" s="6">
        <v>2.988373691543063</v>
      </c>
      <c r="K1840" s="6"/>
      <c r="L1840" s="6"/>
      <c r="M1840" s="6"/>
      <c r="N1840" s="6">
        <f t="shared" ref="N1840:P1840" si="1843">IF(LEN($C1840)&gt;0,H1840-E1840,"")</f>
        <v>-143108.2687</v>
      </c>
      <c r="O1840" s="6">
        <f t="shared" si="1843"/>
        <v>-6.489276428</v>
      </c>
      <c r="P1840" s="6">
        <f t="shared" si="1843"/>
        <v>-1.504028219</v>
      </c>
      <c r="Q1840" s="6"/>
      <c r="R1840" s="6"/>
      <c r="S1840" s="6"/>
      <c r="T1840" s="6"/>
      <c r="U1840" s="6"/>
      <c r="V1840" s="6"/>
      <c r="W1840" s="6"/>
      <c r="X1840" s="6"/>
      <c r="Y1840" s="6"/>
      <c r="Z1840" s="6"/>
      <c r="AA1840" s="6"/>
      <c r="AB1840" s="6"/>
      <c r="AC1840" s="6"/>
      <c r="AD1840" s="6"/>
      <c r="AE1840" s="6"/>
      <c r="AF1840" s="6"/>
      <c r="AG1840" s="6"/>
    </row>
    <row r="1841" ht="14.25" customHeight="1">
      <c r="A1841" s="6"/>
      <c r="B1841" s="6"/>
      <c r="C1841" s="6">
        <v>1834.0</v>
      </c>
      <c r="D1841" s="6"/>
      <c r="E1841" s="6">
        <v>6735661.860093329</v>
      </c>
      <c r="F1841" s="6">
        <v>462.13577713692854</v>
      </c>
      <c r="G1841" s="6">
        <v>3.921471589817283</v>
      </c>
      <c r="H1841" s="6">
        <v>6662581.732823675</v>
      </c>
      <c r="I1841" s="6">
        <v>459.679288038846</v>
      </c>
      <c r="J1841" s="6">
        <v>2.9116227447733873</v>
      </c>
      <c r="K1841" s="6"/>
      <c r="L1841" s="6"/>
      <c r="M1841" s="6"/>
      <c r="N1841" s="6">
        <f t="shared" ref="N1841:P1841" si="1844">IF(LEN($C1841)&gt;0,H1841-E1841,"")</f>
        <v>-73080.12727</v>
      </c>
      <c r="O1841" s="6">
        <f t="shared" si="1844"/>
        <v>-2.456489098</v>
      </c>
      <c r="P1841" s="6">
        <f t="shared" si="1844"/>
        <v>-1.009848845</v>
      </c>
      <c r="Q1841" s="6"/>
      <c r="R1841" s="6"/>
      <c r="S1841" s="6"/>
      <c r="T1841" s="6"/>
      <c r="U1841" s="6"/>
      <c r="V1841" s="6"/>
      <c r="W1841" s="6"/>
      <c r="X1841" s="6"/>
      <c r="Y1841" s="6"/>
      <c r="Z1841" s="6"/>
      <c r="AA1841" s="6"/>
      <c r="AB1841" s="6"/>
      <c r="AC1841" s="6"/>
      <c r="AD1841" s="6"/>
      <c r="AE1841" s="6"/>
      <c r="AF1841" s="6"/>
      <c r="AG1841" s="6"/>
    </row>
    <row r="1842" ht="14.25" customHeight="1">
      <c r="A1842" s="6"/>
      <c r="B1842" s="6"/>
      <c r="C1842" s="6">
        <v>1835.0</v>
      </c>
      <c r="D1842" s="6"/>
      <c r="E1842" s="6">
        <v>6686123.073692209</v>
      </c>
      <c r="F1842" s="6">
        <v>484.32973619255097</v>
      </c>
      <c r="G1842" s="6">
        <v>3.868805880985182</v>
      </c>
      <c r="H1842" s="6">
        <v>6599873.543560627</v>
      </c>
      <c r="I1842" s="6">
        <v>479.99884071193134</v>
      </c>
      <c r="J1842" s="6">
        <v>3.270520898784295</v>
      </c>
      <c r="K1842" s="6"/>
      <c r="L1842" s="6"/>
      <c r="M1842" s="6"/>
      <c r="N1842" s="6">
        <f t="shared" ref="N1842:P1842" si="1845">IF(LEN($C1842)&gt;0,H1842-E1842,"")</f>
        <v>-86249.53013</v>
      </c>
      <c r="O1842" s="6">
        <f t="shared" si="1845"/>
        <v>-4.330895481</v>
      </c>
      <c r="P1842" s="6">
        <f t="shared" si="1845"/>
        <v>-0.5982849822</v>
      </c>
      <c r="Q1842" s="6"/>
      <c r="R1842" s="6"/>
      <c r="S1842" s="6"/>
      <c r="T1842" s="6"/>
      <c r="U1842" s="6"/>
      <c r="V1842" s="6"/>
      <c r="W1842" s="6"/>
      <c r="X1842" s="6"/>
      <c r="Y1842" s="6"/>
      <c r="Z1842" s="6"/>
      <c r="AA1842" s="6"/>
      <c r="AB1842" s="6"/>
      <c r="AC1842" s="6"/>
      <c r="AD1842" s="6"/>
      <c r="AE1842" s="6"/>
      <c r="AF1842" s="6"/>
      <c r="AG1842" s="6"/>
    </row>
    <row r="1843" ht="14.25" customHeight="1">
      <c r="A1843" s="6"/>
      <c r="B1843" s="6"/>
      <c r="C1843" s="6">
        <v>1836.0</v>
      </c>
      <c r="D1843" s="6"/>
      <c r="E1843" s="6">
        <v>7738141.953515162</v>
      </c>
      <c r="F1843" s="6">
        <v>474.40284807723305</v>
      </c>
      <c r="G1843" s="6">
        <v>4.218222298156009</v>
      </c>
      <c r="H1843" s="6">
        <v>7579148.697398065</v>
      </c>
      <c r="I1843" s="6">
        <v>467.673156615096</v>
      </c>
      <c r="J1843" s="6">
        <v>2.8422763085541263</v>
      </c>
      <c r="K1843" s="6"/>
      <c r="L1843" s="6"/>
      <c r="M1843" s="6"/>
      <c r="N1843" s="6">
        <f t="shared" ref="N1843:P1843" si="1846">IF(LEN($C1843)&gt;0,H1843-E1843,"")</f>
        <v>-158993.2561</v>
      </c>
      <c r="O1843" s="6">
        <f t="shared" si="1846"/>
        <v>-6.729691462</v>
      </c>
      <c r="P1843" s="6">
        <f t="shared" si="1846"/>
        <v>-1.37594599</v>
      </c>
      <c r="Q1843" s="6"/>
      <c r="R1843" s="6"/>
      <c r="S1843" s="6"/>
      <c r="T1843" s="6"/>
      <c r="U1843" s="6"/>
      <c r="V1843" s="6"/>
      <c r="W1843" s="6"/>
      <c r="X1843" s="6"/>
      <c r="Y1843" s="6"/>
      <c r="Z1843" s="6"/>
      <c r="AA1843" s="6"/>
      <c r="AB1843" s="6"/>
      <c r="AC1843" s="6"/>
      <c r="AD1843" s="6"/>
      <c r="AE1843" s="6"/>
      <c r="AF1843" s="6"/>
      <c r="AG1843" s="6"/>
    </row>
    <row r="1844" ht="14.25" customHeight="1">
      <c r="A1844" s="6"/>
      <c r="B1844" s="6"/>
      <c r="C1844" s="6">
        <v>1837.0</v>
      </c>
      <c r="D1844" s="6"/>
      <c r="E1844" s="6">
        <v>7966048.192603354</v>
      </c>
      <c r="F1844" s="6">
        <v>468.21629083960835</v>
      </c>
      <c r="G1844" s="6">
        <v>4.828459550598487</v>
      </c>
      <c r="H1844" s="6">
        <v>7875530.708027044</v>
      </c>
      <c r="I1844" s="6">
        <v>464.6773161985694</v>
      </c>
      <c r="J1844" s="6">
        <v>3.7870203255481982</v>
      </c>
      <c r="K1844" s="6"/>
      <c r="L1844" s="6"/>
      <c r="M1844" s="6"/>
      <c r="N1844" s="6">
        <f t="shared" ref="N1844:P1844" si="1847">IF(LEN($C1844)&gt;0,H1844-E1844,"")</f>
        <v>-90517.48458</v>
      </c>
      <c r="O1844" s="6">
        <f t="shared" si="1847"/>
        <v>-3.538974641</v>
      </c>
      <c r="P1844" s="6">
        <f t="shared" si="1847"/>
        <v>-1.041439225</v>
      </c>
      <c r="Q1844" s="6"/>
      <c r="R1844" s="6"/>
      <c r="S1844" s="6"/>
      <c r="T1844" s="6"/>
      <c r="U1844" s="6"/>
      <c r="V1844" s="6"/>
      <c r="W1844" s="6"/>
      <c r="X1844" s="6"/>
      <c r="Y1844" s="6"/>
      <c r="Z1844" s="6"/>
      <c r="AA1844" s="6"/>
      <c r="AB1844" s="6"/>
      <c r="AC1844" s="6"/>
      <c r="AD1844" s="6"/>
      <c r="AE1844" s="6"/>
      <c r="AF1844" s="6"/>
      <c r="AG1844" s="6"/>
    </row>
    <row r="1845" ht="14.25" customHeight="1">
      <c r="A1845" s="6"/>
      <c r="B1845" s="6"/>
      <c r="C1845" s="6">
        <v>1838.0</v>
      </c>
      <c r="D1845" s="6"/>
      <c r="E1845" s="6">
        <v>6152095.045119865</v>
      </c>
      <c r="F1845" s="6">
        <v>474.1004924624524</v>
      </c>
      <c r="G1845" s="6">
        <v>4.691796387760906</v>
      </c>
      <c r="H1845" s="6">
        <v>6088107.550742292</v>
      </c>
      <c r="I1845" s="6">
        <v>471.2831911628898</v>
      </c>
      <c r="J1845" s="6">
        <v>3.417889139598232</v>
      </c>
      <c r="K1845" s="6"/>
      <c r="L1845" s="6"/>
      <c r="M1845" s="6"/>
      <c r="N1845" s="6">
        <f t="shared" ref="N1845:P1845" si="1848">IF(LEN($C1845)&gt;0,H1845-E1845,"")</f>
        <v>-63987.49438</v>
      </c>
      <c r="O1845" s="6">
        <f t="shared" si="1848"/>
        <v>-2.8173013</v>
      </c>
      <c r="P1845" s="6">
        <f t="shared" si="1848"/>
        <v>-1.273907248</v>
      </c>
      <c r="Q1845" s="6"/>
      <c r="R1845" s="6"/>
      <c r="S1845" s="6"/>
      <c r="T1845" s="6"/>
      <c r="U1845" s="6"/>
      <c r="V1845" s="6"/>
      <c r="W1845" s="6"/>
      <c r="X1845" s="6"/>
      <c r="Y1845" s="6"/>
      <c r="Z1845" s="6"/>
      <c r="AA1845" s="6"/>
      <c r="AB1845" s="6"/>
      <c r="AC1845" s="6"/>
      <c r="AD1845" s="6"/>
      <c r="AE1845" s="6"/>
      <c r="AF1845" s="6"/>
      <c r="AG1845" s="6"/>
    </row>
    <row r="1846" ht="14.25" customHeight="1">
      <c r="A1846" s="6"/>
      <c r="B1846" s="6"/>
      <c r="C1846" s="6">
        <v>1839.0</v>
      </c>
      <c r="D1846" s="6"/>
      <c r="E1846" s="6">
        <v>7617330.194027624</v>
      </c>
      <c r="F1846" s="6">
        <v>479.8442516221526</v>
      </c>
      <c r="G1846" s="6">
        <v>3.736579097381753</v>
      </c>
      <c r="H1846" s="6">
        <v>7564624.739007404</v>
      </c>
      <c r="I1846" s="6">
        <v>477.3726133063981</v>
      </c>
      <c r="J1846" s="6">
        <v>3.1591926781223454</v>
      </c>
      <c r="K1846" s="6"/>
      <c r="L1846" s="6"/>
      <c r="M1846" s="6"/>
      <c r="N1846" s="6">
        <f t="shared" ref="N1846:P1846" si="1849">IF(LEN($C1846)&gt;0,H1846-E1846,"")</f>
        <v>-52705.45502</v>
      </c>
      <c r="O1846" s="6">
        <f t="shared" si="1849"/>
        <v>-2.471638316</v>
      </c>
      <c r="P1846" s="6">
        <f t="shared" si="1849"/>
        <v>-0.5773864193</v>
      </c>
      <c r="Q1846" s="6"/>
      <c r="R1846" s="6"/>
      <c r="S1846" s="6"/>
      <c r="T1846" s="6"/>
      <c r="U1846" s="6"/>
      <c r="V1846" s="6"/>
      <c r="W1846" s="6"/>
      <c r="X1846" s="6"/>
      <c r="Y1846" s="6"/>
      <c r="Z1846" s="6"/>
      <c r="AA1846" s="6"/>
      <c r="AB1846" s="6"/>
      <c r="AC1846" s="6"/>
      <c r="AD1846" s="6"/>
      <c r="AE1846" s="6"/>
      <c r="AF1846" s="6"/>
      <c r="AG1846" s="6"/>
    </row>
    <row r="1847" ht="14.25" customHeight="1">
      <c r="A1847" s="6"/>
      <c r="B1847" s="6"/>
      <c r="C1847" s="6">
        <v>1840.0</v>
      </c>
      <c r="D1847" s="6"/>
      <c r="E1847" s="6">
        <v>1.0921536387262339E7</v>
      </c>
      <c r="F1847" s="6">
        <v>473.6578815543167</v>
      </c>
      <c r="G1847" s="6">
        <v>3.705467998420334</v>
      </c>
      <c r="H1847" s="6">
        <v>1.0844011410649603E7</v>
      </c>
      <c r="I1847" s="6">
        <v>471.2873689892814</v>
      </c>
      <c r="J1847" s="6">
        <v>2.923815660164192</v>
      </c>
      <c r="K1847" s="6"/>
      <c r="L1847" s="6"/>
      <c r="M1847" s="6"/>
      <c r="N1847" s="6">
        <f t="shared" ref="N1847:P1847" si="1850">IF(LEN($C1847)&gt;0,H1847-E1847,"")</f>
        <v>-77524.97661</v>
      </c>
      <c r="O1847" s="6">
        <f t="shared" si="1850"/>
        <v>-2.370512565</v>
      </c>
      <c r="P1847" s="6">
        <f t="shared" si="1850"/>
        <v>-0.7816523383</v>
      </c>
      <c r="Q1847" s="6"/>
      <c r="R1847" s="6"/>
      <c r="S1847" s="6"/>
      <c r="T1847" s="6"/>
      <c r="U1847" s="6"/>
      <c r="V1847" s="6"/>
      <c r="W1847" s="6"/>
      <c r="X1847" s="6"/>
      <c r="Y1847" s="6"/>
      <c r="Z1847" s="6"/>
      <c r="AA1847" s="6"/>
      <c r="AB1847" s="6"/>
      <c r="AC1847" s="6"/>
      <c r="AD1847" s="6"/>
      <c r="AE1847" s="6"/>
      <c r="AF1847" s="6"/>
      <c r="AG1847" s="6"/>
    </row>
    <row r="1848" ht="14.25" customHeight="1">
      <c r="A1848" s="6"/>
      <c r="B1848" s="6"/>
      <c r="C1848" s="6">
        <v>1841.0</v>
      </c>
      <c r="D1848" s="6"/>
      <c r="E1848" s="6">
        <v>5501780.039985929</v>
      </c>
      <c r="F1848" s="6">
        <v>432.1245213919165</v>
      </c>
      <c r="G1848" s="6">
        <v>4.712799565359719</v>
      </c>
      <c r="H1848" s="6">
        <v>5441549.495341109</v>
      </c>
      <c r="I1848" s="6">
        <v>429.4386850383508</v>
      </c>
      <c r="J1848" s="6">
        <v>3.6864332843977445</v>
      </c>
      <c r="K1848" s="6"/>
      <c r="L1848" s="6"/>
      <c r="M1848" s="6"/>
      <c r="N1848" s="6">
        <f t="shared" ref="N1848:P1848" si="1851">IF(LEN($C1848)&gt;0,H1848-E1848,"")</f>
        <v>-60230.54464</v>
      </c>
      <c r="O1848" s="6">
        <f t="shared" si="1851"/>
        <v>-2.685836354</v>
      </c>
      <c r="P1848" s="6">
        <f t="shared" si="1851"/>
        <v>-1.026366281</v>
      </c>
      <c r="Q1848" s="6"/>
      <c r="R1848" s="6"/>
      <c r="S1848" s="6"/>
      <c r="T1848" s="6"/>
      <c r="U1848" s="6"/>
      <c r="V1848" s="6"/>
      <c r="W1848" s="6"/>
      <c r="X1848" s="6"/>
      <c r="Y1848" s="6"/>
      <c r="Z1848" s="6"/>
      <c r="AA1848" s="6"/>
      <c r="AB1848" s="6"/>
      <c r="AC1848" s="6"/>
      <c r="AD1848" s="6"/>
      <c r="AE1848" s="6"/>
      <c r="AF1848" s="6"/>
      <c r="AG1848" s="6"/>
    </row>
    <row r="1849" ht="14.25" customHeight="1">
      <c r="A1849" s="6"/>
      <c r="B1849" s="6"/>
      <c r="C1849" s="6">
        <v>1842.0</v>
      </c>
      <c r="D1849" s="6"/>
      <c r="E1849" s="6">
        <v>6345457.99893564</v>
      </c>
      <c r="F1849" s="6">
        <v>471.3048385260116</v>
      </c>
      <c r="G1849" s="6">
        <v>5.1094698737943105</v>
      </c>
      <c r="H1849" s="6">
        <v>6231061.744058032</v>
      </c>
      <c r="I1849" s="6">
        <v>466.910966616934</v>
      </c>
      <c r="J1849" s="6">
        <v>3.3232393733155674</v>
      </c>
      <c r="K1849" s="6"/>
      <c r="L1849" s="6"/>
      <c r="M1849" s="6"/>
      <c r="N1849" s="6">
        <f t="shared" ref="N1849:P1849" si="1852">IF(LEN($C1849)&gt;0,H1849-E1849,"")</f>
        <v>-114396.2549</v>
      </c>
      <c r="O1849" s="6">
        <f t="shared" si="1852"/>
        <v>-4.393871909</v>
      </c>
      <c r="P1849" s="6">
        <f t="shared" si="1852"/>
        <v>-1.7862305</v>
      </c>
      <c r="Q1849" s="6"/>
      <c r="R1849" s="6"/>
      <c r="S1849" s="6"/>
      <c r="T1849" s="6"/>
      <c r="U1849" s="6"/>
      <c r="V1849" s="6"/>
      <c r="W1849" s="6"/>
      <c r="X1849" s="6"/>
      <c r="Y1849" s="6"/>
      <c r="Z1849" s="6"/>
      <c r="AA1849" s="6"/>
      <c r="AB1849" s="6"/>
      <c r="AC1849" s="6"/>
      <c r="AD1849" s="6"/>
      <c r="AE1849" s="6"/>
      <c r="AF1849" s="6"/>
      <c r="AG1849" s="6"/>
    </row>
    <row r="1850" ht="14.25" customHeight="1">
      <c r="A1850" s="6"/>
      <c r="B1850" s="6"/>
      <c r="C1850" s="6">
        <v>1843.0</v>
      </c>
      <c r="D1850" s="6"/>
      <c r="E1850" s="6">
        <v>6655119.52119573</v>
      </c>
      <c r="F1850" s="6">
        <v>467.51252884010387</v>
      </c>
      <c r="G1850" s="6">
        <v>6.1109415549842305</v>
      </c>
      <c r="H1850" s="6">
        <v>6511492.910213538</v>
      </c>
      <c r="I1850" s="6">
        <v>463.0607345945275</v>
      </c>
      <c r="J1850" s="6">
        <v>4.622260953969867</v>
      </c>
      <c r="K1850" s="6"/>
      <c r="L1850" s="6"/>
      <c r="M1850" s="6"/>
      <c r="N1850" s="6">
        <f t="shared" ref="N1850:P1850" si="1853">IF(LEN($C1850)&gt;0,H1850-E1850,"")</f>
        <v>-143626.611</v>
      </c>
      <c r="O1850" s="6">
        <f t="shared" si="1853"/>
        <v>-4.451794246</v>
      </c>
      <c r="P1850" s="6">
        <f t="shared" si="1853"/>
        <v>-1.488680601</v>
      </c>
      <c r="Q1850" s="6"/>
      <c r="R1850" s="6"/>
      <c r="S1850" s="6"/>
      <c r="T1850" s="6"/>
      <c r="U1850" s="6"/>
      <c r="V1850" s="6"/>
      <c r="W1850" s="6"/>
      <c r="X1850" s="6"/>
      <c r="Y1850" s="6"/>
      <c r="Z1850" s="6"/>
      <c r="AA1850" s="6"/>
      <c r="AB1850" s="6"/>
      <c r="AC1850" s="6"/>
      <c r="AD1850" s="6"/>
      <c r="AE1850" s="6"/>
      <c r="AF1850" s="6"/>
      <c r="AG1850" s="6"/>
    </row>
    <row r="1851" ht="14.25" customHeight="1">
      <c r="A1851" s="6"/>
      <c r="B1851" s="6"/>
      <c r="C1851" s="6">
        <v>1844.0</v>
      </c>
      <c r="D1851" s="6"/>
      <c r="E1851" s="6">
        <v>5508449.094956747</v>
      </c>
      <c r="F1851" s="6">
        <v>446.9591777359178</v>
      </c>
      <c r="G1851" s="6">
        <v>5.0511885495462305</v>
      </c>
      <c r="H1851" s="6">
        <v>5385731.627851011</v>
      </c>
      <c r="I1851" s="6">
        <v>442.92608493511636</v>
      </c>
      <c r="J1851" s="6">
        <v>3.507818813218578</v>
      </c>
      <c r="K1851" s="6"/>
      <c r="L1851" s="6"/>
      <c r="M1851" s="6"/>
      <c r="N1851" s="6">
        <f t="shared" ref="N1851:P1851" si="1854">IF(LEN($C1851)&gt;0,H1851-E1851,"")</f>
        <v>-122717.4671</v>
      </c>
      <c r="O1851" s="6">
        <f t="shared" si="1854"/>
        <v>-4.033092801</v>
      </c>
      <c r="P1851" s="6">
        <f t="shared" si="1854"/>
        <v>-1.543369736</v>
      </c>
      <c r="Q1851" s="6"/>
      <c r="R1851" s="6"/>
      <c r="S1851" s="6"/>
      <c r="T1851" s="6"/>
      <c r="U1851" s="6"/>
      <c r="V1851" s="6"/>
      <c r="W1851" s="6"/>
      <c r="X1851" s="6"/>
      <c r="Y1851" s="6"/>
      <c r="Z1851" s="6"/>
      <c r="AA1851" s="6"/>
      <c r="AB1851" s="6"/>
      <c r="AC1851" s="6"/>
      <c r="AD1851" s="6"/>
      <c r="AE1851" s="6"/>
      <c r="AF1851" s="6"/>
      <c r="AG1851" s="6"/>
    </row>
    <row r="1852" ht="14.25" customHeight="1">
      <c r="A1852" s="6"/>
      <c r="B1852" s="6"/>
      <c r="C1852" s="6">
        <v>1845.0</v>
      </c>
      <c r="D1852" s="6"/>
      <c r="E1852" s="6">
        <v>4018651.1672226363</v>
      </c>
      <c r="F1852" s="6">
        <v>449.58192694403607</v>
      </c>
      <c r="G1852" s="6">
        <v>5.366425952545611</v>
      </c>
      <c r="H1852" s="6">
        <v>3956030.4180265106</v>
      </c>
      <c r="I1852" s="6">
        <v>447.6875941823625</v>
      </c>
      <c r="J1852" s="6">
        <v>4.177496093373438</v>
      </c>
      <c r="K1852" s="6"/>
      <c r="L1852" s="6"/>
      <c r="M1852" s="6"/>
      <c r="N1852" s="6">
        <f t="shared" ref="N1852:P1852" si="1855">IF(LEN($C1852)&gt;0,H1852-E1852,"")</f>
        <v>-62620.7492</v>
      </c>
      <c r="O1852" s="6">
        <f t="shared" si="1855"/>
        <v>-1.894332762</v>
      </c>
      <c r="P1852" s="6">
        <f t="shared" si="1855"/>
        <v>-1.188929859</v>
      </c>
      <c r="Q1852" s="6"/>
      <c r="R1852" s="6"/>
      <c r="S1852" s="6"/>
      <c r="T1852" s="6"/>
      <c r="U1852" s="6"/>
      <c r="V1852" s="6"/>
      <c r="W1852" s="6"/>
      <c r="X1852" s="6"/>
      <c r="Y1852" s="6"/>
      <c r="Z1852" s="6"/>
      <c r="AA1852" s="6"/>
      <c r="AB1852" s="6"/>
      <c r="AC1852" s="6"/>
      <c r="AD1852" s="6"/>
      <c r="AE1852" s="6"/>
      <c r="AF1852" s="6"/>
      <c r="AG1852" s="6"/>
    </row>
    <row r="1853" ht="14.25" customHeight="1">
      <c r="A1853" s="6"/>
      <c r="B1853" s="6"/>
      <c r="C1853" s="6">
        <v>1846.0</v>
      </c>
      <c r="D1853" s="6"/>
      <c r="E1853" s="6">
        <v>9331559.407322086</v>
      </c>
      <c r="F1853" s="6">
        <v>451.24407113611903</v>
      </c>
      <c r="G1853" s="6">
        <v>3.5459418844901345</v>
      </c>
      <c r="H1853" s="6">
        <v>9246389.923576772</v>
      </c>
      <c r="I1853" s="6">
        <v>447.290999900059</v>
      </c>
      <c r="J1853" s="6">
        <v>2.7217308936948896</v>
      </c>
      <c r="K1853" s="6"/>
      <c r="L1853" s="6"/>
      <c r="M1853" s="6"/>
      <c r="N1853" s="6">
        <f t="shared" ref="N1853:P1853" si="1856">IF(LEN($C1853)&gt;0,H1853-E1853,"")</f>
        <v>-85169.48375</v>
      </c>
      <c r="O1853" s="6">
        <f t="shared" si="1856"/>
        <v>-3.953071236</v>
      </c>
      <c r="P1853" s="6">
        <f t="shared" si="1856"/>
        <v>-0.8242109908</v>
      </c>
      <c r="Q1853" s="6"/>
      <c r="R1853" s="6"/>
      <c r="S1853" s="6"/>
      <c r="T1853" s="6"/>
      <c r="U1853" s="6"/>
      <c r="V1853" s="6"/>
      <c r="W1853" s="6"/>
      <c r="X1853" s="6"/>
      <c r="Y1853" s="6"/>
      <c r="Z1853" s="6"/>
      <c r="AA1853" s="6"/>
      <c r="AB1853" s="6"/>
      <c r="AC1853" s="6"/>
      <c r="AD1853" s="6"/>
      <c r="AE1853" s="6"/>
      <c r="AF1853" s="6"/>
      <c r="AG1853" s="6"/>
    </row>
    <row r="1854" ht="14.25" customHeight="1">
      <c r="A1854" s="6"/>
      <c r="B1854" s="6"/>
      <c r="C1854" s="6">
        <v>1847.0</v>
      </c>
      <c r="D1854" s="6"/>
      <c r="E1854" s="6">
        <v>6205005.810179913</v>
      </c>
      <c r="F1854" s="6">
        <v>485.4243353396168</v>
      </c>
      <c r="G1854" s="6">
        <v>5.524215951268679</v>
      </c>
      <c r="H1854" s="6">
        <v>6093005.215183528</v>
      </c>
      <c r="I1854" s="6">
        <v>479.89183561769823</v>
      </c>
      <c r="J1854" s="6">
        <v>4.226952600358252</v>
      </c>
      <c r="K1854" s="6"/>
      <c r="L1854" s="6"/>
      <c r="M1854" s="6"/>
      <c r="N1854" s="6">
        <f t="shared" ref="N1854:P1854" si="1857">IF(LEN($C1854)&gt;0,H1854-E1854,"")</f>
        <v>-112000.595</v>
      </c>
      <c r="O1854" s="6">
        <f t="shared" si="1857"/>
        <v>-5.532499722</v>
      </c>
      <c r="P1854" s="6">
        <f t="shared" si="1857"/>
        <v>-1.297263351</v>
      </c>
      <c r="Q1854" s="6"/>
      <c r="R1854" s="6"/>
      <c r="S1854" s="6"/>
      <c r="T1854" s="6"/>
      <c r="U1854" s="6"/>
      <c r="V1854" s="6"/>
      <c r="W1854" s="6"/>
      <c r="X1854" s="6"/>
      <c r="Y1854" s="6"/>
      <c r="Z1854" s="6"/>
      <c r="AA1854" s="6"/>
      <c r="AB1854" s="6"/>
      <c r="AC1854" s="6"/>
      <c r="AD1854" s="6"/>
      <c r="AE1854" s="6"/>
      <c r="AF1854" s="6"/>
      <c r="AG1854" s="6"/>
    </row>
    <row r="1855" ht="14.25" customHeight="1">
      <c r="A1855" s="6"/>
      <c r="B1855" s="6"/>
      <c r="C1855" s="6">
        <v>1848.0</v>
      </c>
      <c r="D1855" s="6"/>
      <c r="E1855" s="6">
        <v>6450528.117043553</v>
      </c>
      <c r="F1855" s="6">
        <v>482.2962545385595</v>
      </c>
      <c r="G1855" s="6">
        <v>4.775905657481786</v>
      </c>
      <c r="H1855" s="6">
        <v>6388555.114035776</v>
      </c>
      <c r="I1855" s="6">
        <v>479.9895249659563</v>
      </c>
      <c r="J1855" s="6">
        <v>3.8201784680687827</v>
      </c>
      <c r="K1855" s="6"/>
      <c r="L1855" s="6"/>
      <c r="M1855" s="6"/>
      <c r="N1855" s="6">
        <f t="shared" ref="N1855:P1855" si="1858">IF(LEN($C1855)&gt;0,H1855-E1855,"")</f>
        <v>-61973.00301</v>
      </c>
      <c r="O1855" s="6">
        <f t="shared" si="1858"/>
        <v>-2.306729573</v>
      </c>
      <c r="P1855" s="6">
        <f t="shared" si="1858"/>
        <v>-0.9557271894</v>
      </c>
      <c r="Q1855" s="6"/>
      <c r="R1855" s="6"/>
      <c r="S1855" s="6"/>
      <c r="T1855" s="6"/>
      <c r="U1855" s="6"/>
      <c r="V1855" s="6"/>
      <c r="W1855" s="6"/>
      <c r="X1855" s="6"/>
      <c r="Y1855" s="6"/>
      <c r="Z1855" s="6"/>
      <c r="AA1855" s="6"/>
      <c r="AB1855" s="6"/>
      <c r="AC1855" s="6"/>
      <c r="AD1855" s="6"/>
      <c r="AE1855" s="6"/>
      <c r="AF1855" s="6"/>
      <c r="AG1855" s="6"/>
    </row>
    <row r="1856" ht="14.25" customHeight="1">
      <c r="A1856" s="6"/>
      <c r="B1856" s="6"/>
      <c r="C1856" s="6">
        <v>1849.0</v>
      </c>
      <c r="D1856" s="6"/>
      <c r="E1856" s="6">
        <v>7908131.141883445</v>
      </c>
      <c r="F1856" s="6">
        <v>485.63974494503464</v>
      </c>
      <c r="G1856" s="6">
        <v>5.417038810564637</v>
      </c>
      <c r="H1856" s="6">
        <v>7805328.092523122</v>
      </c>
      <c r="I1856" s="6">
        <v>481.55615461178746</v>
      </c>
      <c r="J1856" s="6">
        <v>4.107702240858809</v>
      </c>
      <c r="K1856" s="6"/>
      <c r="L1856" s="6"/>
      <c r="M1856" s="6"/>
      <c r="N1856" s="6">
        <f t="shared" ref="N1856:P1856" si="1859">IF(LEN($C1856)&gt;0,H1856-E1856,"")</f>
        <v>-102803.0494</v>
      </c>
      <c r="O1856" s="6">
        <f t="shared" si="1859"/>
        <v>-4.083590333</v>
      </c>
      <c r="P1856" s="6">
        <f t="shared" si="1859"/>
        <v>-1.30933657</v>
      </c>
      <c r="Q1856" s="6"/>
      <c r="R1856" s="6"/>
      <c r="S1856" s="6"/>
      <c r="T1856" s="6"/>
      <c r="U1856" s="6"/>
      <c r="V1856" s="6"/>
      <c r="W1856" s="6"/>
      <c r="X1856" s="6"/>
      <c r="Y1856" s="6"/>
      <c r="Z1856" s="6"/>
      <c r="AA1856" s="6"/>
      <c r="AB1856" s="6"/>
      <c r="AC1856" s="6"/>
      <c r="AD1856" s="6"/>
      <c r="AE1856" s="6"/>
      <c r="AF1856" s="6"/>
      <c r="AG1856" s="6"/>
    </row>
    <row r="1857" ht="14.25" customHeight="1">
      <c r="A1857" s="6"/>
      <c r="B1857" s="6"/>
      <c r="C1857" s="6">
        <v>1850.0</v>
      </c>
      <c r="D1857" s="6"/>
      <c r="E1857" s="6">
        <v>8888954.169707734</v>
      </c>
      <c r="F1857" s="6">
        <v>501.315143337359</v>
      </c>
      <c r="G1857" s="6">
        <v>4.676107330816099</v>
      </c>
      <c r="H1857" s="6">
        <v>8712834.830320785</v>
      </c>
      <c r="I1857" s="6">
        <v>495.22984250748164</v>
      </c>
      <c r="J1857" s="6">
        <v>3.593550530230754</v>
      </c>
      <c r="K1857" s="6"/>
      <c r="L1857" s="6"/>
      <c r="M1857" s="6"/>
      <c r="N1857" s="6">
        <f t="shared" ref="N1857:P1857" si="1860">IF(LEN($C1857)&gt;0,H1857-E1857,"")</f>
        <v>-176119.3394</v>
      </c>
      <c r="O1857" s="6">
        <f t="shared" si="1860"/>
        <v>-6.08530083</v>
      </c>
      <c r="P1857" s="6">
        <f t="shared" si="1860"/>
        <v>-1.082556801</v>
      </c>
      <c r="Q1857" s="6"/>
      <c r="R1857" s="6"/>
      <c r="S1857" s="6"/>
      <c r="T1857" s="6"/>
      <c r="U1857" s="6"/>
      <c r="V1857" s="6"/>
      <c r="W1857" s="6"/>
      <c r="X1857" s="6"/>
      <c r="Y1857" s="6"/>
      <c r="Z1857" s="6"/>
      <c r="AA1857" s="6"/>
      <c r="AB1857" s="6"/>
      <c r="AC1857" s="6"/>
      <c r="AD1857" s="6"/>
      <c r="AE1857" s="6"/>
      <c r="AF1857" s="6"/>
      <c r="AG1857" s="6"/>
    </row>
    <row r="1858" ht="14.25" customHeight="1">
      <c r="A1858" s="6"/>
      <c r="B1858" s="6"/>
      <c r="C1858" s="6">
        <v>1851.0</v>
      </c>
      <c r="D1858" s="6"/>
      <c r="E1858" s="6">
        <v>6300836.38000367</v>
      </c>
      <c r="F1858" s="6">
        <v>442.8170589882081</v>
      </c>
      <c r="G1858" s="6">
        <v>4.717516111924667</v>
      </c>
      <c r="H1858" s="6">
        <v>6226330.340834552</v>
      </c>
      <c r="I1858" s="6">
        <v>438.89707074269705</v>
      </c>
      <c r="J1858" s="6">
        <v>3.1862417313116804</v>
      </c>
      <c r="K1858" s="6"/>
      <c r="L1858" s="6"/>
      <c r="M1858" s="6"/>
      <c r="N1858" s="6">
        <f t="shared" ref="N1858:P1858" si="1861">IF(LEN($C1858)&gt;0,H1858-E1858,"")</f>
        <v>-74506.03917</v>
      </c>
      <c r="O1858" s="6">
        <f t="shared" si="1861"/>
        <v>-3.919988246</v>
      </c>
      <c r="P1858" s="6">
        <f t="shared" si="1861"/>
        <v>-1.531274381</v>
      </c>
      <c r="Q1858" s="6"/>
      <c r="R1858" s="6"/>
      <c r="S1858" s="6"/>
      <c r="T1858" s="6"/>
      <c r="U1858" s="6"/>
      <c r="V1858" s="6"/>
      <c r="W1858" s="6"/>
      <c r="X1858" s="6"/>
      <c r="Y1858" s="6"/>
      <c r="Z1858" s="6"/>
      <c r="AA1858" s="6"/>
      <c r="AB1858" s="6"/>
      <c r="AC1858" s="6"/>
      <c r="AD1858" s="6"/>
      <c r="AE1858" s="6"/>
      <c r="AF1858" s="6"/>
      <c r="AG1858" s="6"/>
    </row>
    <row r="1859" ht="14.25" customHeight="1">
      <c r="A1859" s="6"/>
      <c r="B1859" s="6"/>
      <c r="C1859" s="6">
        <v>1852.0</v>
      </c>
      <c r="D1859" s="6"/>
      <c r="E1859" s="6">
        <v>7668995.581764268</v>
      </c>
      <c r="F1859" s="6">
        <v>499.7411521903576</v>
      </c>
      <c r="G1859" s="6">
        <v>5.114077591155833</v>
      </c>
      <c r="H1859" s="6">
        <v>7547022.636942737</v>
      </c>
      <c r="I1859" s="6">
        <v>493.72981949518567</v>
      </c>
      <c r="J1859" s="6">
        <v>3.4811518860205073</v>
      </c>
      <c r="K1859" s="6"/>
      <c r="L1859" s="6"/>
      <c r="M1859" s="6"/>
      <c r="N1859" s="6">
        <f t="shared" ref="N1859:P1859" si="1862">IF(LEN($C1859)&gt;0,H1859-E1859,"")</f>
        <v>-121972.9448</v>
      </c>
      <c r="O1859" s="6">
        <f t="shared" si="1862"/>
        <v>-6.011332695</v>
      </c>
      <c r="P1859" s="6">
        <f t="shared" si="1862"/>
        <v>-1.632925705</v>
      </c>
      <c r="Q1859" s="6"/>
      <c r="R1859" s="6"/>
      <c r="S1859" s="6"/>
      <c r="T1859" s="6"/>
      <c r="U1859" s="6"/>
      <c r="V1859" s="6"/>
      <c r="W1859" s="6"/>
      <c r="X1859" s="6"/>
      <c r="Y1859" s="6"/>
      <c r="Z1859" s="6"/>
      <c r="AA1859" s="6"/>
      <c r="AB1859" s="6"/>
      <c r="AC1859" s="6"/>
      <c r="AD1859" s="6"/>
      <c r="AE1859" s="6"/>
      <c r="AF1859" s="6"/>
      <c r="AG1859" s="6"/>
    </row>
    <row r="1860" ht="14.25" customHeight="1">
      <c r="A1860" s="6"/>
      <c r="B1860" s="6"/>
      <c r="C1860" s="6">
        <v>1853.0</v>
      </c>
      <c r="D1860" s="6"/>
      <c r="E1860" s="6">
        <v>6773046.563594686</v>
      </c>
      <c r="F1860" s="6">
        <v>458.3561893648675</v>
      </c>
      <c r="G1860" s="6">
        <v>5.339427849862597</v>
      </c>
      <c r="H1860" s="6">
        <v>6703432.672310579</v>
      </c>
      <c r="I1860" s="6">
        <v>455.8055642201603</v>
      </c>
      <c r="J1860" s="6">
        <v>3.9911805285957946</v>
      </c>
      <c r="K1860" s="6"/>
      <c r="L1860" s="6"/>
      <c r="M1860" s="6"/>
      <c r="N1860" s="6">
        <f t="shared" ref="N1860:P1860" si="1863">IF(LEN($C1860)&gt;0,H1860-E1860,"")</f>
        <v>-69613.89128</v>
      </c>
      <c r="O1860" s="6">
        <f t="shared" si="1863"/>
        <v>-2.550625145</v>
      </c>
      <c r="P1860" s="6">
        <f t="shared" si="1863"/>
        <v>-1.348247321</v>
      </c>
      <c r="Q1860" s="6"/>
      <c r="R1860" s="6"/>
      <c r="S1860" s="6"/>
      <c r="T1860" s="6"/>
      <c r="U1860" s="6"/>
      <c r="V1860" s="6"/>
      <c r="W1860" s="6"/>
      <c r="X1860" s="6"/>
      <c r="Y1860" s="6"/>
      <c r="Z1860" s="6"/>
      <c r="AA1860" s="6"/>
      <c r="AB1860" s="6"/>
      <c r="AC1860" s="6"/>
      <c r="AD1860" s="6"/>
      <c r="AE1860" s="6"/>
      <c r="AF1860" s="6"/>
      <c r="AG1860" s="6"/>
    </row>
    <row r="1861" ht="14.25" customHeight="1">
      <c r="A1861" s="6"/>
      <c r="B1861" s="6"/>
      <c r="C1861" s="6">
        <v>1854.0</v>
      </c>
      <c r="D1861" s="6"/>
      <c r="E1861" s="6">
        <v>7542240.150186578</v>
      </c>
      <c r="F1861" s="6">
        <v>474.4479501858365</v>
      </c>
      <c r="G1861" s="6">
        <v>4.608733006004822</v>
      </c>
      <c r="H1861" s="6">
        <v>7491232.962528123</v>
      </c>
      <c r="I1861" s="6">
        <v>472.90951002472633</v>
      </c>
      <c r="J1861" s="6">
        <v>3.660629871386817</v>
      </c>
      <c r="K1861" s="6"/>
      <c r="L1861" s="6"/>
      <c r="M1861" s="6"/>
      <c r="N1861" s="6">
        <f t="shared" ref="N1861:P1861" si="1864">IF(LEN($C1861)&gt;0,H1861-E1861,"")</f>
        <v>-51007.18766</v>
      </c>
      <c r="O1861" s="6">
        <f t="shared" si="1864"/>
        <v>-1.538440161</v>
      </c>
      <c r="P1861" s="6">
        <f t="shared" si="1864"/>
        <v>-0.9481031346</v>
      </c>
      <c r="Q1861" s="6"/>
      <c r="R1861" s="6"/>
      <c r="S1861" s="6"/>
      <c r="T1861" s="6"/>
      <c r="U1861" s="6"/>
      <c r="V1861" s="6"/>
      <c r="W1861" s="6"/>
      <c r="X1861" s="6"/>
      <c r="Y1861" s="6"/>
      <c r="Z1861" s="6"/>
      <c r="AA1861" s="6"/>
      <c r="AB1861" s="6"/>
      <c r="AC1861" s="6"/>
      <c r="AD1861" s="6"/>
      <c r="AE1861" s="6"/>
      <c r="AF1861" s="6"/>
      <c r="AG1861" s="6"/>
    </row>
    <row r="1862" ht="14.25" customHeight="1">
      <c r="A1862" s="6"/>
      <c r="B1862" s="6"/>
      <c r="C1862" s="6">
        <v>1855.0</v>
      </c>
      <c r="D1862" s="6"/>
      <c r="E1862" s="6">
        <v>7864378.849453257</v>
      </c>
      <c r="F1862" s="6">
        <v>478.32483793434744</v>
      </c>
      <c r="G1862" s="6">
        <v>5.615209892279743</v>
      </c>
      <c r="H1862" s="6">
        <v>7741263.147660869</v>
      </c>
      <c r="I1862" s="6">
        <v>475.0711268881309</v>
      </c>
      <c r="J1862" s="6">
        <v>4.042725213531603</v>
      </c>
      <c r="K1862" s="6"/>
      <c r="L1862" s="6"/>
      <c r="M1862" s="6"/>
      <c r="N1862" s="6">
        <f t="shared" ref="N1862:P1862" si="1865">IF(LEN($C1862)&gt;0,H1862-E1862,"")</f>
        <v>-123115.7018</v>
      </c>
      <c r="O1862" s="6">
        <f t="shared" si="1865"/>
        <v>-3.253711046</v>
      </c>
      <c r="P1862" s="6">
        <f t="shared" si="1865"/>
        <v>-1.572484679</v>
      </c>
      <c r="Q1862" s="6"/>
      <c r="R1862" s="6"/>
      <c r="S1862" s="6"/>
      <c r="T1862" s="6"/>
      <c r="U1862" s="6"/>
      <c r="V1862" s="6"/>
      <c r="W1862" s="6"/>
      <c r="X1862" s="6"/>
      <c r="Y1862" s="6"/>
      <c r="Z1862" s="6"/>
      <c r="AA1862" s="6"/>
      <c r="AB1862" s="6"/>
      <c r="AC1862" s="6"/>
      <c r="AD1862" s="6"/>
      <c r="AE1862" s="6"/>
      <c r="AF1862" s="6"/>
      <c r="AG1862" s="6"/>
    </row>
    <row r="1863" ht="14.25" customHeight="1">
      <c r="A1863" s="6"/>
      <c r="B1863" s="6"/>
      <c r="C1863" s="6">
        <v>1856.0</v>
      </c>
      <c r="D1863" s="6"/>
      <c r="E1863" s="6">
        <v>6400626.329182163</v>
      </c>
      <c r="F1863" s="6">
        <v>490.46161955571625</v>
      </c>
      <c r="G1863" s="6">
        <v>6.571848874172587</v>
      </c>
      <c r="H1863" s="6">
        <v>6240123.934800709</v>
      </c>
      <c r="I1863" s="6">
        <v>483.8488440746214</v>
      </c>
      <c r="J1863" s="6">
        <v>4.311409691505642</v>
      </c>
      <c r="K1863" s="6"/>
      <c r="L1863" s="6"/>
      <c r="M1863" s="6"/>
      <c r="N1863" s="6">
        <f t="shared" ref="N1863:P1863" si="1866">IF(LEN($C1863)&gt;0,H1863-E1863,"")</f>
        <v>-160502.3944</v>
      </c>
      <c r="O1863" s="6">
        <f t="shared" si="1866"/>
        <v>-6.612775481</v>
      </c>
      <c r="P1863" s="6">
        <f t="shared" si="1866"/>
        <v>-2.260439183</v>
      </c>
      <c r="Q1863" s="6"/>
      <c r="R1863" s="6"/>
      <c r="S1863" s="6"/>
      <c r="T1863" s="6"/>
      <c r="U1863" s="6"/>
      <c r="V1863" s="6"/>
      <c r="W1863" s="6"/>
      <c r="X1863" s="6"/>
      <c r="Y1863" s="6"/>
      <c r="Z1863" s="6"/>
      <c r="AA1863" s="6"/>
      <c r="AB1863" s="6"/>
      <c r="AC1863" s="6"/>
      <c r="AD1863" s="6"/>
      <c r="AE1863" s="6"/>
      <c r="AF1863" s="6"/>
      <c r="AG1863" s="6"/>
    </row>
    <row r="1864" ht="14.25" customHeight="1">
      <c r="A1864" s="6"/>
      <c r="B1864" s="6"/>
      <c r="C1864" s="6">
        <v>1857.0</v>
      </c>
      <c r="D1864" s="6"/>
      <c r="E1864" s="6">
        <v>7193608.968537374</v>
      </c>
      <c r="F1864" s="6">
        <v>444.6082336715282</v>
      </c>
      <c r="G1864" s="6">
        <v>4.388061632405756</v>
      </c>
      <c r="H1864" s="6">
        <v>7125032.528324294</v>
      </c>
      <c r="I1864" s="6">
        <v>441.83873449182266</v>
      </c>
      <c r="J1864" s="6">
        <v>3.6690903224045917</v>
      </c>
      <c r="K1864" s="6"/>
      <c r="L1864" s="6"/>
      <c r="M1864" s="6"/>
      <c r="N1864" s="6">
        <f t="shared" ref="N1864:P1864" si="1867">IF(LEN($C1864)&gt;0,H1864-E1864,"")</f>
        <v>-68576.44021</v>
      </c>
      <c r="O1864" s="6">
        <f t="shared" si="1867"/>
        <v>-2.76949918</v>
      </c>
      <c r="P1864" s="6">
        <f t="shared" si="1867"/>
        <v>-0.71897131</v>
      </c>
      <c r="Q1864" s="6"/>
      <c r="R1864" s="6"/>
      <c r="S1864" s="6"/>
      <c r="T1864" s="6"/>
      <c r="U1864" s="6"/>
      <c r="V1864" s="6"/>
      <c r="W1864" s="6"/>
      <c r="X1864" s="6"/>
      <c r="Y1864" s="6"/>
      <c r="Z1864" s="6"/>
      <c r="AA1864" s="6"/>
      <c r="AB1864" s="6"/>
      <c r="AC1864" s="6"/>
      <c r="AD1864" s="6"/>
      <c r="AE1864" s="6"/>
      <c r="AF1864" s="6"/>
      <c r="AG1864" s="6"/>
    </row>
    <row r="1865" ht="14.25" customHeight="1">
      <c r="A1865" s="6"/>
      <c r="B1865" s="6"/>
      <c r="C1865" s="6">
        <v>1858.0</v>
      </c>
      <c r="D1865" s="6"/>
      <c r="E1865" s="6">
        <v>7950869.075416362</v>
      </c>
      <c r="F1865" s="6">
        <v>489.813971077596</v>
      </c>
      <c r="G1865" s="6">
        <v>5.685721584312596</v>
      </c>
      <c r="H1865" s="6">
        <v>7685817.838174265</v>
      </c>
      <c r="I1865" s="6">
        <v>481.15366455457627</v>
      </c>
      <c r="J1865" s="6">
        <v>3.5127282021734416</v>
      </c>
      <c r="K1865" s="6"/>
      <c r="L1865" s="6"/>
      <c r="M1865" s="6"/>
      <c r="N1865" s="6">
        <f t="shared" ref="N1865:P1865" si="1868">IF(LEN($C1865)&gt;0,H1865-E1865,"")</f>
        <v>-265051.2372</v>
      </c>
      <c r="O1865" s="6">
        <f t="shared" si="1868"/>
        <v>-8.660306523</v>
      </c>
      <c r="P1865" s="6">
        <f t="shared" si="1868"/>
        <v>-2.172993382</v>
      </c>
      <c r="Q1865" s="6"/>
      <c r="R1865" s="6"/>
      <c r="S1865" s="6"/>
      <c r="T1865" s="6"/>
      <c r="U1865" s="6"/>
      <c r="V1865" s="6"/>
      <c r="W1865" s="6"/>
      <c r="X1865" s="6"/>
      <c r="Y1865" s="6"/>
      <c r="Z1865" s="6"/>
      <c r="AA1865" s="6"/>
      <c r="AB1865" s="6"/>
      <c r="AC1865" s="6"/>
      <c r="AD1865" s="6"/>
      <c r="AE1865" s="6"/>
      <c r="AF1865" s="6"/>
      <c r="AG1865" s="6"/>
    </row>
    <row r="1866" ht="14.25" customHeight="1">
      <c r="A1866" s="6"/>
      <c r="B1866" s="6"/>
      <c r="C1866" s="6">
        <v>1859.0</v>
      </c>
      <c r="D1866" s="6"/>
      <c r="E1866" s="6">
        <v>6167888.893344746</v>
      </c>
      <c r="F1866" s="6">
        <v>462.8678484332317</v>
      </c>
      <c r="G1866" s="6">
        <v>5.835194442775205</v>
      </c>
      <c r="H1866" s="6">
        <v>6023828.846707616</v>
      </c>
      <c r="I1866" s="6">
        <v>456.6368759398752</v>
      </c>
      <c r="J1866" s="6">
        <v>4.695522793651219</v>
      </c>
      <c r="K1866" s="6"/>
      <c r="L1866" s="6"/>
      <c r="M1866" s="6"/>
      <c r="N1866" s="6">
        <f t="shared" ref="N1866:P1866" si="1869">IF(LEN($C1866)&gt;0,H1866-E1866,"")</f>
        <v>-144060.0466</v>
      </c>
      <c r="O1866" s="6">
        <f t="shared" si="1869"/>
        <v>-6.230972493</v>
      </c>
      <c r="P1866" s="6">
        <f t="shared" si="1869"/>
        <v>-1.139671649</v>
      </c>
      <c r="Q1866" s="6"/>
      <c r="R1866" s="6"/>
      <c r="S1866" s="6"/>
      <c r="T1866" s="6"/>
      <c r="U1866" s="6"/>
      <c r="V1866" s="6"/>
      <c r="W1866" s="6"/>
      <c r="X1866" s="6"/>
      <c r="Y1866" s="6"/>
      <c r="Z1866" s="6"/>
      <c r="AA1866" s="6"/>
      <c r="AB1866" s="6"/>
      <c r="AC1866" s="6"/>
      <c r="AD1866" s="6"/>
      <c r="AE1866" s="6"/>
      <c r="AF1866" s="6"/>
      <c r="AG1866" s="6"/>
    </row>
    <row r="1867" ht="14.25" customHeight="1">
      <c r="A1867" s="6"/>
      <c r="B1867" s="6"/>
      <c r="C1867" s="6">
        <v>1860.0</v>
      </c>
      <c r="D1867" s="6"/>
      <c r="E1867" s="6">
        <v>7205299.565339495</v>
      </c>
      <c r="F1867" s="6">
        <v>442.3713601531831</v>
      </c>
      <c r="G1867" s="6">
        <v>5.843176624757701</v>
      </c>
      <c r="H1867" s="6">
        <v>7117298.140764108</v>
      </c>
      <c r="I1867" s="6">
        <v>438.7141736017667</v>
      </c>
      <c r="J1867" s="6">
        <v>4.4874993363990665</v>
      </c>
      <c r="K1867" s="6"/>
      <c r="L1867" s="6"/>
      <c r="M1867" s="6"/>
      <c r="N1867" s="6">
        <f t="shared" ref="N1867:P1867" si="1870">IF(LEN($C1867)&gt;0,H1867-E1867,"")</f>
        <v>-88001.42458</v>
      </c>
      <c r="O1867" s="6">
        <f t="shared" si="1870"/>
        <v>-3.657186551</v>
      </c>
      <c r="P1867" s="6">
        <f t="shared" si="1870"/>
        <v>-1.355677288</v>
      </c>
      <c r="Q1867" s="6"/>
      <c r="R1867" s="6"/>
      <c r="S1867" s="6"/>
      <c r="T1867" s="6"/>
      <c r="U1867" s="6"/>
      <c r="V1867" s="6"/>
      <c r="W1867" s="6"/>
      <c r="X1867" s="6"/>
      <c r="Y1867" s="6"/>
      <c r="Z1867" s="6"/>
      <c r="AA1867" s="6"/>
      <c r="AB1867" s="6"/>
      <c r="AC1867" s="6"/>
      <c r="AD1867" s="6"/>
      <c r="AE1867" s="6"/>
      <c r="AF1867" s="6"/>
      <c r="AG1867" s="6"/>
    </row>
    <row r="1868" ht="14.25" customHeight="1">
      <c r="A1868" s="6"/>
      <c r="B1868" s="6"/>
      <c r="C1868" s="6">
        <v>1861.0</v>
      </c>
      <c r="D1868" s="6"/>
      <c r="E1868" s="6">
        <v>6255541.940287184</v>
      </c>
      <c r="F1868" s="6">
        <v>449.8805399656641</v>
      </c>
      <c r="G1868" s="6">
        <v>4.751701457061032</v>
      </c>
      <c r="H1868" s="6">
        <v>6121637.109721379</v>
      </c>
      <c r="I1868" s="6">
        <v>444.38089653424504</v>
      </c>
      <c r="J1868" s="6">
        <v>3.4689989379595723</v>
      </c>
      <c r="K1868" s="6"/>
      <c r="L1868" s="6"/>
      <c r="M1868" s="6"/>
      <c r="N1868" s="6">
        <f t="shared" ref="N1868:P1868" si="1871">IF(LEN($C1868)&gt;0,H1868-E1868,"")</f>
        <v>-133904.8306</v>
      </c>
      <c r="O1868" s="6">
        <f t="shared" si="1871"/>
        <v>-5.499643431</v>
      </c>
      <c r="P1868" s="6">
        <f t="shared" si="1871"/>
        <v>-1.282702519</v>
      </c>
      <c r="Q1868" s="6"/>
      <c r="R1868" s="6"/>
      <c r="S1868" s="6"/>
      <c r="T1868" s="6"/>
      <c r="U1868" s="6"/>
      <c r="V1868" s="6"/>
      <c r="W1868" s="6"/>
      <c r="X1868" s="6"/>
      <c r="Y1868" s="6"/>
      <c r="Z1868" s="6"/>
      <c r="AA1868" s="6"/>
      <c r="AB1868" s="6"/>
      <c r="AC1868" s="6"/>
      <c r="AD1868" s="6"/>
      <c r="AE1868" s="6"/>
      <c r="AF1868" s="6"/>
      <c r="AG1868" s="6"/>
    </row>
    <row r="1869" ht="14.25" customHeight="1">
      <c r="A1869" s="6"/>
      <c r="B1869" s="6"/>
      <c r="C1869" s="6">
        <v>1862.0</v>
      </c>
      <c r="D1869" s="6"/>
      <c r="E1869" s="6">
        <v>6826601.426449159</v>
      </c>
      <c r="F1869" s="6">
        <v>479.2052862862879</v>
      </c>
      <c r="G1869" s="6">
        <v>6.512288434189704</v>
      </c>
      <c r="H1869" s="6">
        <v>6737448.85703002</v>
      </c>
      <c r="I1869" s="6">
        <v>474.5540118128004</v>
      </c>
      <c r="J1869" s="6">
        <v>4.8917124096296085</v>
      </c>
      <c r="K1869" s="6"/>
      <c r="L1869" s="6"/>
      <c r="M1869" s="6"/>
      <c r="N1869" s="6">
        <f t="shared" ref="N1869:P1869" si="1872">IF(LEN($C1869)&gt;0,H1869-E1869,"")</f>
        <v>-89152.56942</v>
      </c>
      <c r="O1869" s="6">
        <f t="shared" si="1872"/>
        <v>-4.651274473</v>
      </c>
      <c r="P1869" s="6">
        <f t="shared" si="1872"/>
        <v>-1.620576025</v>
      </c>
      <c r="Q1869" s="6"/>
      <c r="R1869" s="6"/>
      <c r="S1869" s="6"/>
      <c r="T1869" s="6"/>
      <c r="U1869" s="6"/>
      <c r="V1869" s="6"/>
      <c r="W1869" s="6"/>
      <c r="X1869" s="6"/>
      <c r="Y1869" s="6"/>
      <c r="Z1869" s="6"/>
      <c r="AA1869" s="6"/>
      <c r="AB1869" s="6"/>
      <c r="AC1869" s="6"/>
      <c r="AD1869" s="6"/>
      <c r="AE1869" s="6"/>
      <c r="AF1869" s="6"/>
      <c r="AG1869" s="6"/>
    </row>
    <row r="1870" ht="14.25" customHeight="1">
      <c r="A1870" s="6"/>
      <c r="B1870" s="6"/>
      <c r="C1870" s="6">
        <v>1863.0</v>
      </c>
      <c r="D1870" s="6"/>
      <c r="E1870" s="6">
        <v>8513558.407126576</v>
      </c>
      <c r="F1870" s="6">
        <v>485.26717022959673</v>
      </c>
      <c r="G1870" s="6">
        <v>4.780774206009546</v>
      </c>
      <c r="H1870" s="6">
        <v>8300754.7412429415</v>
      </c>
      <c r="I1870" s="6">
        <v>476.59777995301795</v>
      </c>
      <c r="J1870" s="6">
        <v>3.4138396869040486</v>
      </c>
      <c r="K1870" s="6"/>
      <c r="L1870" s="6"/>
      <c r="M1870" s="6"/>
      <c r="N1870" s="6">
        <f t="shared" ref="N1870:P1870" si="1873">IF(LEN($C1870)&gt;0,H1870-E1870,"")</f>
        <v>-212803.6659</v>
      </c>
      <c r="O1870" s="6">
        <f t="shared" si="1873"/>
        <v>-8.669390277</v>
      </c>
      <c r="P1870" s="6">
        <f t="shared" si="1873"/>
        <v>-1.366934519</v>
      </c>
      <c r="Q1870" s="6"/>
      <c r="R1870" s="6"/>
      <c r="S1870" s="6"/>
      <c r="T1870" s="6"/>
      <c r="U1870" s="6"/>
      <c r="V1870" s="6"/>
      <c r="W1870" s="6"/>
      <c r="X1870" s="6"/>
      <c r="Y1870" s="6"/>
      <c r="Z1870" s="6"/>
      <c r="AA1870" s="6"/>
      <c r="AB1870" s="6"/>
      <c r="AC1870" s="6"/>
      <c r="AD1870" s="6"/>
      <c r="AE1870" s="6"/>
      <c r="AF1870" s="6"/>
      <c r="AG1870" s="6"/>
    </row>
    <row r="1871" ht="14.25" customHeight="1">
      <c r="A1871" s="6"/>
      <c r="B1871" s="6"/>
      <c r="C1871" s="6">
        <v>1864.0</v>
      </c>
      <c r="D1871" s="6"/>
      <c r="E1871" s="6">
        <v>6281677.2795897545</v>
      </c>
      <c r="F1871" s="6">
        <v>476.45413968819935</v>
      </c>
      <c r="G1871" s="6">
        <v>4.719739740214145</v>
      </c>
      <c r="H1871" s="6">
        <v>6174391.929123768</v>
      </c>
      <c r="I1871" s="6">
        <v>470.78209937260425</v>
      </c>
      <c r="J1871" s="6">
        <v>3.314674227730145</v>
      </c>
      <c r="K1871" s="6"/>
      <c r="L1871" s="6"/>
      <c r="M1871" s="6"/>
      <c r="N1871" s="6">
        <f t="shared" ref="N1871:P1871" si="1874">IF(LEN($C1871)&gt;0,H1871-E1871,"")</f>
        <v>-107285.3505</v>
      </c>
      <c r="O1871" s="6">
        <f t="shared" si="1874"/>
        <v>-5.672040316</v>
      </c>
      <c r="P1871" s="6">
        <f t="shared" si="1874"/>
        <v>-1.405065512</v>
      </c>
      <c r="Q1871" s="6"/>
      <c r="R1871" s="6"/>
      <c r="S1871" s="6"/>
      <c r="T1871" s="6"/>
      <c r="U1871" s="6"/>
      <c r="V1871" s="6"/>
      <c r="W1871" s="6"/>
      <c r="X1871" s="6"/>
      <c r="Y1871" s="6"/>
      <c r="Z1871" s="6"/>
      <c r="AA1871" s="6"/>
      <c r="AB1871" s="6"/>
      <c r="AC1871" s="6"/>
      <c r="AD1871" s="6"/>
      <c r="AE1871" s="6"/>
      <c r="AF1871" s="6"/>
      <c r="AG1871" s="6"/>
    </row>
    <row r="1872" ht="14.25" customHeight="1">
      <c r="A1872" s="6"/>
      <c r="B1872" s="6"/>
      <c r="C1872" s="6">
        <v>1865.0</v>
      </c>
      <c r="D1872" s="6"/>
      <c r="E1872" s="6">
        <v>5318709.1121286545</v>
      </c>
      <c r="F1872" s="6">
        <v>453.01843607787873</v>
      </c>
      <c r="G1872" s="6">
        <v>5.2545053227168514</v>
      </c>
      <c r="H1872" s="6">
        <v>5254477.901682397</v>
      </c>
      <c r="I1872" s="6">
        <v>450.3941881174279</v>
      </c>
      <c r="J1872" s="6">
        <v>4.378089304578542</v>
      </c>
      <c r="K1872" s="6"/>
      <c r="L1872" s="6"/>
      <c r="M1872" s="6"/>
      <c r="N1872" s="6">
        <f t="shared" ref="N1872:P1872" si="1875">IF(LEN($C1872)&gt;0,H1872-E1872,"")</f>
        <v>-64231.21045</v>
      </c>
      <c r="O1872" s="6">
        <f t="shared" si="1875"/>
        <v>-2.62424796</v>
      </c>
      <c r="P1872" s="6">
        <f t="shared" si="1875"/>
        <v>-0.8764160181</v>
      </c>
      <c r="Q1872" s="6"/>
      <c r="R1872" s="6"/>
      <c r="S1872" s="6"/>
      <c r="T1872" s="6"/>
      <c r="U1872" s="6"/>
      <c r="V1872" s="6"/>
      <c r="W1872" s="6"/>
      <c r="X1872" s="6"/>
      <c r="Y1872" s="6"/>
      <c r="Z1872" s="6"/>
      <c r="AA1872" s="6"/>
      <c r="AB1872" s="6"/>
      <c r="AC1872" s="6"/>
      <c r="AD1872" s="6"/>
      <c r="AE1872" s="6"/>
      <c r="AF1872" s="6"/>
      <c r="AG1872" s="6"/>
    </row>
    <row r="1873" ht="14.25" customHeight="1">
      <c r="A1873" s="6"/>
      <c r="B1873" s="6"/>
      <c r="C1873" s="6">
        <v>1866.0</v>
      </c>
      <c r="D1873" s="6"/>
      <c r="E1873" s="6">
        <v>6387769.670813803</v>
      </c>
      <c r="F1873" s="6">
        <v>487.8037278188329</v>
      </c>
      <c r="G1873" s="6">
        <v>5.370170305746978</v>
      </c>
      <c r="H1873" s="6">
        <v>6322789.775025885</v>
      </c>
      <c r="I1873" s="6">
        <v>484.9385721042501</v>
      </c>
      <c r="J1873" s="6">
        <v>4.356512872963696</v>
      </c>
      <c r="K1873" s="6"/>
      <c r="L1873" s="6"/>
      <c r="M1873" s="6"/>
      <c r="N1873" s="6">
        <f t="shared" ref="N1873:P1873" si="1876">IF(LEN($C1873)&gt;0,H1873-E1873,"")</f>
        <v>-64979.89579</v>
      </c>
      <c r="O1873" s="6">
        <f t="shared" si="1876"/>
        <v>-2.865155715</v>
      </c>
      <c r="P1873" s="6">
        <f t="shared" si="1876"/>
        <v>-1.013657433</v>
      </c>
      <c r="Q1873" s="6"/>
      <c r="R1873" s="6"/>
      <c r="S1873" s="6"/>
      <c r="T1873" s="6"/>
      <c r="U1873" s="6"/>
      <c r="V1873" s="6"/>
      <c r="W1873" s="6"/>
      <c r="X1873" s="6"/>
      <c r="Y1873" s="6"/>
      <c r="Z1873" s="6"/>
      <c r="AA1873" s="6"/>
      <c r="AB1873" s="6"/>
      <c r="AC1873" s="6"/>
      <c r="AD1873" s="6"/>
      <c r="AE1873" s="6"/>
      <c r="AF1873" s="6"/>
      <c r="AG1873" s="6"/>
    </row>
    <row r="1874" ht="14.25" customHeight="1">
      <c r="A1874" s="6"/>
      <c r="B1874" s="6"/>
      <c r="C1874" s="6">
        <v>1867.0</v>
      </c>
      <c r="D1874" s="6"/>
      <c r="E1874" s="6">
        <v>5293101.260007283</v>
      </c>
      <c r="F1874" s="6">
        <v>473.8287739871821</v>
      </c>
      <c r="G1874" s="6">
        <v>4.531249962181063</v>
      </c>
      <c r="H1874" s="6">
        <v>5245418.619868742</v>
      </c>
      <c r="I1874" s="6">
        <v>472.1092140192114</v>
      </c>
      <c r="J1874" s="6">
        <v>3.6857580757051243</v>
      </c>
      <c r="K1874" s="6"/>
      <c r="L1874" s="6"/>
      <c r="M1874" s="6"/>
      <c r="N1874" s="6">
        <f t="shared" ref="N1874:P1874" si="1877">IF(LEN($C1874)&gt;0,H1874-E1874,"")</f>
        <v>-47682.64014</v>
      </c>
      <c r="O1874" s="6">
        <f t="shared" si="1877"/>
        <v>-1.719559968</v>
      </c>
      <c r="P1874" s="6">
        <f t="shared" si="1877"/>
        <v>-0.8454918865</v>
      </c>
      <c r="Q1874" s="6"/>
      <c r="R1874" s="6"/>
      <c r="S1874" s="6"/>
      <c r="T1874" s="6"/>
      <c r="U1874" s="6"/>
      <c r="V1874" s="6"/>
      <c r="W1874" s="6"/>
      <c r="X1874" s="6"/>
      <c r="Y1874" s="6"/>
      <c r="Z1874" s="6"/>
      <c r="AA1874" s="6"/>
      <c r="AB1874" s="6"/>
      <c r="AC1874" s="6"/>
      <c r="AD1874" s="6"/>
      <c r="AE1874" s="6"/>
      <c r="AF1874" s="6"/>
      <c r="AG1874" s="6"/>
    </row>
    <row r="1875" ht="14.25" customHeight="1">
      <c r="A1875" s="6"/>
      <c r="B1875" s="6"/>
      <c r="C1875" s="6">
        <v>1868.0</v>
      </c>
      <c r="D1875" s="6"/>
      <c r="E1875" s="6">
        <v>6878461.773933536</v>
      </c>
      <c r="F1875" s="6">
        <v>455.00922082682405</v>
      </c>
      <c r="G1875" s="6">
        <v>4.500667730494493</v>
      </c>
      <c r="H1875" s="6">
        <v>6724326.805115571</v>
      </c>
      <c r="I1875" s="6">
        <v>447.9401006801994</v>
      </c>
      <c r="J1875" s="6">
        <v>3.308114356259443</v>
      </c>
      <c r="K1875" s="6"/>
      <c r="L1875" s="6"/>
      <c r="M1875" s="6"/>
      <c r="N1875" s="6">
        <f t="shared" ref="N1875:P1875" si="1878">IF(LEN($C1875)&gt;0,H1875-E1875,"")</f>
        <v>-154134.9688</v>
      </c>
      <c r="O1875" s="6">
        <f t="shared" si="1878"/>
        <v>-7.069120147</v>
      </c>
      <c r="P1875" s="6">
        <f t="shared" si="1878"/>
        <v>-1.192553374</v>
      </c>
      <c r="Q1875" s="6"/>
      <c r="R1875" s="6"/>
      <c r="S1875" s="6"/>
      <c r="T1875" s="6"/>
      <c r="U1875" s="6"/>
      <c r="V1875" s="6"/>
      <c r="W1875" s="6"/>
      <c r="X1875" s="6"/>
      <c r="Y1875" s="6"/>
      <c r="Z1875" s="6"/>
      <c r="AA1875" s="6"/>
      <c r="AB1875" s="6"/>
      <c r="AC1875" s="6"/>
      <c r="AD1875" s="6"/>
      <c r="AE1875" s="6"/>
      <c r="AF1875" s="6"/>
      <c r="AG1875" s="6"/>
    </row>
    <row r="1876" ht="14.25" customHeight="1">
      <c r="A1876" s="6"/>
      <c r="B1876" s="6"/>
      <c r="C1876" s="6">
        <v>1869.0</v>
      </c>
      <c r="D1876" s="6"/>
      <c r="E1876" s="6">
        <v>6832558.49424787</v>
      </c>
      <c r="F1876" s="6">
        <v>431.8550954780269</v>
      </c>
      <c r="G1876" s="6">
        <v>4.6282955636598535</v>
      </c>
      <c r="H1876" s="6">
        <v>6763837.466230588</v>
      </c>
      <c r="I1876" s="6">
        <v>428.6273231383599</v>
      </c>
      <c r="J1876" s="6">
        <v>3.493312503420977</v>
      </c>
      <c r="K1876" s="6"/>
      <c r="L1876" s="6"/>
      <c r="M1876" s="6"/>
      <c r="N1876" s="6">
        <f t="shared" ref="N1876:P1876" si="1879">IF(LEN($C1876)&gt;0,H1876-E1876,"")</f>
        <v>-68721.02802</v>
      </c>
      <c r="O1876" s="6">
        <f t="shared" si="1879"/>
        <v>-3.22777234</v>
      </c>
      <c r="P1876" s="6">
        <f t="shared" si="1879"/>
        <v>-1.13498306</v>
      </c>
      <c r="Q1876" s="6"/>
      <c r="R1876" s="6"/>
      <c r="S1876" s="6"/>
      <c r="T1876" s="6"/>
      <c r="U1876" s="6"/>
      <c r="V1876" s="6"/>
      <c r="W1876" s="6"/>
      <c r="X1876" s="6"/>
      <c r="Y1876" s="6"/>
      <c r="Z1876" s="6"/>
      <c r="AA1876" s="6"/>
      <c r="AB1876" s="6"/>
      <c r="AC1876" s="6"/>
      <c r="AD1876" s="6"/>
      <c r="AE1876" s="6"/>
      <c r="AF1876" s="6"/>
      <c r="AG1876" s="6"/>
    </row>
    <row r="1877" ht="14.25" customHeight="1">
      <c r="A1877" s="6"/>
      <c r="B1877" s="6"/>
      <c r="C1877" s="6">
        <v>1870.0</v>
      </c>
      <c r="D1877" s="6"/>
      <c r="E1877" s="6">
        <v>6837778.378653224</v>
      </c>
      <c r="F1877" s="6">
        <v>478.05666368103044</v>
      </c>
      <c r="G1877" s="6">
        <v>5.240562646089655</v>
      </c>
      <c r="H1877" s="6">
        <v>6745210.764396202</v>
      </c>
      <c r="I1877" s="6">
        <v>474.7323472843804</v>
      </c>
      <c r="J1877" s="6">
        <v>4.020463742175665</v>
      </c>
      <c r="K1877" s="6"/>
      <c r="L1877" s="6"/>
      <c r="M1877" s="6"/>
      <c r="N1877" s="6">
        <f t="shared" ref="N1877:P1877" si="1880">IF(LEN($C1877)&gt;0,H1877-E1877,"")</f>
        <v>-92567.61426</v>
      </c>
      <c r="O1877" s="6">
        <f t="shared" si="1880"/>
        <v>-3.324316397</v>
      </c>
      <c r="P1877" s="6">
        <f t="shared" si="1880"/>
        <v>-1.220098904</v>
      </c>
      <c r="Q1877" s="6"/>
      <c r="R1877" s="6"/>
      <c r="S1877" s="6"/>
      <c r="T1877" s="6"/>
      <c r="U1877" s="6"/>
      <c r="V1877" s="6"/>
      <c r="W1877" s="6"/>
      <c r="X1877" s="6"/>
      <c r="Y1877" s="6"/>
      <c r="Z1877" s="6"/>
      <c r="AA1877" s="6"/>
      <c r="AB1877" s="6"/>
      <c r="AC1877" s="6"/>
      <c r="AD1877" s="6"/>
      <c r="AE1877" s="6"/>
      <c r="AF1877" s="6"/>
      <c r="AG1877" s="6"/>
    </row>
    <row r="1878" ht="14.25" customHeight="1">
      <c r="A1878" s="6"/>
      <c r="B1878" s="6"/>
      <c r="C1878" s="6">
        <v>1871.0</v>
      </c>
      <c r="D1878" s="6"/>
      <c r="E1878" s="6">
        <v>7760596.525045245</v>
      </c>
      <c r="F1878" s="6">
        <v>467.8667550372297</v>
      </c>
      <c r="G1878" s="6">
        <v>4.7132753414807915</v>
      </c>
      <c r="H1878" s="6">
        <v>7692534.117387738</v>
      </c>
      <c r="I1878" s="6">
        <v>464.7271473858296</v>
      </c>
      <c r="J1878" s="6">
        <v>3.695452706665705</v>
      </c>
      <c r="K1878" s="6"/>
      <c r="L1878" s="6"/>
      <c r="M1878" s="6"/>
      <c r="N1878" s="6">
        <f t="shared" ref="N1878:P1878" si="1881">IF(LEN($C1878)&gt;0,H1878-E1878,"")</f>
        <v>-68062.40766</v>
      </c>
      <c r="O1878" s="6">
        <f t="shared" si="1881"/>
        <v>-3.139607651</v>
      </c>
      <c r="P1878" s="6">
        <f t="shared" si="1881"/>
        <v>-1.017822635</v>
      </c>
      <c r="Q1878" s="6"/>
      <c r="R1878" s="6"/>
      <c r="S1878" s="6"/>
      <c r="T1878" s="6"/>
      <c r="U1878" s="6"/>
      <c r="V1878" s="6"/>
      <c r="W1878" s="6"/>
      <c r="X1878" s="6"/>
      <c r="Y1878" s="6"/>
      <c r="Z1878" s="6"/>
      <c r="AA1878" s="6"/>
      <c r="AB1878" s="6"/>
      <c r="AC1878" s="6"/>
      <c r="AD1878" s="6"/>
      <c r="AE1878" s="6"/>
      <c r="AF1878" s="6"/>
      <c r="AG1878" s="6"/>
    </row>
    <row r="1879" ht="14.25" customHeight="1">
      <c r="A1879" s="6"/>
      <c r="B1879" s="6"/>
      <c r="C1879" s="6">
        <v>1872.0</v>
      </c>
      <c r="D1879" s="6"/>
      <c r="E1879" s="6">
        <v>7783149.74880168</v>
      </c>
      <c r="F1879" s="6">
        <v>439.40037960167683</v>
      </c>
      <c r="G1879" s="6">
        <v>3.54564003915392</v>
      </c>
      <c r="H1879" s="6">
        <v>7704852.192012078</v>
      </c>
      <c r="I1879" s="6">
        <v>437.0993337602358</v>
      </c>
      <c r="J1879" s="6">
        <v>2.333691936195531</v>
      </c>
      <c r="K1879" s="6"/>
      <c r="L1879" s="6"/>
      <c r="M1879" s="6"/>
      <c r="N1879" s="6">
        <f t="shared" ref="N1879:P1879" si="1882">IF(LEN($C1879)&gt;0,H1879-E1879,"")</f>
        <v>-78297.55679</v>
      </c>
      <c r="O1879" s="6">
        <f t="shared" si="1882"/>
        <v>-2.301045841</v>
      </c>
      <c r="P1879" s="6">
        <f t="shared" si="1882"/>
        <v>-1.211948103</v>
      </c>
      <c r="Q1879" s="6"/>
      <c r="R1879" s="6"/>
      <c r="S1879" s="6"/>
      <c r="T1879" s="6"/>
      <c r="U1879" s="6"/>
      <c r="V1879" s="6"/>
      <c r="W1879" s="6"/>
      <c r="X1879" s="6"/>
      <c r="Y1879" s="6"/>
      <c r="Z1879" s="6"/>
      <c r="AA1879" s="6"/>
      <c r="AB1879" s="6"/>
      <c r="AC1879" s="6"/>
      <c r="AD1879" s="6"/>
      <c r="AE1879" s="6"/>
      <c r="AF1879" s="6"/>
      <c r="AG1879" s="6"/>
    </row>
    <row r="1880" ht="14.25" customHeight="1">
      <c r="A1880" s="6"/>
      <c r="B1880" s="6"/>
      <c r="C1880" s="6">
        <v>1873.0</v>
      </c>
      <c r="D1880" s="6"/>
      <c r="E1880" s="6">
        <v>7495029.025791762</v>
      </c>
      <c r="F1880" s="6">
        <v>467.29638309135</v>
      </c>
      <c r="G1880" s="6">
        <v>4.1802489460309715</v>
      </c>
      <c r="H1880" s="6">
        <v>7417953.692850358</v>
      </c>
      <c r="I1880" s="6">
        <v>464.32752060840045</v>
      </c>
      <c r="J1880" s="6">
        <v>3.330272053820447</v>
      </c>
      <c r="K1880" s="6"/>
      <c r="L1880" s="6"/>
      <c r="M1880" s="6"/>
      <c r="N1880" s="6">
        <f t="shared" ref="N1880:P1880" si="1883">IF(LEN($C1880)&gt;0,H1880-E1880,"")</f>
        <v>-77075.33294</v>
      </c>
      <c r="O1880" s="6">
        <f t="shared" si="1883"/>
        <v>-2.968862483</v>
      </c>
      <c r="P1880" s="6">
        <f t="shared" si="1883"/>
        <v>-0.8499768922</v>
      </c>
      <c r="Q1880" s="6"/>
      <c r="R1880" s="6"/>
      <c r="S1880" s="6"/>
      <c r="T1880" s="6"/>
      <c r="U1880" s="6"/>
      <c r="V1880" s="6"/>
      <c r="W1880" s="6"/>
      <c r="X1880" s="6"/>
      <c r="Y1880" s="6"/>
      <c r="Z1880" s="6"/>
      <c r="AA1880" s="6"/>
      <c r="AB1880" s="6"/>
      <c r="AC1880" s="6"/>
      <c r="AD1880" s="6"/>
      <c r="AE1880" s="6"/>
      <c r="AF1880" s="6"/>
      <c r="AG1880" s="6"/>
    </row>
    <row r="1881" ht="14.25" customHeight="1">
      <c r="A1881" s="6"/>
      <c r="B1881" s="6"/>
      <c r="C1881" s="6">
        <v>1874.0</v>
      </c>
      <c r="D1881" s="6"/>
      <c r="E1881" s="6">
        <v>7442925.297906644</v>
      </c>
      <c r="F1881" s="6">
        <v>450.8248946786564</v>
      </c>
      <c r="G1881" s="6">
        <v>5.431238015516505</v>
      </c>
      <c r="H1881" s="6">
        <v>7350099.741475025</v>
      </c>
      <c r="I1881" s="6">
        <v>446.81852076884655</v>
      </c>
      <c r="J1881" s="6">
        <v>4.481640435868029</v>
      </c>
      <c r="K1881" s="6"/>
      <c r="L1881" s="6"/>
      <c r="M1881" s="6"/>
      <c r="N1881" s="6">
        <f t="shared" ref="N1881:P1881" si="1884">IF(LEN($C1881)&gt;0,H1881-E1881,"")</f>
        <v>-92825.55643</v>
      </c>
      <c r="O1881" s="6">
        <f t="shared" si="1884"/>
        <v>-4.00637391</v>
      </c>
      <c r="P1881" s="6">
        <f t="shared" si="1884"/>
        <v>-0.9495975796</v>
      </c>
      <c r="Q1881" s="6"/>
      <c r="R1881" s="6"/>
      <c r="S1881" s="6"/>
      <c r="T1881" s="6"/>
      <c r="U1881" s="6"/>
      <c r="V1881" s="6"/>
      <c r="W1881" s="6"/>
      <c r="X1881" s="6"/>
      <c r="Y1881" s="6"/>
      <c r="Z1881" s="6"/>
      <c r="AA1881" s="6"/>
      <c r="AB1881" s="6"/>
      <c r="AC1881" s="6"/>
      <c r="AD1881" s="6"/>
      <c r="AE1881" s="6"/>
      <c r="AF1881" s="6"/>
      <c r="AG1881" s="6"/>
    </row>
    <row r="1882" ht="14.25" customHeight="1">
      <c r="A1882" s="6"/>
      <c r="B1882" s="6"/>
      <c r="C1882" s="6">
        <v>1875.0</v>
      </c>
      <c r="D1882" s="6"/>
      <c r="E1882" s="6">
        <v>7318396.240768986</v>
      </c>
      <c r="F1882" s="6">
        <v>469.9327541745812</v>
      </c>
      <c r="G1882" s="6">
        <v>5.264838770061748</v>
      </c>
      <c r="H1882" s="6">
        <v>7225634.977109935</v>
      </c>
      <c r="I1882" s="6">
        <v>466.86659618363393</v>
      </c>
      <c r="J1882" s="6">
        <v>3.884836025523473</v>
      </c>
      <c r="K1882" s="6"/>
      <c r="L1882" s="6"/>
      <c r="M1882" s="6"/>
      <c r="N1882" s="6">
        <f t="shared" ref="N1882:P1882" si="1885">IF(LEN($C1882)&gt;0,H1882-E1882,"")</f>
        <v>-92761.26366</v>
      </c>
      <c r="O1882" s="6">
        <f t="shared" si="1885"/>
        <v>-3.066157991</v>
      </c>
      <c r="P1882" s="6">
        <f t="shared" si="1885"/>
        <v>-1.380002745</v>
      </c>
      <c r="Q1882" s="6"/>
      <c r="R1882" s="6"/>
      <c r="S1882" s="6"/>
      <c r="T1882" s="6"/>
      <c r="U1882" s="6"/>
      <c r="V1882" s="6"/>
      <c r="W1882" s="6"/>
      <c r="X1882" s="6"/>
      <c r="Y1882" s="6"/>
      <c r="Z1882" s="6"/>
      <c r="AA1882" s="6"/>
      <c r="AB1882" s="6"/>
      <c r="AC1882" s="6"/>
      <c r="AD1882" s="6"/>
      <c r="AE1882" s="6"/>
      <c r="AF1882" s="6"/>
      <c r="AG1882" s="6"/>
    </row>
    <row r="1883" ht="14.25" customHeight="1">
      <c r="A1883" s="6"/>
      <c r="B1883" s="6"/>
      <c r="C1883" s="6">
        <v>1876.0</v>
      </c>
      <c r="D1883" s="6"/>
      <c r="E1883" s="6">
        <v>7411380.55932986</v>
      </c>
      <c r="F1883" s="6">
        <v>442.8704223407931</v>
      </c>
      <c r="G1883" s="6">
        <v>5.481292801198491</v>
      </c>
      <c r="H1883" s="6">
        <v>7235666.828997481</v>
      </c>
      <c r="I1883" s="6">
        <v>436.1869788555015</v>
      </c>
      <c r="J1883" s="6">
        <v>3.844531382538802</v>
      </c>
      <c r="K1883" s="6"/>
      <c r="L1883" s="6"/>
      <c r="M1883" s="6"/>
      <c r="N1883" s="6">
        <f t="shared" ref="N1883:P1883" si="1886">IF(LEN($C1883)&gt;0,H1883-E1883,"")</f>
        <v>-175713.7303</v>
      </c>
      <c r="O1883" s="6">
        <f t="shared" si="1886"/>
        <v>-6.683443485</v>
      </c>
      <c r="P1883" s="6">
        <f t="shared" si="1886"/>
        <v>-1.636761419</v>
      </c>
      <c r="Q1883" s="6"/>
      <c r="R1883" s="6"/>
      <c r="S1883" s="6"/>
      <c r="T1883" s="6"/>
      <c r="U1883" s="6"/>
      <c r="V1883" s="6"/>
      <c r="W1883" s="6"/>
      <c r="X1883" s="6"/>
      <c r="Y1883" s="6"/>
      <c r="Z1883" s="6"/>
      <c r="AA1883" s="6"/>
      <c r="AB1883" s="6"/>
      <c r="AC1883" s="6"/>
      <c r="AD1883" s="6"/>
      <c r="AE1883" s="6"/>
      <c r="AF1883" s="6"/>
      <c r="AG1883" s="6"/>
    </row>
    <row r="1884" ht="14.25" customHeight="1">
      <c r="A1884" s="6"/>
      <c r="B1884" s="6"/>
      <c r="C1884" s="6">
        <v>1877.0</v>
      </c>
      <c r="D1884" s="6"/>
      <c r="E1884" s="6">
        <v>8313625.4106016625</v>
      </c>
      <c r="F1884" s="6">
        <v>466.26432732525353</v>
      </c>
      <c r="G1884" s="6">
        <v>4.559421138201202</v>
      </c>
      <c r="H1884" s="6">
        <v>8214656.407585426</v>
      </c>
      <c r="I1884" s="6">
        <v>462.81111305831644</v>
      </c>
      <c r="J1884" s="6">
        <v>3.1853760078497637</v>
      </c>
      <c r="K1884" s="6"/>
      <c r="L1884" s="6"/>
      <c r="M1884" s="6"/>
      <c r="N1884" s="6">
        <f t="shared" ref="N1884:P1884" si="1887">IF(LEN($C1884)&gt;0,H1884-E1884,"")</f>
        <v>-98969.00302</v>
      </c>
      <c r="O1884" s="6">
        <f t="shared" si="1887"/>
        <v>-3.453214267</v>
      </c>
      <c r="P1884" s="6">
        <f t="shared" si="1887"/>
        <v>-1.37404513</v>
      </c>
      <c r="Q1884" s="6"/>
      <c r="R1884" s="6"/>
      <c r="S1884" s="6"/>
      <c r="T1884" s="6"/>
      <c r="U1884" s="6"/>
      <c r="V1884" s="6"/>
      <c r="W1884" s="6"/>
      <c r="X1884" s="6"/>
      <c r="Y1884" s="6"/>
      <c r="Z1884" s="6"/>
      <c r="AA1884" s="6"/>
      <c r="AB1884" s="6"/>
      <c r="AC1884" s="6"/>
      <c r="AD1884" s="6"/>
      <c r="AE1884" s="6"/>
      <c r="AF1884" s="6"/>
      <c r="AG1884" s="6"/>
    </row>
    <row r="1885" ht="14.25" customHeight="1">
      <c r="A1885" s="6"/>
      <c r="B1885" s="6"/>
      <c r="C1885" s="6">
        <v>1878.0</v>
      </c>
      <c r="D1885" s="6"/>
      <c r="E1885" s="6">
        <v>1.1313544979723094E7</v>
      </c>
      <c r="F1885" s="6">
        <v>485.52110611526854</v>
      </c>
      <c r="G1885" s="6">
        <v>6.361527705856753</v>
      </c>
      <c r="H1885" s="6">
        <v>1.1101705660256231E7</v>
      </c>
      <c r="I1885" s="6">
        <v>477.77269074985105</v>
      </c>
      <c r="J1885" s="6">
        <v>5.092463979212419</v>
      </c>
      <c r="K1885" s="6"/>
      <c r="L1885" s="6"/>
      <c r="M1885" s="6"/>
      <c r="N1885" s="6">
        <f t="shared" ref="N1885:P1885" si="1888">IF(LEN($C1885)&gt;0,H1885-E1885,"")</f>
        <v>-211839.3195</v>
      </c>
      <c r="O1885" s="6">
        <f t="shared" si="1888"/>
        <v>-7.748415365</v>
      </c>
      <c r="P1885" s="6">
        <f t="shared" si="1888"/>
        <v>-1.269063727</v>
      </c>
      <c r="Q1885" s="6"/>
      <c r="R1885" s="6"/>
      <c r="S1885" s="6"/>
      <c r="T1885" s="6"/>
      <c r="U1885" s="6"/>
      <c r="V1885" s="6"/>
      <c r="W1885" s="6"/>
      <c r="X1885" s="6"/>
      <c r="Y1885" s="6"/>
      <c r="Z1885" s="6"/>
      <c r="AA1885" s="6"/>
      <c r="AB1885" s="6"/>
      <c r="AC1885" s="6"/>
      <c r="AD1885" s="6"/>
      <c r="AE1885" s="6"/>
      <c r="AF1885" s="6"/>
      <c r="AG1885" s="6"/>
    </row>
    <row r="1886" ht="14.25" customHeight="1">
      <c r="A1886" s="6"/>
      <c r="B1886" s="6"/>
      <c r="C1886" s="6">
        <v>1879.0</v>
      </c>
      <c r="D1886" s="6"/>
      <c r="E1886" s="6">
        <v>6040271.607874675</v>
      </c>
      <c r="F1886" s="6">
        <v>480.85259848677833</v>
      </c>
      <c r="G1886" s="6">
        <v>5.11100023616845</v>
      </c>
      <c r="H1886" s="6">
        <v>5990448.987443575</v>
      </c>
      <c r="I1886" s="6">
        <v>478.33212367813474</v>
      </c>
      <c r="J1886" s="6">
        <v>4.128193156050728</v>
      </c>
      <c r="K1886" s="6"/>
      <c r="L1886" s="6"/>
      <c r="M1886" s="6"/>
      <c r="N1886" s="6">
        <f t="shared" ref="N1886:P1886" si="1889">IF(LEN($C1886)&gt;0,H1886-E1886,"")</f>
        <v>-49822.62043</v>
      </c>
      <c r="O1886" s="6">
        <f t="shared" si="1889"/>
        <v>-2.520474809</v>
      </c>
      <c r="P1886" s="6">
        <f t="shared" si="1889"/>
        <v>-0.9828070801</v>
      </c>
      <c r="Q1886" s="6"/>
      <c r="R1886" s="6"/>
      <c r="S1886" s="6"/>
      <c r="T1886" s="6"/>
      <c r="U1886" s="6"/>
      <c r="V1886" s="6"/>
      <c r="W1886" s="6"/>
      <c r="X1886" s="6"/>
      <c r="Y1886" s="6"/>
      <c r="Z1886" s="6"/>
      <c r="AA1886" s="6"/>
      <c r="AB1886" s="6"/>
      <c r="AC1886" s="6"/>
      <c r="AD1886" s="6"/>
      <c r="AE1886" s="6"/>
      <c r="AF1886" s="6"/>
      <c r="AG1886" s="6"/>
    </row>
    <row r="1887" ht="14.25" customHeight="1">
      <c r="A1887" s="6"/>
      <c r="B1887" s="6"/>
      <c r="C1887" s="6">
        <v>1880.0</v>
      </c>
      <c r="D1887" s="6"/>
      <c r="E1887" s="6">
        <v>5074029.970397203</v>
      </c>
      <c r="F1887" s="6">
        <v>439.8917691235032</v>
      </c>
      <c r="G1887" s="6">
        <v>3.7113191745104857</v>
      </c>
      <c r="H1887" s="6">
        <v>5019003.541665178</v>
      </c>
      <c r="I1887" s="6">
        <v>437.9715104721915</v>
      </c>
      <c r="J1887" s="6">
        <v>2.613797321303861</v>
      </c>
      <c r="K1887" s="6"/>
      <c r="L1887" s="6"/>
      <c r="M1887" s="6"/>
      <c r="N1887" s="6">
        <f t="shared" ref="N1887:P1887" si="1890">IF(LEN($C1887)&gt;0,H1887-E1887,"")</f>
        <v>-55026.42873</v>
      </c>
      <c r="O1887" s="6">
        <f t="shared" si="1890"/>
        <v>-1.920258651</v>
      </c>
      <c r="P1887" s="6">
        <f t="shared" si="1890"/>
        <v>-1.097521853</v>
      </c>
      <c r="Q1887" s="6"/>
      <c r="R1887" s="6"/>
      <c r="S1887" s="6"/>
      <c r="T1887" s="6"/>
      <c r="U1887" s="6"/>
      <c r="V1887" s="6"/>
      <c r="W1887" s="6"/>
      <c r="X1887" s="6"/>
      <c r="Y1887" s="6"/>
      <c r="Z1887" s="6"/>
      <c r="AA1887" s="6"/>
      <c r="AB1887" s="6"/>
      <c r="AC1887" s="6"/>
      <c r="AD1887" s="6"/>
      <c r="AE1887" s="6"/>
      <c r="AF1887" s="6"/>
      <c r="AG1887" s="6"/>
    </row>
    <row r="1888" ht="14.25" customHeight="1">
      <c r="A1888" s="6"/>
      <c r="B1888" s="6"/>
      <c r="C1888" s="6">
        <v>1881.0</v>
      </c>
      <c r="D1888" s="6"/>
      <c r="E1888" s="6">
        <v>8592116.37816091</v>
      </c>
      <c r="F1888" s="6">
        <v>474.71944626542813</v>
      </c>
      <c r="G1888" s="6">
        <v>4.506449848185647</v>
      </c>
      <c r="H1888" s="6">
        <v>8515633.704922419</v>
      </c>
      <c r="I1888" s="6">
        <v>471.7031175436879</v>
      </c>
      <c r="J1888" s="6">
        <v>3.5838218817264997</v>
      </c>
      <c r="K1888" s="6"/>
      <c r="L1888" s="6"/>
      <c r="M1888" s="6"/>
      <c r="N1888" s="6">
        <f t="shared" ref="N1888:P1888" si="1891">IF(LEN($C1888)&gt;0,H1888-E1888,"")</f>
        <v>-76482.67324</v>
      </c>
      <c r="O1888" s="6">
        <f t="shared" si="1891"/>
        <v>-3.016328722</v>
      </c>
      <c r="P1888" s="6">
        <f t="shared" si="1891"/>
        <v>-0.9226279665</v>
      </c>
      <c r="Q1888" s="6"/>
      <c r="R1888" s="6"/>
      <c r="S1888" s="6"/>
      <c r="T1888" s="6"/>
      <c r="U1888" s="6"/>
      <c r="V1888" s="6"/>
      <c r="W1888" s="6"/>
      <c r="X1888" s="6"/>
      <c r="Y1888" s="6"/>
      <c r="Z1888" s="6"/>
      <c r="AA1888" s="6"/>
      <c r="AB1888" s="6"/>
      <c r="AC1888" s="6"/>
      <c r="AD1888" s="6"/>
      <c r="AE1888" s="6"/>
      <c r="AF1888" s="6"/>
      <c r="AG1888" s="6"/>
    </row>
    <row r="1889" ht="14.25" customHeight="1">
      <c r="A1889" s="6"/>
      <c r="B1889" s="6"/>
      <c r="C1889" s="6">
        <v>1882.0</v>
      </c>
      <c r="D1889" s="6"/>
      <c r="E1889" s="6">
        <v>8303830.759657845</v>
      </c>
      <c r="F1889" s="6">
        <v>473.757603036586</v>
      </c>
      <c r="G1889" s="6">
        <v>4.843037063343332</v>
      </c>
      <c r="H1889" s="6">
        <v>8239427.091190544</v>
      </c>
      <c r="I1889" s="6">
        <v>471.6299912810548</v>
      </c>
      <c r="J1889" s="6">
        <v>3.9230671792566922</v>
      </c>
      <c r="K1889" s="6"/>
      <c r="L1889" s="6"/>
      <c r="M1889" s="6"/>
      <c r="N1889" s="6">
        <f t="shared" ref="N1889:P1889" si="1892">IF(LEN($C1889)&gt;0,H1889-E1889,"")</f>
        <v>-64403.66847</v>
      </c>
      <c r="O1889" s="6">
        <f t="shared" si="1892"/>
        <v>-2.127611756</v>
      </c>
      <c r="P1889" s="6">
        <f t="shared" si="1892"/>
        <v>-0.9199698841</v>
      </c>
      <c r="Q1889" s="6"/>
      <c r="R1889" s="6"/>
      <c r="S1889" s="6"/>
      <c r="T1889" s="6"/>
      <c r="U1889" s="6"/>
      <c r="V1889" s="6"/>
      <c r="W1889" s="6"/>
      <c r="X1889" s="6"/>
      <c r="Y1889" s="6"/>
      <c r="Z1889" s="6"/>
      <c r="AA1889" s="6"/>
      <c r="AB1889" s="6"/>
      <c r="AC1889" s="6"/>
      <c r="AD1889" s="6"/>
      <c r="AE1889" s="6"/>
      <c r="AF1889" s="6"/>
      <c r="AG1889" s="6"/>
    </row>
    <row r="1890" ht="14.25" customHeight="1">
      <c r="A1890" s="6"/>
      <c r="B1890" s="6"/>
      <c r="C1890" s="6">
        <v>1883.0</v>
      </c>
      <c r="D1890" s="6"/>
      <c r="E1890" s="6">
        <v>6408399.2204798935</v>
      </c>
      <c r="F1890" s="6">
        <v>490.44266549425765</v>
      </c>
      <c r="G1890" s="6">
        <v>4.385346040607944</v>
      </c>
      <c r="H1890" s="6">
        <v>6353318.311506238</v>
      </c>
      <c r="I1890" s="6">
        <v>488.49232619147153</v>
      </c>
      <c r="J1890" s="6">
        <v>3.581777766706732</v>
      </c>
      <c r="K1890" s="6"/>
      <c r="L1890" s="6"/>
      <c r="M1890" s="6"/>
      <c r="N1890" s="6">
        <f t="shared" ref="N1890:P1890" si="1893">IF(LEN($C1890)&gt;0,H1890-E1890,"")</f>
        <v>-55080.90897</v>
      </c>
      <c r="O1890" s="6">
        <f t="shared" si="1893"/>
        <v>-1.950339303</v>
      </c>
      <c r="P1890" s="6">
        <f t="shared" si="1893"/>
        <v>-0.8035682739</v>
      </c>
      <c r="Q1890" s="6"/>
      <c r="R1890" s="6"/>
      <c r="S1890" s="6"/>
      <c r="T1890" s="6"/>
      <c r="U1890" s="6"/>
      <c r="V1890" s="6"/>
      <c r="W1890" s="6"/>
      <c r="X1890" s="6"/>
      <c r="Y1890" s="6"/>
      <c r="Z1890" s="6"/>
      <c r="AA1890" s="6"/>
      <c r="AB1890" s="6"/>
      <c r="AC1890" s="6"/>
      <c r="AD1890" s="6"/>
      <c r="AE1890" s="6"/>
      <c r="AF1890" s="6"/>
      <c r="AG1890" s="6"/>
    </row>
    <row r="1891" ht="14.25" customHeight="1">
      <c r="A1891" s="6"/>
      <c r="B1891" s="6"/>
      <c r="C1891" s="6">
        <v>1884.0</v>
      </c>
      <c r="D1891" s="6"/>
      <c r="E1891" s="6">
        <v>7312228.947807025</v>
      </c>
      <c r="F1891" s="6">
        <v>436.49671964912534</v>
      </c>
      <c r="G1891" s="6">
        <v>4.7878752784868</v>
      </c>
      <c r="H1891" s="6">
        <v>7241124.096930064</v>
      </c>
      <c r="I1891" s="6">
        <v>434.47893024589695</v>
      </c>
      <c r="J1891" s="6">
        <v>3.771125680576449</v>
      </c>
      <c r="K1891" s="6"/>
      <c r="L1891" s="6"/>
      <c r="M1891" s="6"/>
      <c r="N1891" s="6">
        <f t="shared" ref="N1891:P1891" si="1894">IF(LEN($C1891)&gt;0,H1891-E1891,"")</f>
        <v>-71104.85088</v>
      </c>
      <c r="O1891" s="6">
        <f t="shared" si="1894"/>
        <v>-2.017789403</v>
      </c>
      <c r="P1891" s="6">
        <f t="shared" si="1894"/>
        <v>-1.016749598</v>
      </c>
      <c r="Q1891" s="6"/>
      <c r="R1891" s="6"/>
      <c r="S1891" s="6"/>
      <c r="T1891" s="6"/>
      <c r="U1891" s="6"/>
      <c r="V1891" s="6"/>
      <c r="W1891" s="6"/>
      <c r="X1891" s="6"/>
      <c r="Y1891" s="6"/>
      <c r="Z1891" s="6"/>
      <c r="AA1891" s="6"/>
      <c r="AB1891" s="6"/>
      <c r="AC1891" s="6"/>
      <c r="AD1891" s="6"/>
      <c r="AE1891" s="6"/>
      <c r="AF1891" s="6"/>
      <c r="AG1891" s="6"/>
    </row>
    <row r="1892" ht="14.25" customHeight="1">
      <c r="A1892" s="6"/>
      <c r="B1892" s="6"/>
      <c r="C1892" s="6">
        <v>1885.0</v>
      </c>
      <c r="D1892" s="6"/>
      <c r="E1892" s="6">
        <v>8592837.62959252</v>
      </c>
      <c r="F1892" s="6">
        <v>475.6658564983769</v>
      </c>
      <c r="G1892" s="6">
        <v>3.9339404670524996</v>
      </c>
      <c r="H1892" s="6">
        <v>8488117.22402696</v>
      </c>
      <c r="I1892" s="6">
        <v>470.64019578184724</v>
      </c>
      <c r="J1892" s="6">
        <v>2.997531110231554</v>
      </c>
      <c r="K1892" s="6"/>
      <c r="L1892" s="6"/>
      <c r="M1892" s="6"/>
      <c r="N1892" s="6">
        <f t="shared" ref="N1892:P1892" si="1895">IF(LEN($C1892)&gt;0,H1892-E1892,"")</f>
        <v>-104720.4056</v>
      </c>
      <c r="O1892" s="6">
        <f t="shared" si="1895"/>
        <v>-5.025660717</v>
      </c>
      <c r="P1892" s="6">
        <f t="shared" si="1895"/>
        <v>-0.9364093568</v>
      </c>
      <c r="Q1892" s="6"/>
      <c r="R1892" s="6"/>
      <c r="S1892" s="6"/>
      <c r="T1892" s="6"/>
      <c r="U1892" s="6"/>
      <c r="V1892" s="6"/>
      <c r="W1892" s="6"/>
      <c r="X1892" s="6"/>
      <c r="Y1892" s="6"/>
      <c r="Z1892" s="6"/>
      <c r="AA1892" s="6"/>
      <c r="AB1892" s="6"/>
      <c r="AC1892" s="6"/>
      <c r="AD1892" s="6"/>
      <c r="AE1892" s="6"/>
      <c r="AF1892" s="6"/>
      <c r="AG1892" s="6"/>
    </row>
    <row r="1893" ht="14.25" customHeight="1">
      <c r="A1893" s="6"/>
      <c r="B1893" s="6"/>
      <c r="C1893" s="6">
        <v>1886.0</v>
      </c>
      <c r="D1893" s="6"/>
      <c r="E1893" s="6">
        <v>8987089.067734519</v>
      </c>
      <c r="F1893" s="6">
        <v>464.56595266183774</v>
      </c>
      <c r="G1893" s="6">
        <v>4.381812998606174</v>
      </c>
      <c r="H1893" s="6">
        <v>8897969.559101818</v>
      </c>
      <c r="I1893" s="6">
        <v>462.0611297165271</v>
      </c>
      <c r="J1893" s="6">
        <v>3.436207451696932</v>
      </c>
      <c r="K1893" s="6"/>
      <c r="L1893" s="6"/>
      <c r="M1893" s="6"/>
      <c r="N1893" s="6">
        <f t="shared" ref="N1893:P1893" si="1896">IF(LEN($C1893)&gt;0,H1893-E1893,"")</f>
        <v>-89119.50863</v>
      </c>
      <c r="O1893" s="6">
        <f t="shared" si="1896"/>
        <v>-2.504822945</v>
      </c>
      <c r="P1893" s="6">
        <f t="shared" si="1896"/>
        <v>-0.9456055469</v>
      </c>
      <c r="Q1893" s="6"/>
      <c r="R1893" s="6"/>
      <c r="S1893" s="6"/>
      <c r="T1893" s="6"/>
      <c r="U1893" s="6"/>
      <c r="V1893" s="6"/>
      <c r="W1893" s="6"/>
      <c r="X1893" s="6"/>
      <c r="Y1893" s="6"/>
      <c r="Z1893" s="6"/>
      <c r="AA1893" s="6"/>
      <c r="AB1893" s="6"/>
      <c r="AC1893" s="6"/>
      <c r="AD1893" s="6"/>
      <c r="AE1893" s="6"/>
      <c r="AF1893" s="6"/>
      <c r="AG1893" s="6"/>
    </row>
    <row r="1894" ht="14.25" customHeight="1">
      <c r="A1894" s="6"/>
      <c r="B1894" s="6"/>
      <c r="C1894" s="6">
        <v>1887.0</v>
      </c>
      <c r="D1894" s="6"/>
      <c r="E1894" s="6">
        <v>6049248.28143108</v>
      </c>
      <c r="F1894" s="6">
        <v>435.6286245321896</v>
      </c>
      <c r="G1894" s="6">
        <v>4.300118265411651</v>
      </c>
      <c r="H1894" s="6">
        <v>5973032.375510276</v>
      </c>
      <c r="I1894" s="6">
        <v>433.1199048211453</v>
      </c>
      <c r="J1894" s="6">
        <v>3.47406917482491</v>
      </c>
      <c r="K1894" s="6"/>
      <c r="L1894" s="6"/>
      <c r="M1894" s="6"/>
      <c r="N1894" s="6">
        <f t="shared" ref="N1894:P1894" si="1897">IF(LEN($C1894)&gt;0,H1894-E1894,"")</f>
        <v>-76215.90592</v>
      </c>
      <c r="O1894" s="6">
        <f t="shared" si="1897"/>
        <v>-2.508719711</v>
      </c>
      <c r="P1894" s="6">
        <f t="shared" si="1897"/>
        <v>-0.8260490906</v>
      </c>
      <c r="Q1894" s="6"/>
      <c r="R1894" s="6"/>
      <c r="S1894" s="6"/>
      <c r="T1894" s="6"/>
      <c r="U1894" s="6"/>
      <c r="V1894" s="6"/>
      <c r="W1894" s="6"/>
      <c r="X1894" s="6"/>
      <c r="Y1894" s="6"/>
      <c r="Z1894" s="6"/>
      <c r="AA1894" s="6"/>
      <c r="AB1894" s="6"/>
      <c r="AC1894" s="6"/>
      <c r="AD1894" s="6"/>
      <c r="AE1894" s="6"/>
      <c r="AF1894" s="6"/>
      <c r="AG1894" s="6"/>
    </row>
    <row r="1895" ht="14.25" customHeight="1">
      <c r="A1895" s="6"/>
      <c r="B1895" s="6"/>
      <c r="C1895" s="6">
        <v>1888.0</v>
      </c>
      <c r="D1895" s="6"/>
      <c r="E1895" s="6">
        <v>6479048.958940162</v>
      </c>
      <c r="F1895" s="6">
        <v>440.9787481308153</v>
      </c>
      <c r="G1895" s="6">
        <v>5.293867889723863</v>
      </c>
      <c r="H1895" s="6">
        <v>6354672.214459811</v>
      </c>
      <c r="I1895" s="6">
        <v>435.8195565092191</v>
      </c>
      <c r="J1895" s="6">
        <v>3.972889273213965</v>
      </c>
      <c r="K1895" s="6"/>
      <c r="L1895" s="6"/>
      <c r="M1895" s="6"/>
      <c r="N1895" s="6">
        <f t="shared" ref="N1895:P1895" si="1898">IF(LEN($C1895)&gt;0,H1895-E1895,"")</f>
        <v>-124376.7445</v>
      </c>
      <c r="O1895" s="6">
        <f t="shared" si="1898"/>
        <v>-5.159191622</v>
      </c>
      <c r="P1895" s="6">
        <f t="shared" si="1898"/>
        <v>-1.320978617</v>
      </c>
      <c r="Q1895" s="6"/>
      <c r="R1895" s="6"/>
      <c r="S1895" s="6"/>
      <c r="T1895" s="6"/>
      <c r="U1895" s="6"/>
      <c r="V1895" s="6"/>
      <c r="W1895" s="6"/>
      <c r="X1895" s="6"/>
      <c r="Y1895" s="6"/>
      <c r="Z1895" s="6"/>
      <c r="AA1895" s="6"/>
      <c r="AB1895" s="6"/>
      <c r="AC1895" s="6"/>
      <c r="AD1895" s="6"/>
      <c r="AE1895" s="6"/>
      <c r="AF1895" s="6"/>
      <c r="AG1895" s="6"/>
    </row>
    <row r="1896" ht="14.25" customHeight="1">
      <c r="A1896" s="6"/>
      <c r="B1896" s="6"/>
      <c r="C1896" s="6">
        <v>1889.0</v>
      </c>
      <c r="D1896" s="6"/>
      <c r="E1896" s="6">
        <v>6758200.073265292</v>
      </c>
      <c r="F1896" s="6">
        <v>456.58269947934986</v>
      </c>
      <c r="G1896" s="6">
        <v>5.4376613535969405</v>
      </c>
      <c r="H1896" s="6">
        <v>6593770.010666077</v>
      </c>
      <c r="I1896" s="6">
        <v>448.43138992025627</v>
      </c>
      <c r="J1896" s="6">
        <v>3.6543436935475357</v>
      </c>
      <c r="K1896" s="6"/>
      <c r="L1896" s="6"/>
      <c r="M1896" s="6"/>
      <c r="N1896" s="6">
        <f t="shared" ref="N1896:P1896" si="1899">IF(LEN($C1896)&gt;0,H1896-E1896,"")</f>
        <v>-164430.0626</v>
      </c>
      <c r="O1896" s="6">
        <f t="shared" si="1899"/>
        <v>-8.151309559</v>
      </c>
      <c r="P1896" s="6">
        <f t="shared" si="1899"/>
        <v>-1.78331766</v>
      </c>
      <c r="Q1896" s="6"/>
      <c r="R1896" s="6"/>
      <c r="S1896" s="6"/>
      <c r="T1896" s="6"/>
      <c r="U1896" s="6"/>
      <c r="V1896" s="6"/>
      <c r="W1896" s="6"/>
      <c r="X1896" s="6"/>
      <c r="Y1896" s="6"/>
      <c r="Z1896" s="6"/>
      <c r="AA1896" s="6"/>
      <c r="AB1896" s="6"/>
      <c r="AC1896" s="6"/>
      <c r="AD1896" s="6"/>
      <c r="AE1896" s="6"/>
      <c r="AF1896" s="6"/>
      <c r="AG1896" s="6"/>
    </row>
    <row r="1897" ht="14.25" customHeight="1">
      <c r="A1897" s="6"/>
      <c r="B1897" s="6"/>
      <c r="C1897" s="6">
        <v>1890.0</v>
      </c>
      <c r="D1897" s="6"/>
      <c r="E1897" s="6">
        <v>5211303.669744859</v>
      </c>
      <c r="F1897" s="6">
        <v>465.14594037270786</v>
      </c>
      <c r="G1897" s="6">
        <v>6.515069022717174</v>
      </c>
      <c r="H1897" s="6">
        <v>5098948.912779967</v>
      </c>
      <c r="I1897" s="6">
        <v>461.12180635488136</v>
      </c>
      <c r="J1897" s="6">
        <v>4.782852430238214</v>
      </c>
      <c r="K1897" s="6"/>
      <c r="L1897" s="6"/>
      <c r="M1897" s="6"/>
      <c r="N1897" s="6">
        <f t="shared" ref="N1897:P1897" si="1900">IF(LEN($C1897)&gt;0,H1897-E1897,"")</f>
        <v>-112354.757</v>
      </c>
      <c r="O1897" s="6">
        <f t="shared" si="1900"/>
        <v>-4.024134018</v>
      </c>
      <c r="P1897" s="6">
        <f t="shared" si="1900"/>
        <v>-1.732216592</v>
      </c>
      <c r="Q1897" s="6"/>
      <c r="R1897" s="6"/>
      <c r="S1897" s="6"/>
      <c r="T1897" s="6"/>
      <c r="U1897" s="6"/>
      <c r="V1897" s="6"/>
      <c r="W1897" s="6"/>
      <c r="X1897" s="6"/>
      <c r="Y1897" s="6"/>
      <c r="Z1897" s="6"/>
      <c r="AA1897" s="6"/>
      <c r="AB1897" s="6"/>
      <c r="AC1897" s="6"/>
      <c r="AD1897" s="6"/>
      <c r="AE1897" s="6"/>
      <c r="AF1897" s="6"/>
      <c r="AG1897" s="6"/>
    </row>
    <row r="1898" ht="14.25" customHeight="1">
      <c r="A1898" s="6"/>
      <c r="B1898" s="6"/>
      <c r="C1898" s="6">
        <v>1891.0</v>
      </c>
      <c r="D1898" s="6"/>
      <c r="E1898" s="6">
        <v>8795092.38696776</v>
      </c>
      <c r="F1898" s="6">
        <v>491.08302190601404</v>
      </c>
      <c r="G1898" s="6">
        <v>4.876691058417212</v>
      </c>
      <c r="H1898" s="6">
        <v>8558720.272575049</v>
      </c>
      <c r="I1898" s="6">
        <v>479.8458792108332</v>
      </c>
      <c r="J1898" s="6">
        <v>3.4547523047335056</v>
      </c>
      <c r="K1898" s="6"/>
      <c r="L1898" s="6"/>
      <c r="M1898" s="6"/>
      <c r="N1898" s="6">
        <f t="shared" ref="N1898:P1898" si="1901">IF(LEN($C1898)&gt;0,H1898-E1898,"")</f>
        <v>-236372.1144</v>
      </c>
      <c r="O1898" s="6">
        <f t="shared" si="1901"/>
        <v>-11.2371427</v>
      </c>
      <c r="P1898" s="6">
        <f t="shared" si="1901"/>
        <v>-1.421938754</v>
      </c>
      <c r="Q1898" s="6"/>
      <c r="R1898" s="6"/>
      <c r="S1898" s="6"/>
      <c r="T1898" s="6"/>
      <c r="U1898" s="6"/>
      <c r="V1898" s="6"/>
      <c r="W1898" s="6"/>
      <c r="X1898" s="6"/>
      <c r="Y1898" s="6"/>
      <c r="Z1898" s="6"/>
      <c r="AA1898" s="6"/>
      <c r="AB1898" s="6"/>
      <c r="AC1898" s="6"/>
      <c r="AD1898" s="6"/>
      <c r="AE1898" s="6"/>
      <c r="AF1898" s="6"/>
      <c r="AG1898" s="6"/>
    </row>
    <row r="1899" ht="14.25" customHeight="1">
      <c r="A1899" s="6"/>
      <c r="B1899" s="6"/>
      <c r="C1899" s="6">
        <v>1892.0</v>
      </c>
      <c r="D1899" s="6"/>
      <c r="E1899" s="6">
        <v>7358363.01350437</v>
      </c>
      <c r="F1899" s="6">
        <v>442.92961470621714</v>
      </c>
      <c r="G1899" s="6">
        <v>6.039046102130781</v>
      </c>
      <c r="H1899" s="6">
        <v>7281144.735075979</v>
      </c>
      <c r="I1899" s="6">
        <v>441.0057360884549</v>
      </c>
      <c r="J1899" s="6">
        <v>4.710423246645307</v>
      </c>
      <c r="K1899" s="6"/>
      <c r="L1899" s="6"/>
      <c r="M1899" s="6"/>
      <c r="N1899" s="6">
        <f t="shared" ref="N1899:P1899" si="1902">IF(LEN($C1899)&gt;0,H1899-E1899,"")</f>
        <v>-77218.27843</v>
      </c>
      <c r="O1899" s="6">
        <f t="shared" si="1902"/>
        <v>-1.923878618</v>
      </c>
      <c r="P1899" s="6">
        <f t="shared" si="1902"/>
        <v>-1.328622855</v>
      </c>
      <c r="Q1899" s="6"/>
      <c r="R1899" s="6"/>
      <c r="S1899" s="6"/>
      <c r="T1899" s="6"/>
      <c r="U1899" s="6"/>
      <c r="V1899" s="6"/>
      <c r="W1899" s="6"/>
      <c r="X1899" s="6"/>
      <c r="Y1899" s="6"/>
      <c r="Z1899" s="6"/>
      <c r="AA1899" s="6"/>
      <c r="AB1899" s="6"/>
      <c r="AC1899" s="6"/>
      <c r="AD1899" s="6"/>
      <c r="AE1899" s="6"/>
      <c r="AF1899" s="6"/>
      <c r="AG1899" s="6"/>
    </row>
    <row r="1900" ht="14.25" customHeight="1">
      <c r="A1900" s="6"/>
      <c r="B1900" s="6"/>
      <c r="C1900" s="6">
        <v>1893.0</v>
      </c>
      <c r="D1900" s="6"/>
      <c r="E1900" s="6">
        <v>8213449.782587244</v>
      </c>
      <c r="F1900" s="6">
        <v>489.60179990321217</v>
      </c>
      <c r="G1900" s="6">
        <v>5.289884860740572</v>
      </c>
      <c r="H1900" s="6">
        <v>8129727.334027624</v>
      </c>
      <c r="I1900" s="6">
        <v>485.4355271672058</v>
      </c>
      <c r="J1900" s="6">
        <v>4.475425021237017</v>
      </c>
      <c r="K1900" s="6"/>
      <c r="L1900" s="6"/>
      <c r="M1900" s="6"/>
      <c r="N1900" s="6">
        <f t="shared" ref="N1900:P1900" si="1903">IF(LEN($C1900)&gt;0,H1900-E1900,"")</f>
        <v>-83722.44856</v>
      </c>
      <c r="O1900" s="6">
        <f t="shared" si="1903"/>
        <v>-4.166272736</v>
      </c>
      <c r="P1900" s="6">
        <f t="shared" si="1903"/>
        <v>-0.8144598395</v>
      </c>
      <c r="Q1900" s="6"/>
      <c r="R1900" s="6"/>
      <c r="S1900" s="6"/>
      <c r="T1900" s="6"/>
      <c r="U1900" s="6"/>
      <c r="V1900" s="6"/>
      <c r="W1900" s="6"/>
      <c r="X1900" s="6"/>
      <c r="Y1900" s="6"/>
      <c r="Z1900" s="6"/>
      <c r="AA1900" s="6"/>
      <c r="AB1900" s="6"/>
      <c r="AC1900" s="6"/>
      <c r="AD1900" s="6"/>
      <c r="AE1900" s="6"/>
      <c r="AF1900" s="6"/>
      <c r="AG1900" s="6"/>
    </row>
    <row r="1901" ht="14.25" customHeight="1">
      <c r="A1901" s="6"/>
      <c r="B1901" s="6"/>
      <c r="C1901" s="6">
        <v>1894.0</v>
      </c>
      <c r="D1901" s="6"/>
      <c r="E1901" s="6">
        <v>5424271.856693984</v>
      </c>
      <c r="F1901" s="6">
        <v>462.7846219055335</v>
      </c>
      <c r="G1901" s="6">
        <v>4.98888849414634</v>
      </c>
      <c r="H1901" s="6">
        <v>5336372.858422791</v>
      </c>
      <c r="I1901" s="6">
        <v>460.20280882479307</v>
      </c>
      <c r="J1901" s="6">
        <v>3.417574171376211</v>
      </c>
      <c r="K1901" s="6"/>
      <c r="L1901" s="6"/>
      <c r="M1901" s="6"/>
      <c r="N1901" s="6">
        <f t="shared" ref="N1901:P1901" si="1904">IF(LEN($C1901)&gt;0,H1901-E1901,"")</f>
        <v>-87898.99827</v>
      </c>
      <c r="O1901" s="6">
        <f t="shared" si="1904"/>
        <v>-2.581813081</v>
      </c>
      <c r="P1901" s="6">
        <f t="shared" si="1904"/>
        <v>-1.571314323</v>
      </c>
      <c r="Q1901" s="6"/>
      <c r="R1901" s="6"/>
      <c r="S1901" s="6"/>
      <c r="T1901" s="6"/>
      <c r="U1901" s="6"/>
      <c r="V1901" s="6"/>
      <c r="W1901" s="6"/>
      <c r="X1901" s="6"/>
      <c r="Y1901" s="6"/>
      <c r="Z1901" s="6"/>
      <c r="AA1901" s="6"/>
      <c r="AB1901" s="6"/>
      <c r="AC1901" s="6"/>
      <c r="AD1901" s="6"/>
      <c r="AE1901" s="6"/>
      <c r="AF1901" s="6"/>
      <c r="AG1901" s="6"/>
    </row>
    <row r="1902" ht="14.25" customHeight="1">
      <c r="A1902" s="6"/>
      <c r="B1902" s="6"/>
      <c r="C1902" s="6">
        <v>1895.0</v>
      </c>
      <c r="D1902" s="6"/>
      <c r="E1902" s="6">
        <v>8656152.444416905</v>
      </c>
      <c r="F1902" s="6">
        <v>446.17491955539634</v>
      </c>
      <c r="G1902" s="6">
        <v>5.755947983562875</v>
      </c>
      <c r="H1902" s="6">
        <v>8587671.977794863</v>
      </c>
      <c r="I1902" s="6">
        <v>443.2444786430525</v>
      </c>
      <c r="J1902" s="6">
        <v>4.96413346013238</v>
      </c>
      <c r="K1902" s="6"/>
      <c r="L1902" s="6"/>
      <c r="M1902" s="6"/>
      <c r="N1902" s="6">
        <f t="shared" ref="N1902:P1902" si="1905">IF(LEN($C1902)&gt;0,H1902-E1902,"")</f>
        <v>-68480.46662</v>
      </c>
      <c r="O1902" s="6">
        <f t="shared" si="1905"/>
        <v>-2.930440912</v>
      </c>
      <c r="P1902" s="6">
        <f t="shared" si="1905"/>
        <v>-0.7918145234</v>
      </c>
      <c r="Q1902" s="6"/>
      <c r="R1902" s="6"/>
      <c r="S1902" s="6"/>
      <c r="T1902" s="6"/>
      <c r="U1902" s="6"/>
      <c r="V1902" s="6"/>
      <c r="W1902" s="6"/>
      <c r="X1902" s="6"/>
      <c r="Y1902" s="6"/>
      <c r="Z1902" s="6"/>
      <c r="AA1902" s="6"/>
      <c r="AB1902" s="6"/>
      <c r="AC1902" s="6"/>
      <c r="AD1902" s="6"/>
      <c r="AE1902" s="6"/>
      <c r="AF1902" s="6"/>
      <c r="AG1902" s="6"/>
    </row>
    <row r="1903" ht="14.25" customHeight="1">
      <c r="A1903" s="6"/>
      <c r="B1903" s="6"/>
      <c r="C1903" s="6">
        <v>1896.0</v>
      </c>
      <c r="D1903" s="6"/>
      <c r="E1903" s="6">
        <v>8339730.918526166</v>
      </c>
      <c r="F1903" s="6">
        <v>458.8402412969463</v>
      </c>
      <c r="G1903" s="6">
        <v>5.831558559251553</v>
      </c>
      <c r="H1903" s="6">
        <v>8255248.068514759</v>
      </c>
      <c r="I1903" s="6">
        <v>453.8219869808888</v>
      </c>
      <c r="J1903" s="6">
        <v>4.4490139942384825</v>
      </c>
      <c r="K1903" s="6"/>
      <c r="L1903" s="6"/>
      <c r="M1903" s="6"/>
      <c r="N1903" s="6">
        <f t="shared" ref="N1903:P1903" si="1906">IF(LEN($C1903)&gt;0,H1903-E1903,"")</f>
        <v>-84482.85001</v>
      </c>
      <c r="O1903" s="6">
        <f t="shared" si="1906"/>
        <v>-5.018254316</v>
      </c>
      <c r="P1903" s="6">
        <f t="shared" si="1906"/>
        <v>-1.382544565</v>
      </c>
      <c r="Q1903" s="6"/>
      <c r="R1903" s="6"/>
      <c r="S1903" s="6"/>
      <c r="T1903" s="6"/>
      <c r="U1903" s="6"/>
      <c r="V1903" s="6"/>
      <c r="W1903" s="6"/>
      <c r="X1903" s="6"/>
      <c r="Y1903" s="6"/>
      <c r="Z1903" s="6"/>
      <c r="AA1903" s="6"/>
      <c r="AB1903" s="6"/>
      <c r="AC1903" s="6"/>
      <c r="AD1903" s="6"/>
      <c r="AE1903" s="6"/>
      <c r="AF1903" s="6"/>
      <c r="AG1903" s="6"/>
    </row>
    <row r="1904" ht="14.25" customHeight="1">
      <c r="A1904" s="6"/>
      <c r="B1904" s="6"/>
      <c r="C1904" s="6">
        <v>1897.0</v>
      </c>
      <c r="D1904" s="6"/>
      <c r="E1904" s="6">
        <v>6561072.726806066</v>
      </c>
      <c r="F1904" s="6">
        <v>438.80071851073455</v>
      </c>
      <c r="G1904" s="6">
        <v>6.0260707729935925</v>
      </c>
      <c r="H1904" s="6">
        <v>6504548.83873061</v>
      </c>
      <c r="I1904" s="6">
        <v>436.8449913131831</v>
      </c>
      <c r="J1904" s="6">
        <v>5.391027364000989</v>
      </c>
      <c r="K1904" s="6"/>
      <c r="L1904" s="6"/>
      <c r="M1904" s="6"/>
      <c r="N1904" s="6">
        <f t="shared" ref="N1904:P1904" si="1907">IF(LEN($C1904)&gt;0,H1904-E1904,"")</f>
        <v>-56523.88808</v>
      </c>
      <c r="O1904" s="6">
        <f t="shared" si="1907"/>
        <v>-1.955727198</v>
      </c>
      <c r="P1904" s="6">
        <f t="shared" si="1907"/>
        <v>-0.635043409</v>
      </c>
      <c r="Q1904" s="6"/>
      <c r="R1904" s="6"/>
      <c r="S1904" s="6"/>
      <c r="T1904" s="6"/>
      <c r="U1904" s="6"/>
      <c r="V1904" s="6"/>
      <c r="W1904" s="6"/>
      <c r="X1904" s="6"/>
      <c r="Y1904" s="6"/>
      <c r="Z1904" s="6"/>
      <c r="AA1904" s="6"/>
      <c r="AB1904" s="6"/>
      <c r="AC1904" s="6"/>
      <c r="AD1904" s="6"/>
      <c r="AE1904" s="6"/>
      <c r="AF1904" s="6"/>
      <c r="AG1904" s="6"/>
    </row>
    <row r="1905" ht="14.25" customHeight="1">
      <c r="A1905" s="6"/>
      <c r="B1905" s="6"/>
      <c r="C1905" s="6">
        <v>1898.0</v>
      </c>
      <c r="D1905" s="6"/>
      <c r="E1905" s="6">
        <v>6762346.500822145</v>
      </c>
      <c r="F1905" s="6">
        <v>493.5083802478783</v>
      </c>
      <c r="G1905" s="6">
        <v>4.08979380222512</v>
      </c>
      <c r="H1905" s="6">
        <v>6609213.975038498</v>
      </c>
      <c r="I1905" s="6">
        <v>487.38139436756234</v>
      </c>
      <c r="J1905" s="6">
        <v>2.971123818243704</v>
      </c>
      <c r="K1905" s="6"/>
      <c r="L1905" s="6"/>
      <c r="M1905" s="6"/>
      <c r="N1905" s="6">
        <f t="shared" ref="N1905:P1905" si="1908">IF(LEN($C1905)&gt;0,H1905-E1905,"")</f>
        <v>-153132.5258</v>
      </c>
      <c r="O1905" s="6">
        <f t="shared" si="1908"/>
        <v>-6.12698588</v>
      </c>
      <c r="P1905" s="6">
        <f t="shared" si="1908"/>
        <v>-1.118669984</v>
      </c>
      <c r="Q1905" s="6"/>
      <c r="R1905" s="6"/>
      <c r="S1905" s="6"/>
      <c r="T1905" s="6"/>
      <c r="U1905" s="6"/>
      <c r="V1905" s="6"/>
      <c r="W1905" s="6"/>
      <c r="X1905" s="6"/>
      <c r="Y1905" s="6"/>
      <c r="Z1905" s="6"/>
      <c r="AA1905" s="6"/>
      <c r="AB1905" s="6"/>
      <c r="AC1905" s="6"/>
      <c r="AD1905" s="6"/>
      <c r="AE1905" s="6"/>
      <c r="AF1905" s="6"/>
      <c r="AG1905" s="6"/>
    </row>
    <row r="1906" ht="14.25" customHeight="1">
      <c r="A1906" s="6"/>
      <c r="B1906" s="6"/>
      <c r="C1906" s="6">
        <v>1899.0</v>
      </c>
      <c r="D1906" s="6"/>
      <c r="E1906" s="6">
        <v>8279605.90272252</v>
      </c>
      <c r="F1906" s="6">
        <v>488.1189017292682</v>
      </c>
      <c r="G1906" s="6">
        <v>4.24987553758443</v>
      </c>
      <c r="H1906" s="6">
        <v>8168551.219685723</v>
      </c>
      <c r="I1906" s="6">
        <v>482.12797663377194</v>
      </c>
      <c r="J1906" s="6">
        <v>3.546686071114812</v>
      </c>
      <c r="K1906" s="6"/>
      <c r="L1906" s="6"/>
      <c r="M1906" s="6"/>
      <c r="N1906" s="6">
        <f t="shared" ref="N1906:P1906" si="1909">IF(LEN($C1906)&gt;0,H1906-E1906,"")</f>
        <v>-111054.683</v>
      </c>
      <c r="O1906" s="6">
        <f t="shared" si="1909"/>
        <v>-5.990925095</v>
      </c>
      <c r="P1906" s="6">
        <f t="shared" si="1909"/>
        <v>-0.7031894665</v>
      </c>
      <c r="Q1906" s="6"/>
      <c r="R1906" s="6"/>
      <c r="S1906" s="6"/>
      <c r="T1906" s="6"/>
      <c r="U1906" s="6"/>
      <c r="V1906" s="6"/>
      <c r="W1906" s="6"/>
      <c r="X1906" s="6"/>
      <c r="Y1906" s="6"/>
      <c r="Z1906" s="6"/>
      <c r="AA1906" s="6"/>
      <c r="AB1906" s="6"/>
      <c r="AC1906" s="6"/>
      <c r="AD1906" s="6"/>
      <c r="AE1906" s="6"/>
      <c r="AF1906" s="6"/>
      <c r="AG1906" s="6"/>
    </row>
    <row r="1907" ht="14.25" customHeight="1">
      <c r="A1907" s="6"/>
      <c r="B1907" s="6"/>
      <c r="C1907" s="6">
        <v>1900.0</v>
      </c>
      <c r="D1907" s="6"/>
      <c r="E1907" s="6">
        <v>9113569.26419469</v>
      </c>
      <c r="F1907" s="6">
        <v>486.2781871711821</v>
      </c>
      <c r="G1907" s="6">
        <v>4.974107961263645</v>
      </c>
      <c r="H1907" s="6">
        <v>9015540.01644339</v>
      </c>
      <c r="I1907" s="6">
        <v>482.20432286154596</v>
      </c>
      <c r="J1907" s="6">
        <v>4.0189458588409295</v>
      </c>
      <c r="K1907" s="6"/>
      <c r="L1907" s="6"/>
      <c r="M1907" s="6"/>
      <c r="N1907" s="6">
        <f t="shared" ref="N1907:P1907" si="1910">IF(LEN($C1907)&gt;0,H1907-E1907,"")</f>
        <v>-98029.24775</v>
      </c>
      <c r="O1907" s="6">
        <f t="shared" si="1910"/>
        <v>-4.07386431</v>
      </c>
      <c r="P1907" s="6">
        <f t="shared" si="1910"/>
        <v>-0.9551621024</v>
      </c>
      <c r="Q1907" s="6"/>
      <c r="R1907" s="6"/>
      <c r="S1907" s="6"/>
      <c r="T1907" s="6"/>
      <c r="U1907" s="6"/>
      <c r="V1907" s="6"/>
      <c r="W1907" s="6"/>
      <c r="X1907" s="6"/>
      <c r="Y1907" s="6"/>
      <c r="Z1907" s="6"/>
      <c r="AA1907" s="6"/>
      <c r="AB1907" s="6"/>
      <c r="AC1907" s="6"/>
      <c r="AD1907" s="6"/>
      <c r="AE1907" s="6"/>
      <c r="AF1907" s="6"/>
      <c r="AG1907" s="6"/>
    </row>
    <row r="1908" ht="14.25" customHeight="1">
      <c r="A1908" s="6"/>
      <c r="B1908" s="6"/>
      <c r="C1908" s="6">
        <v>1901.0</v>
      </c>
      <c r="D1908" s="6"/>
      <c r="E1908" s="6">
        <v>7638152.728660442</v>
      </c>
      <c r="F1908" s="6">
        <v>454.5390530932896</v>
      </c>
      <c r="G1908" s="6">
        <v>4.424894208884947</v>
      </c>
      <c r="H1908" s="6">
        <v>7506858.375293569</v>
      </c>
      <c r="I1908" s="6">
        <v>449.29640747280126</v>
      </c>
      <c r="J1908" s="6">
        <v>3.225055651726568</v>
      </c>
      <c r="K1908" s="6"/>
      <c r="L1908" s="6"/>
      <c r="M1908" s="6"/>
      <c r="N1908" s="6">
        <f t="shared" ref="N1908:P1908" si="1911">IF(LEN($C1908)&gt;0,H1908-E1908,"")</f>
        <v>-131294.3534</v>
      </c>
      <c r="O1908" s="6">
        <f t="shared" si="1911"/>
        <v>-5.24264562</v>
      </c>
      <c r="P1908" s="6">
        <f t="shared" si="1911"/>
        <v>-1.199838557</v>
      </c>
      <c r="Q1908" s="6"/>
      <c r="R1908" s="6"/>
      <c r="S1908" s="6"/>
      <c r="T1908" s="6"/>
      <c r="U1908" s="6"/>
      <c r="V1908" s="6"/>
      <c r="W1908" s="6"/>
      <c r="X1908" s="6"/>
      <c r="Y1908" s="6"/>
      <c r="Z1908" s="6"/>
      <c r="AA1908" s="6"/>
      <c r="AB1908" s="6"/>
      <c r="AC1908" s="6"/>
      <c r="AD1908" s="6"/>
      <c r="AE1908" s="6"/>
      <c r="AF1908" s="6"/>
      <c r="AG1908" s="6"/>
    </row>
    <row r="1909" ht="14.25" customHeight="1">
      <c r="A1909" s="6"/>
      <c r="B1909" s="6"/>
      <c r="C1909" s="6">
        <v>1902.0</v>
      </c>
      <c r="D1909" s="6"/>
      <c r="E1909" s="6">
        <v>6481834.076008803</v>
      </c>
      <c r="F1909" s="6">
        <v>439.8044508885894</v>
      </c>
      <c r="G1909" s="6">
        <v>4.478467817835275</v>
      </c>
      <c r="H1909" s="6">
        <v>6403452.838069229</v>
      </c>
      <c r="I1909" s="6">
        <v>436.779037327256</v>
      </c>
      <c r="J1909" s="6">
        <v>3.592359656139924</v>
      </c>
      <c r="K1909" s="6"/>
      <c r="L1909" s="6"/>
      <c r="M1909" s="6"/>
      <c r="N1909" s="6">
        <f t="shared" ref="N1909:P1909" si="1912">IF(LEN($C1909)&gt;0,H1909-E1909,"")</f>
        <v>-78381.23794</v>
      </c>
      <c r="O1909" s="6">
        <f t="shared" si="1912"/>
        <v>-3.025413561</v>
      </c>
      <c r="P1909" s="6">
        <f t="shared" si="1912"/>
        <v>-0.8861081617</v>
      </c>
      <c r="Q1909" s="6"/>
      <c r="R1909" s="6"/>
      <c r="S1909" s="6"/>
      <c r="T1909" s="6"/>
      <c r="U1909" s="6"/>
      <c r="V1909" s="6"/>
      <c r="W1909" s="6"/>
      <c r="X1909" s="6"/>
      <c r="Y1909" s="6"/>
      <c r="Z1909" s="6"/>
      <c r="AA1909" s="6"/>
      <c r="AB1909" s="6"/>
      <c r="AC1909" s="6"/>
      <c r="AD1909" s="6"/>
      <c r="AE1909" s="6"/>
      <c r="AF1909" s="6"/>
      <c r="AG1909" s="6"/>
    </row>
    <row r="1910" ht="14.25" customHeight="1">
      <c r="A1910" s="6"/>
      <c r="B1910" s="6"/>
      <c r="C1910" s="6">
        <v>1903.0</v>
      </c>
      <c r="D1910" s="6"/>
      <c r="E1910" s="6">
        <v>8460447.01416222</v>
      </c>
      <c r="F1910" s="6">
        <v>470.1886480418812</v>
      </c>
      <c r="G1910" s="6">
        <v>5.27312507726335</v>
      </c>
      <c r="H1910" s="6">
        <v>8300148.657567559</v>
      </c>
      <c r="I1910" s="6">
        <v>465.5358444469399</v>
      </c>
      <c r="J1910" s="6">
        <v>3.853064402278166</v>
      </c>
      <c r="K1910" s="6"/>
      <c r="L1910" s="6"/>
      <c r="M1910" s="6"/>
      <c r="N1910" s="6">
        <f t="shared" ref="N1910:P1910" si="1913">IF(LEN($C1910)&gt;0,H1910-E1910,"")</f>
        <v>-160298.3566</v>
      </c>
      <c r="O1910" s="6">
        <f t="shared" si="1913"/>
        <v>-4.652803595</v>
      </c>
      <c r="P1910" s="6">
        <f t="shared" si="1913"/>
        <v>-1.420060675</v>
      </c>
      <c r="Q1910" s="6"/>
      <c r="R1910" s="6"/>
      <c r="S1910" s="6"/>
      <c r="T1910" s="6"/>
      <c r="U1910" s="6"/>
      <c r="V1910" s="6"/>
      <c r="W1910" s="6"/>
      <c r="X1910" s="6"/>
      <c r="Y1910" s="6"/>
      <c r="Z1910" s="6"/>
      <c r="AA1910" s="6"/>
      <c r="AB1910" s="6"/>
      <c r="AC1910" s="6"/>
      <c r="AD1910" s="6"/>
      <c r="AE1910" s="6"/>
      <c r="AF1910" s="6"/>
      <c r="AG1910" s="6"/>
    </row>
    <row r="1911" ht="14.25" customHeight="1">
      <c r="A1911" s="6"/>
      <c r="B1911" s="6"/>
      <c r="C1911" s="6">
        <v>1904.0</v>
      </c>
      <c r="D1911" s="6"/>
      <c r="E1911" s="6">
        <v>8009017.401611575</v>
      </c>
      <c r="F1911" s="6">
        <v>436.40034277684504</v>
      </c>
      <c r="G1911" s="6">
        <v>6.135346497912377</v>
      </c>
      <c r="H1911" s="6">
        <v>7883917.915685221</v>
      </c>
      <c r="I1911" s="6">
        <v>432.45156644343626</v>
      </c>
      <c r="J1911" s="6">
        <v>4.261305650793933</v>
      </c>
      <c r="K1911" s="6"/>
      <c r="L1911" s="6"/>
      <c r="M1911" s="6"/>
      <c r="N1911" s="6">
        <f t="shared" ref="N1911:P1911" si="1914">IF(LEN($C1911)&gt;0,H1911-E1911,"")</f>
        <v>-125099.4859</v>
      </c>
      <c r="O1911" s="6">
        <f t="shared" si="1914"/>
        <v>-3.948776333</v>
      </c>
      <c r="P1911" s="6">
        <f t="shared" si="1914"/>
        <v>-1.874040847</v>
      </c>
      <c r="Q1911" s="6"/>
      <c r="R1911" s="6"/>
      <c r="S1911" s="6"/>
      <c r="T1911" s="6"/>
      <c r="U1911" s="6"/>
      <c r="V1911" s="6"/>
      <c r="W1911" s="6"/>
      <c r="X1911" s="6"/>
      <c r="Y1911" s="6"/>
      <c r="Z1911" s="6"/>
      <c r="AA1911" s="6"/>
      <c r="AB1911" s="6"/>
      <c r="AC1911" s="6"/>
      <c r="AD1911" s="6"/>
      <c r="AE1911" s="6"/>
      <c r="AF1911" s="6"/>
      <c r="AG1911" s="6"/>
    </row>
    <row r="1912" ht="14.25" customHeight="1">
      <c r="A1912" s="6"/>
      <c r="B1912" s="6"/>
      <c r="C1912" s="6">
        <v>1905.0</v>
      </c>
      <c r="D1912" s="6"/>
      <c r="E1912" s="6">
        <v>6398152.979833429</v>
      </c>
      <c r="F1912" s="6">
        <v>441.32973047348383</v>
      </c>
      <c r="G1912" s="6">
        <v>5.386264989744953</v>
      </c>
      <c r="H1912" s="6">
        <v>6334241.734109348</v>
      </c>
      <c r="I1912" s="6">
        <v>439.6146810660369</v>
      </c>
      <c r="J1912" s="6">
        <v>4.102097986944061</v>
      </c>
      <c r="K1912" s="6"/>
      <c r="L1912" s="6"/>
      <c r="M1912" s="6"/>
      <c r="N1912" s="6">
        <f t="shared" ref="N1912:P1912" si="1915">IF(LEN($C1912)&gt;0,H1912-E1912,"")</f>
        <v>-63911.24572</v>
      </c>
      <c r="O1912" s="6">
        <f t="shared" si="1915"/>
        <v>-1.715049407</v>
      </c>
      <c r="P1912" s="6">
        <f t="shared" si="1915"/>
        <v>-1.284167003</v>
      </c>
      <c r="Q1912" s="6"/>
      <c r="R1912" s="6"/>
      <c r="S1912" s="6"/>
      <c r="T1912" s="6"/>
      <c r="U1912" s="6"/>
      <c r="V1912" s="6"/>
      <c r="W1912" s="6"/>
      <c r="X1912" s="6"/>
      <c r="Y1912" s="6"/>
      <c r="Z1912" s="6"/>
      <c r="AA1912" s="6"/>
      <c r="AB1912" s="6"/>
      <c r="AC1912" s="6"/>
      <c r="AD1912" s="6"/>
      <c r="AE1912" s="6"/>
      <c r="AF1912" s="6"/>
      <c r="AG1912" s="6"/>
    </row>
    <row r="1913" ht="14.25" customHeight="1">
      <c r="A1913" s="6"/>
      <c r="B1913" s="6"/>
      <c r="C1913" s="6">
        <v>1906.0</v>
      </c>
      <c r="D1913" s="6"/>
      <c r="E1913" s="6">
        <v>9159682.687814752</v>
      </c>
      <c r="F1913" s="6">
        <v>479.19189183824767</v>
      </c>
      <c r="G1913" s="6">
        <v>6.495235946971451</v>
      </c>
      <c r="H1913" s="6">
        <v>9056401.492249658</v>
      </c>
      <c r="I1913" s="6">
        <v>475.7113242019639</v>
      </c>
      <c r="J1913" s="6">
        <v>4.738777026694853</v>
      </c>
      <c r="K1913" s="6"/>
      <c r="L1913" s="6"/>
      <c r="M1913" s="6"/>
      <c r="N1913" s="6">
        <f t="shared" ref="N1913:P1913" si="1916">IF(LEN($C1913)&gt;0,H1913-E1913,"")</f>
        <v>-103281.1956</v>
      </c>
      <c r="O1913" s="6">
        <f t="shared" si="1916"/>
        <v>-3.480567636</v>
      </c>
      <c r="P1913" s="6">
        <f t="shared" si="1916"/>
        <v>-1.75645892</v>
      </c>
      <c r="Q1913" s="6"/>
      <c r="R1913" s="6"/>
      <c r="S1913" s="6"/>
      <c r="T1913" s="6"/>
      <c r="U1913" s="6"/>
      <c r="V1913" s="6"/>
      <c r="W1913" s="6"/>
      <c r="X1913" s="6"/>
      <c r="Y1913" s="6"/>
      <c r="Z1913" s="6"/>
      <c r="AA1913" s="6"/>
      <c r="AB1913" s="6"/>
      <c r="AC1913" s="6"/>
      <c r="AD1913" s="6"/>
      <c r="AE1913" s="6"/>
      <c r="AF1913" s="6"/>
      <c r="AG1913" s="6"/>
    </row>
    <row r="1914" ht="14.25" customHeight="1">
      <c r="A1914" s="6"/>
      <c r="B1914" s="6"/>
      <c r="C1914" s="6">
        <v>1907.0</v>
      </c>
      <c r="D1914" s="6"/>
      <c r="E1914" s="6">
        <v>5504105.848233913</v>
      </c>
      <c r="F1914" s="6">
        <v>483.4465871051704</v>
      </c>
      <c r="G1914" s="6">
        <v>5.9479900066911355</v>
      </c>
      <c r="H1914" s="6">
        <v>5481990.471618028</v>
      </c>
      <c r="I1914" s="6">
        <v>482.79204619262305</v>
      </c>
      <c r="J1914" s="6">
        <v>5.478915099531044</v>
      </c>
      <c r="K1914" s="6"/>
      <c r="L1914" s="6"/>
      <c r="M1914" s="6"/>
      <c r="N1914" s="6">
        <f t="shared" ref="N1914:P1914" si="1917">IF(LEN($C1914)&gt;0,H1914-E1914,"")</f>
        <v>-22115.37662</v>
      </c>
      <c r="O1914" s="6">
        <f t="shared" si="1917"/>
        <v>-0.6545409125</v>
      </c>
      <c r="P1914" s="6">
        <f t="shared" si="1917"/>
        <v>-0.4690749072</v>
      </c>
      <c r="Q1914" s="6"/>
      <c r="R1914" s="6"/>
      <c r="S1914" s="6"/>
      <c r="T1914" s="6"/>
      <c r="U1914" s="6"/>
      <c r="V1914" s="6"/>
      <c r="W1914" s="6"/>
      <c r="X1914" s="6"/>
      <c r="Y1914" s="6"/>
      <c r="Z1914" s="6"/>
      <c r="AA1914" s="6"/>
      <c r="AB1914" s="6"/>
      <c r="AC1914" s="6"/>
      <c r="AD1914" s="6"/>
      <c r="AE1914" s="6"/>
      <c r="AF1914" s="6"/>
      <c r="AG1914" s="6"/>
    </row>
    <row r="1915" ht="14.25" customHeight="1">
      <c r="A1915" s="6"/>
      <c r="B1915" s="6"/>
      <c r="C1915" s="6">
        <v>1908.0</v>
      </c>
      <c r="D1915" s="6"/>
      <c r="E1915" s="6">
        <v>7996163.391711384</v>
      </c>
      <c r="F1915" s="6">
        <v>449.6873774459958</v>
      </c>
      <c r="G1915" s="6">
        <v>5.224875537262596</v>
      </c>
      <c r="H1915" s="6">
        <v>7914639.035577568</v>
      </c>
      <c r="I1915" s="6">
        <v>447.18465198336446</v>
      </c>
      <c r="J1915" s="6">
        <v>4.218044710774256</v>
      </c>
      <c r="K1915" s="6"/>
      <c r="L1915" s="6"/>
      <c r="M1915" s="6"/>
      <c r="N1915" s="6">
        <f t="shared" ref="N1915:P1915" si="1918">IF(LEN($C1915)&gt;0,H1915-E1915,"")</f>
        <v>-81524.35613</v>
      </c>
      <c r="O1915" s="6">
        <f t="shared" si="1918"/>
        <v>-2.502725463</v>
      </c>
      <c r="P1915" s="6">
        <f t="shared" si="1918"/>
        <v>-1.006830826</v>
      </c>
      <c r="Q1915" s="6"/>
      <c r="R1915" s="6"/>
      <c r="S1915" s="6"/>
      <c r="T1915" s="6"/>
      <c r="U1915" s="6"/>
      <c r="V1915" s="6"/>
      <c r="W1915" s="6"/>
      <c r="X1915" s="6"/>
      <c r="Y1915" s="6"/>
      <c r="Z1915" s="6"/>
      <c r="AA1915" s="6"/>
      <c r="AB1915" s="6"/>
      <c r="AC1915" s="6"/>
      <c r="AD1915" s="6"/>
      <c r="AE1915" s="6"/>
      <c r="AF1915" s="6"/>
      <c r="AG1915" s="6"/>
    </row>
    <row r="1916" ht="14.25" customHeight="1">
      <c r="A1916" s="6"/>
      <c r="B1916" s="6"/>
      <c r="C1916" s="6">
        <v>1909.0</v>
      </c>
      <c r="D1916" s="6"/>
      <c r="E1916" s="6">
        <v>6199450.549769747</v>
      </c>
      <c r="F1916" s="6">
        <v>475.31723470350255</v>
      </c>
      <c r="G1916" s="6">
        <v>5.525091812535976</v>
      </c>
      <c r="H1916" s="6">
        <v>6100402.343050978</v>
      </c>
      <c r="I1916" s="6">
        <v>473.1923631791992</v>
      </c>
      <c r="J1916" s="6">
        <v>3.88655908410375</v>
      </c>
      <c r="K1916" s="6"/>
      <c r="L1916" s="6"/>
      <c r="M1916" s="6"/>
      <c r="N1916" s="6">
        <f t="shared" ref="N1916:P1916" si="1919">IF(LEN($C1916)&gt;0,H1916-E1916,"")</f>
        <v>-99048.20672</v>
      </c>
      <c r="O1916" s="6">
        <f t="shared" si="1919"/>
        <v>-2.124871524</v>
      </c>
      <c r="P1916" s="6">
        <f t="shared" si="1919"/>
        <v>-1.638532728</v>
      </c>
      <c r="Q1916" s="6"/>
      <c r="R1916" s="6"/>
      <c r="S1916" s="6"/>
      <c r="T1916" s="6"/>
      <c r="U1916" s="6"/>
      <c r="V1916" s="6"/>
      <c r="W1916" s="6"/>
      <c r="X1916" s="6"/>
      <c r="Y1916" s="6"/>
      <c r="Z1916" s="6"/>
      <c r="AA1916" s="6"/>
      <c r="AB1916" s="6"/>
      <c r="AC1916" s="6"/>
      <c r="AD1916" s="6"/>
      <c r="AE1916" s="6"/>
      <c r="AF1916" s="6"/>
      <c r="AG1916" s="6"/>
    </row>
    <row r="1917" ht="14.25" customHeight="1">
      <c r="A1917" s="6"/>
      <c r="B1917" s="6"/>
      <c r="C1917" s="6">
        <v>1910.0</v>
      </c>
      <c r="D1917" s="6"/>
      <c r="E1917" s="6">
        <v>6602295.57953357</v>
      </c>
      <c r="F1917" s="6">
        <v>473.6917211822843</v>
      </c>
      <c r="G1917" s="6">
        <v>4.2294473942762085</v>
      </c>
      <c r="H1917" s="6">
        <v>6518400.383968302</v>
      </c>
      <c r="I1917" s="6">
        <v>470.000580162409</v>
      </c>
      <c r="J1917" s="6">
        <v>3.0730235635153105</v>
      </c>
      <c r="K1917" s="6"/>
      <c r="L1917" s="6"/>
      <c r="M1917" s="6"/>
      <c r="N1917" s="6">
        <f t="shared" ref="N1917:P1917" si="1920">IF(LEN($C1917)&gt;0,H1917-E1917,"")</f>
        <v>-83895.19557</v>
      </c>
      <c r="O1917" s="6">
        <f t="shared" si="1920"/>
        <v>-3.69114102</v>
      </c>
      <c r="P1917" s="6">
        <f t="shared" si="1920"/>
        <v>-1.156423831</v>
      </c>
      <c r="Q1917" s="6"/>
      <c r="R1917" s="6"/>
      <c r="S1917" s="6"/>
      <c r="T1917" s="6"/>
      <c r="U1917" s="6"/>
      <c r="V1917" s="6"/>
      <c r="W1917" s="6"/>
      <c r="X1917" s="6"/>
      <c r="Y1917" s="6"/>
      <c r="Z1917" s="6"/>
      <c r="AA1917" s="6"/>
      <c r="AB1917" s="6"/>
      <c r="AC1917" s="6"/>
      <c r="AD1917" s="6"/>
      <c r="AE1917" s="6"/>
      <c r="AF1917" s="6"/>
      <c r="AG1917" s="6"/>
    </row>
    <row r="1918" ht="14.25" customHeight="1">
      <c r="A1918" s="6"/>
      <c r="B1918" s="6"/>
      <c r="C1918" s="6">
        <v>1911.0</v>
      </c>
      <c r="D1918" s="6"/>
      <c r="E1918" s="6">
        <v>6489354.026939236</v>
      </c>
      <c r="F1918" s="6">
        <v>445.641344122614</v>
      </c>
      <c r="G1918" s="6">
        <v>4.989772364377831</v>
      </c>
      <c r="H1918" s="6">
        <v>6354180.486631288</v>
      </c>
      <c r="I1918" s="6">
        <v>440.1397157808691</v>
      </c>
      <c r="J1918" s="6">
        <v>3.650239985981337</v>
      </c>
      <c r="K1918" s="6"/>
      <c r="L1918" s="6"/>
      <c r="M1918" s="6"/>
      <c r="N1918" s="6">
        <f t="shared" ref="N1918:P1918" si="1921">IF(LEN($C1918)&gt;0,H1918-E1918,"")</f>
        <v>-135173.5403</v>
      </c>
      <c r="O1918" s="6">
        <f t="shared" si="1921"/>
        <v>-5.501628342</v>
      </c>
      <c r="P1918" s="6">
        <f t="shared" si="1921"/>
        <v>-1.339532378</v>
      </c>
      <c r="Q1918" s="6"/>
      <c r="R1918" s="6"/>
      <c r="S1918" s="6"/>
      <c r="T1918" s="6"/>
      <c r="U1918" s="6"/>
      <c r="V1918" s="6"/>
      <c r="W1918" s="6"/>
      <c r="X1918" s="6"/>
      <c r="Y1918" s="6"/>
      <c r="Z1918" s="6"/>
      <c r="AA1918" s="6"/>
      <c r="AB1918" s="6"/>
      <c r="AC1918" s="6"/>
      <c r="AD1918" s="6"/>
      <c r="AE1918" s="6"/>
      <c r="AF1918" s="6"/>
      <c r="AG1918" s="6"/>
    </row>
    <row r="1919" ht="14.25" customHeight="1">
      <c r="A1919" s="6"/>
      <c r="B1919" s="6"/>
      <c r="C1919" s="6">
        <v>1912.0</v>
      </c>
      <c r="D1919" s="6"/>
      <c r="E1919" s="6">
        <v>6388125.237969106</v>
      </c>
      <c r="F1919" s="6">
        <v>453.43458794048973</v>
      </c>
      <c r="G1919" s="6">
        <v>5.606579759474453</v>
      </c>
      <c r="H1919" s="6">
        <v>6265097.630664142</v>
      </c>
      <c r="I1919" s="6">
        <v>447.40561655744386</v>
      </c>
      <c r="J1919" s="6">
        <v>3.6180670713488943</v>
      </c>
      <c r="K1919" s="6"/>
      <c r="L1919" s="6"/>
      <c r="M1919" s="6"/>
      <c r="N1919" s="6">
        <f t="shared" ref="N1919:P1919" si="1922">IF(LEN($C1919)&gt;0,H1919-E1919,"")</f>
        <v>-123027.6073</v>
      </c>
      <c r="O1919" s="6">
        <f t="shared" si="1922"/>
        <v>-6.028971383</v>
      </c>
      <c r="P1919" s="6">
        <f t="shared" si="1922"/>
        <v>-1.988512688</v>
      </c>
      <c r="Q1919" s="6"/>
      <c r="R1919" s="6"/>
      <c r="S1919" s="6"/>
      <c r="T1919" s="6"/>
      <c r="U1919" s="6"/>
      <c r="V1919" s="6"/>
      <c r="W1919" s="6"/>
      <c r="X1919" s="6"/>
      <c r="Y1919" s="6"/>
      <c r="Z1919" s="6"/>
      <c r="AA1919" s="6"/>
      <c r="AB1919" s="6"/>
      <c r="AC1919" s="6"/>
      <c r="AD1919" s="6"/>
      <c r="AE1919" s="6"/>
      <c r="AF1919" s="6"/>
      <c r="AG1919" s="6"/>
    </row>
    <row r="1920" ht="14.25" customHeight="1">
      <c r="A1920" s="6"/>
      <c r="B1920" s="6"/>
      <c r="C1920" s="6">
        <v>1913.0</v>
      </c>
      <c r="D1920" s="6"/>
      <c r="E1920" s="6">
        <v>5249451.988590718</v>
      </c>
      <c r="F1920" s="6">
        <v>485.22438278611065</v>
      </c>
      <c r="G1920" s="6">
        <v>5.693002665093763</v>
      </c>
      <c r="H1920" s="6">
        <v>5163321.060179624</v>
      </c>
      <c r="I1920" s="6">
        <v>482.4112419895614</v>
      </c>
      <c r="J1920" s="6">
        <v>3.982578650689452</v>
      </c>
      <c r="K1920" s="6"/>
      <c r="L1920" s="6"/>
      <c r="M1920" s="6"/>
      <c r="N1920" s="6">
        <f t="shared" ref="N1920:P1920" si="1923">IF(LEN($C1920)&gt;0,H1920-E1920,"")</f>
        <v>-86130.92841</v>
      </c>
      <c r="O1920" s="6">
        <f t="shared" si="1923"/>
        <v>-2.813140797</v>
      </c>
      <c r="P1920" s="6">
        <f t="shared" si="1923"/>
        <v>-1.710424014</v>
      </c>
      <c r="Q1920" s="6"/>
      <c r="R1920" s="6"/>
      <c r="S1920" s="6"/>
      <c r="T1920" s="6"/>
      <c r="U1920" s="6"/>
      <c r="V1920" s="6"/>
      <c r="W1920" s="6"/>
      <c r="X1920" s="6"/>
      <c r="Y1920" s="6"/>
      <c r="Z1920" s="6"/>
      <c r="AA1920" s="6"/>
      <c r="AB1920" s="6"/>
      <c r="AC1920" s="6"/>
      <c r="AD1920" s="6"/>
      <c r="AE1920" s="6"/>
      <c r="AF1920" s="6"/>
      <c r="AG1920" s="6"/>
    </row>
    <row r="1921" ht="14.25" customHeight="1">
      <c r="A1921" s="6"/>
      <c r="B1921" s="6"/>
      <c r="C1921" s="6">
        <v>1914.0</v>
      </c>
      <c r="D1921" s="6"/>
      <c r="E1921" s="6">
        <v>7785371.4846195225</v>
      </c>
      <c r="F1921" s="6">
        <v>444.34014383690356</v>
      </c>
      <c r="G1921" s="6">
        <v>4.448400838789984</v>
      </c>
      <c r="H1921" s="6">
        <v>7673822.020580581</v>
      </c>
      <c r="I1921" s="6">
        <v>439.1033117049364</v>
      </c>
      <c r="J1921" s="6">
        <v>3.1115590863946605</v>
      </c>
      <c r="K1921" s="6"/>
      <c r="L1921" s="6"/>
      <c r="M1921" s="6"/>
      <c r="N1921" s="6">
        <f t="shared" ref="N1921:P1921" si="1924">IF(LEN($C1921)&gt;0,H1921-E1921,"")</f>
        <v>-111549.464</v>
      </c>
      <c r="O1921" s="6">
        <f t="shared" si="1924"/>
        <v>-5.236832132</v>
      </c>
      <c r="P1921" s="6">
        <f t="shared" si="1924"/>
        <v>-1.336841752</v>
      </c>
      <c r="Q1921" s="6"/>
      <c r="R1921" s="6"/>
      <c r="S1921" s="6"/>
      <c r="T1921" s="6"/>
      <c r="U1921" s="6"/>
      <c r="V1921" s="6"/>
      <c r="W1921" s="6"/>
      <c r="X1921" s="6"/>
      <c r="Y1921" s="6"/>
      <c r="Z1921" s="6"/>
      <c r="AA1921" s="6"/>
      <c r="AB1921" s="6"/>
      <c r="AC1921" s="6"/>
      <c r="AD1921" s="6"/>
      <c r="AE1921" s="6"/>
      <c r="AF1921" s="6"/>
      <c r="AG1921" s="6"/>
    </row>
    <row r="1922" ht="14.25" customHeight="1">
      <c r="A1922" s="6"/>
      <c r="B1922" s="6"/>
      <c r="C1922" s="6">
        <v>1915.0</v>
      </c>
      <c r="D1922" s="6"/>
      <c r="E1922" s="6">
        <v>6553155.572254873</v>
      </c>
      <c r="F1922" s="6">
        <v>500.0952401774212</v>
      </c>
      <c r="G1922" s="6">
        <v>4.995355204529052</v>
      </c>
      <c r="H1922" s="6">
        <v>6426842.504996206</v>
      </c>
      <c r="I1922" s="6">
        <v>496.29675846383185</v>
      </c>
      <c r="J1922" s="6">
        <v>3.919374727747974</v>
      </c>
      <c r="K1922" s="6"/>
      <c r="L1922" s="6"/>
      <c r="M1922" s="6"/>
      <c r="N1922" s="6">
        <f t="shared" ref="N1922:P1922" si="1925">IF(LEN($C1922)&gt;0,H1922-E1922,"")</f>
        <v>-126313.0673</v>
      </c>
      <c r="O1922" s="6">
        <f t="shared" si="1925"/>
        <v>-3.798481714</v>
      </c>
      <c r="P1922" s="6">
        <f t="shared" si="1925"/>
        <v>-1.075980477</v>
      </c>
      <c r="Q1922" s="6"/>
      <c r="R1922" s="6"/>
      <c r="S1922" s="6"/>
      <c r="T1922" s="6"/>
      <c r="U1922" s="6"/>
      <c r="V1922" s="6"/>
      <c r="W1922" s="6"/>
      <c r="X1922" s="6"/>
      <c r="Y1922" s="6"/>
      <c r="Z1922" s="6"/>
      <c r="AA1922" s="6"/>
      <c r="AB1922" s="6"/>
      <c r="AC1922" s="6"/>
      <c r="AD1922" s="6"/>
      <c r="AE1922" s="6"/>
      <c r="AF1922" s="6"/>
      <c r="AG1922" s="6"/>
    </row>
    <row r="1923" ht="14.25" customHeight="1">
      <c r="A1923" s="6"/>
      <c r="B1923" s="6"/>
      <c r="C1923" s="6">
        <v>1916.0</v>
      </c>
      <c r="D1923" s="6"/>
      <c r="E1923" s="6">
        <v>6786479.663685763</v>
      </c>
      <c r="F1923" s="6">
        <v>476.94128071572635</v>
      </c>
      <c r="G1923" s="6">
        <v>5.904075789813199</v>
      </c>
      <c r="H1923" s="6">
        <v>6711864.890529754</v>
      </c>
      <c r="I1923" s="6">
        <v>472.83390751398304</v>
      </c>
      <c r="J1923" s="6">
        <v>4.330474521023197</v>
      </c>
      <c r="K1923" s="6"/>
      <c r="L1923" s="6"/>
      <c r="M1923" s="6"/>
      <c r="N1923" s="6">
        <f t="shared" ref="N1923:P1923" si="1926">IF(LEN($C1923)&gt;0,H1923-E1923,"")</f>
        <v>-74614.77316</v>
      </c>
      <c r="O1923" s="6">
        <f t="shared" si="1926"/>
        <v>-4.107373202</v>
      </c>
      <c r="P1923" s="6">
        <f t="shared" si="1926"/>
        <v>-1.573601269</v>
      </c>
      <c r="Q1923" s="6"/>
      <c r="R1923" s="6"/>
      <c r="S1923" s="6"/>
      <c r="T1923" s="6"/>
      <c r="U1923" s="6"/>
      <c r="V1923" s="6"/>
      <c r="W1923" s="6"/>
      <c r="X1923" s="6"/>
      <c r="Y1923" s="6"/>
      <c r="Z1923" s="6"/>
      <c r="AA1923" s="6"/>
      <c r="AB1923" s="6"/>
      <c r="AC1923" s="6"/>
      <c r="AD1923" s="6"/>
      <c r="AE1923" s="6"/>
      <c r="AF1923" s="6"/>
      <c r="AG1923" s="6"/>
    </row>
    <row r="1924" ht="14.25" customHeight="1">
      <c r="A1924" s="6"/>
      <c r="B1924" s="6"/>
      <c r="C1924" s="6">
        <v>1917.0</v>
      </c>
      <c r="D1924" s="6"/>
      <c r="E1924" s="6">
        <v>7572089.689996339</v>
      </c>
      <c r="F1924" s="6">
        <v>457.4163278271323</v>
      </c>
      <c r="G1924" s="6">
        <v>5.753462823102319</v>
      </c>
      <c r="H1924" s="6">
        <v>7487288.552374515</v>
      </c>
      <c r="I1924" s="6">
        <v>454.2742093248246</v>
      </c>
      <c r="J1924" s="6">
        <v>4.475510469285484</v>
      </c>
      <c r="K1924" s="6"/>
      <c r="L1924" s="6"/>
      <c r="M1924" s="6"/>
      <c r="N1924" s="6">
        <f t="shared" ref="N1924:P1924" si="1927">IF(LEN($C1924)&gt;0,H1924-E1924,"")</f>
        <v>-84801.13762</v>
      </c>
      <c r="O1924" s="6">
        <f t="shared" si="1927"/>
        <v>-3.142118502</v>
      </c>
      <c r="P1924" s="6">
        <f t="shared" si="1927"/>
        <v>-1.277952354</v>
      </c>
      <c r="Q1924" s="6"/>
      <c r="R1924" s="6"/>
      <c r="S1924" s="6"/>
      <c r="T1924" s="6"/>
      <c r="U1924" s="6"/>
      <c r="V1924" s="6"/>
      <c r="W1924" s="6"/>
      <c r="X1924" s="6"/>
      <c r="Y1924" s="6"/>
      <c r="Z1924" s="6"/>
      <c r="AA1924" s="6"/>
      <c r="AB1924" s="6"/>
      <c r="AC1924" s="6"/>
      <c r="AD1924" s="6"/>
      <c r="AE1924" s="6"/>
      <c r="AF1924" s="6"/>
      <c r="AG1924" s="6"/>
    </row>
    <row r="1925" ht="14.25" customHeight="1">
      <c r="A1925" s="6"/>
      <c r="B1925" s="6"/>
      <c r="C1925" s="6">
        <v>1918.0</v>
      </c>
      <c r="D1925" s="6"/>
      <c r="E1925" s="6">
        <v>7065000.456644071</v>
      </c>
      <c r="F1925" s="6">
        <v>443.4978325097526</v>
      </c>
      <c r="G1925" s="6">
        <v>3.785131923229911</v>
      </c>
      <c r="H1925" s="6">
        <v>6999754.202587188</v>
      </c>
      <c r="I1925" s="6">
        <v>439.8164448691902</v>
      </c>
      <c r="J1925" s="6">
        <v>2.89378925851501</v>
      </c>
      <c r="K1925" s="6"/>
      <c r="L1925" s="6"/>
      <c r="M1925" s="6"/>
      <c r="N1925" s="6">
        <f t="shared" ref="N1925:P1925" si="1928">IF(LEN($C1925)&gt;0,H1925-E1925,"")</f>
        <v>-65246.25406</v>
      </c>
      <c r="O1925" s="6">
        <f t="shared" si="1928"/>
        <v>-3.681387641</v>
      </c>
      <c r="P1925" s="6">
        <f t="shared" si="1928"/>
        <v>-0.8913426647</v>
      </c>
      <c r="Q1925" s="6"/>
      <c r="R1925" s="6"/>
      <c r="S1925" s="6"/>
      <c r="T1925" s="6"/>
      <c r="U1925" s="6"/>
      <c r="V1925" s="6"/>
      <c r="W1925" s="6"/>
      <c r="X1925" s="6"/>
      <c r="Y1925" s="6"/>
      <c r="Z1925" s="6"/>
      <c r="AA1925" s="6"/>
      <c r="AB1925" s="6"/>
      <c r="AC1925" s="6"/>
      <c r="AD1925" s="6"/>
      <c r="AE1925" s="6"/>
      <c r="AF1925" s="6"/>
      <c r="AG1925" s="6"/>
    </row>
    <row r="1926" ht="14.25" customHeight="1">
      <c r="A1926" s="6"/>
      <c r="B1926" s="6"/>
      <c r="C1926" s="6">
        <v>1919.0</v>
      </c>
      <c r="D1926" s="6"/>
      <c r="E1926" s="6">
        <v>6019337.187928179</v>
      </c>
      <c r="F1926" s="6">
        <v>475.3045791248735</v>
      </c>
      <c r="G1926" s="6">
        <v>5.350811873424416</v>
      </c>
      <c r="H1926" s="6">
        <v>5908211.680535127</v>
      </c>
      <c r="I1926" s="6">
        <v>471.60466213568355</v>
      </c>
      <c r="J1926" s="6">
        <v>3.7106514711311016</v>
      </c>
      <c r="K1926" s="6"/>
      <c r="L1926" s="6"/>
      <c r="M1926" s="6"/>
      <c r="N1926" s="6">
        <f t="shared" ref="N1926:P1926" si="1929">IF(LEN($C1926)&gt;0,H1926-E1926,"")</f>
        <v>-111125.5074</v>
      </c>
      <c r="O1926" s="6">
        <f t="shared" si="1929"/>
        <v>-3.699916989</v>
      </c>
      <c r="P1926" s="6">
        <f t="shared" si="1929"/>
        <v>-1.640160402</v>
      </c>
      <c r="Q1926" s="6"/>
      <c r="R1926" s="6"/>
      <c r="S1926" s="6"/>
      <c r="T1926" s="6"/>
      <c r="U1926" s="6"/>
      <c r="V1926" s="6"/>
      <c r="W1926" s="6"/>
      <c r="X1926" s="6"/>
      <c r="Y1926" s="6"/>
      <c r="Z1926" s="6"/>
      <c r="AA1926" s="6"/>
      <c r="AB1926" s="6"/>
      <c r="AC1926" s="6"/>
      <c r="AD1926" s="6"/>
      <c r="AE1926" s="6"/>
      <c r="AF1926" s="6"/>
      <c r="AG1926" s="6"/>
    </row>
    <row r="1927" ht="14.25" customHeight="1">
      <c r="A1927" s="6"/>
      <c r="B1927" s="6"/>
      <c r="C1927" s="6">
        <v>1920.0</v>
      </c>
      <c r="D1927" s="6"/>
      <c r="E1927" s="6">
        <v>8248244.56308163</v>
      </c>
      <c r="F1927" s="6">
        <v>462.128444944591</v>
      </c>
      <c r="G1927" s="6">
        <v>4.561651309890197</v>
      </c>
      <c r="H1927" s="6">
        <v>8166060.809664728</v>
      </c>
      <c r="I1927" s="6">
        <v>458.9286150533619</v>
      </c>
      <c r="J1927" s="6">
        <v>3.681525408112379</v>
      </c>
      <c r="K1927" s="6"/>
      <c r="L1927" s="6"/>
      <c r="M1927" s="6"/>
      <c r="N1927" s="6">
        <f t="shared" ref="N1927:P1927" si="1930">IF(LEN($C1927)&gt;0,H1927-E1927,"")</f>
        <v>-82183.75342</v>
      </c>
      <c r="O1927" s="6">
        <f t="shared" si="1930"/>
        <v>-3.199829891</v>
      </c>
      <c r="P1927" s="6">
        <f t="shared" si="1930"/>
        <v>-0.8801259018</v>
      </c>
      <c r="Q1927" s="6"/>
      <c r="R1927" s="6"/>
      <c r="S1927" s="6"/>
      <c r="T1927" s="6"/>
      <c r="U1927" s="6"/>
      <c r="V1927" s="6"/>
      <c r="W1927" s="6"/>
      <c r="X1927" s="6"/>
      <c r="Y1927" s="6"/>
      <c r="Z1927" s="6"/>
      <c r="AA1927" s="6"/>
      <c r="AB1927" s="6"/>
      <c r="AC1927" s="6"/>
      <c r="AD1927" s="6"/>
      <c r="AE1927" s="6"/>
      <c r="AF1927" s="6"/>
      <c r="AG1927" s="6"/>
    </row>
    <row r="1928" ht="14.25" customHeight="1">
      <c r="A1928" s="6"/>
      <c r="B1928" s="6"/>
      <c r="C1928" s="6">
        <v>1921.0</v>
      </c>
      <c r="D1928" s="6"/>
      <c r="E1928" s="6">
        <v>8140104.843461455</v>
      </c>
      <c r="F1928" s="6">
        <v>501.35433840955557</v>
      </c>
      <c r="G1928" s="6">
        <v>4.481760051970057</v>
      </c>
      <c r="H1928" s="6">
        <v>7940970.512674389</v>
      </c>
      <c r="I1928" s="6">
        <v>494.07745021597566</v>
      </c>
      <c r="J1928" s="6">
        <v>2.933686637068896</v>
      </c>
      <c r="K1928" s="6"/>
      <c r="L1928" s="6"/>
      <c r="M1928" s="6"/>
      <c r="N1928" s="6">
        <f t="shared" ref="N1928:P1928" si="1931">IF(LEN($C1928)&gt;0,H1928-E1928,"")</f>
        <v>-199134.3308</v>
      </c>
      <c r="O1928" s="6">
        <f t="shared" si="1931"/>
        <v>-7.276888194</v>
      </c>
      <c r="P1928" s="6">
        <f t="shared" si="1931"/>
        <v>-1.548073415</v>
      </c>
      <c r="Q1928" s="6"/>
      <c r="R1928" s="6"/>
      <c r="S1928" s="6"/>
      <c r="T1928" s="6"/>
      <c r="U1928" s="6"/>
      <c r="V1928" s="6"/>
      <c r="W1928" s="6"/>
      <c r="X1928" s="6"/>
      <c r="Y1928" s="6"/>
      <c r="Z1928" s="6"/>
      <c r="AA1928" s="6"/>
      <c r="AB1928" s="6"/>
      <c r="AC1928" s="6"/>
      <c r="AD1928" s="6"/>
      <c r="AE1928" s="6"/>
      <c r="AF1928" s="6"/>
      <c r="AG1928" s="6"/>
    </row>
    <row r="1929" ht="14.25" customHeight="1">
      <c r="A1929" s="6"/>
      <c r="B1929" s="6"/>
      <c r="C1929" s="6">
        <v>1922.0</v>
      </c>
      <c r="D1929" s="6"/>
      <c r="E1929" s="6">
        <v>7364509.130409075</v>
      </c>
      <c r="F1929" s="6">
        <v>453.8775577874078</v>
      </c>
      <c r="G1929" s="6">
        <v>5.288929617568388</v>
      </c>
      <c r="H1929" s="6">
        <v>7251109.7480605375</v>
      </c>
      <c r="I1929" s="6">
        <v>449.4715548828494</v>
      </c>
      <c r="J1929" s="6">
        <v>3.9818223374885</v>
      </c>
      <c r="K1929" s="6"/>
      <c r="L1929" s="6"/>
      <c r="M1929" s="6"/>
      <c r="N1929" s="6">
        <f t="shared" ref="N1929:P1929" si="1932">IF(LEN($C1929)&gt;0,H1929-E1929,"")</f>
        <v>-113399.3823</v>
      </c>
      <c r="O1929" s="6">
        <f t="shared" si="1932"/>
        <v>-4.406002905</v>
      </c>
      <c r="P1929" s="6">
        <f t="shared" si="1932"/>
        <v>-1.30710728</v>
      </c>
      <c r="Q1929" s="6"/>
      <c r="R1929" s="6"/>
      <c r="S1929" s="6"/>
      <c r="T1929" s="6"/>
      <c r="U1929" s="6"/>
      <c r="V1929" s="6"/>
      <c r="W1929" s="6"/>
      <c r="X1929" s="6"/>
      <c r="Y1929" s="6"/>
      <c r="Z1929" s="6"/>
      <c r="AA1929" s="6"/>
      <c r="AB1929" s="6"/>
      <c r="AC1929" s="6"/>
      <c r="AD1929" s="6"/>
      <c r="AE1929" s="6"/>
      <c r="AF1929" s="6"/>
      <c r="AG1929" s="6"/>
    </row>
    <row r="1930" ht="14.25" customHeight="1">
      <c r="A1930" s="6"/>
      <c r="B1930" s="6"/>
      <c r="C1930" s="6">
        <v>1923.0</v>
      </c>
      <c r="D1930" s="6"/>
      <c r="E1930" s="6">
        <v>5463076.044484025</v>
      </c>
      <c r="F1930" s="6">
        <v>495.311155189523</v>
      </c>
      <c r="G1930" s="6">
        <v>6.074535658468087</v>
      </c>
      <c r="H1930" s="6">
        <v>5332407.959172009</v>
      </c>
      <c r="I1930" s="6">
        <v>488.1396376218225</v>
      </c>
      <c r="J1930" s="6">
        <v>4.391998046713781</v>
      </c>
      <c r="K1930" s="6"/>
      <c r="L1930" s="6"/>
      <c r="M1930" s="6"/>
      <c r="N1930" s="6">
        <f t="shared" ref="N1930:P1930" si="1933">IF(LEN($C1930)&gt;0,H1930-E1930,"")</f>
        <v>-130668.0853</v>
      </c>
      <c r="O1930" s="6">
        <f t="shared" si="1933"/>
        <v>-7.171517568</v>
      </c>
      <c r="P1930" s="6">
        <f t="shared" si="1933"/>
        <v>-1.682537612</v>
      </c>
      <c r="Q1930" s="6"/>
      <c r="R1930" s="6"/>
      <c r="S1930" s="6"/>
      <c r="T1930" s="6"/>
      <c r="U1930" s="6"/>
      <c r="V1930" s="6"/>
      <c r="W1930" s="6"/>
      <c r="X1930" s="6"/>
      <c r="Y1930" s="6"/>
      <c r="Z1930" s="6"/>
      <c r="AA1930" s="6"/>
      <c r="AB1930" s="6"/>
      <c r="AC1930" s="6"/>
      <c r="AD1930" s="6"/>
      <c r="AE1930" s="6"/>
      <c r="AF1930" s="6"/>
      <c r="AG1930" s="6"/>
    </row>
    <row r="1931" ht="14.25" customHeight="1">
      <c r="A1931" s="6"/>
      <c r="B1931" s="6"/>
      <c r="C1931" s="6">
        <v>1924.0</v>
      </c>
      <c r="D1931" s="6"/>
      <c r="E1931" s="6">
        <v>8633416.928036774</v>
      </c>
      <c r="F1931" s="6">
        <v>492.49361486924306</v>
      </c>
      <c r="G1931" s="6">
        <v>4.737286802415996</v>
      </c>
      <c r="H1931" s="6">
        <v>8536633.414039228</v>
      </c>
      <c r="I1931" s="6">
        <v>488.78372308280296</v>
      </c>
      <c r="J1931" s="6">
        <v>3.4022200124826485</v>
      </c>
      <c r="K1931" s="6"/>
      <c r="L1931" s="6"/>
      <c r="M1931" s="6"/>
      <c r="N1931" s="6">
        <f t="shared" ref="N1931:P1931" si="1934">IF(LEN($C1931)&gt;0,H1931-E1931,"")</f>
        <v>-96783.514</v>
      </c>
      <c r="O1931" s="6">
        <f t="shared" si="1934"/>
        <v>-3.709891786</v>
      </c>
      <c r="P1931" s="6">
        <f t="shared" si="1934"/>
        <v>-1.33506679</v>
      </c>
      <c r="Q1931" s="6"/>
      <c r="R1931" s="6"/>
      <c r="S1931" s="6"/>
      <c r="T1931" s="6"/>
      <c r="U1931" s="6"/>
      <c r="V1931" s="6"/>
      <c r="W1931" s="6"/>
      <c r="X1931" s="6"/>
      <c r="Y1931" s="6"/>
      <c r="Z1931" s="6"/>
      <c r="AA1931" s="6"/>
      <c r="AB1931" s="6"/>
      <c r="AC1931" s="6"/>
      <c r="AD1931" s="6"/>
      <c r="AE1931" s="6"/>
      <c r="AF1931" s="6"/>
      <c r="AG1931" s="6"/>
    </row>
    <row r="1932" ht="14.25" customHeight="1">
      <c r="A1932" s="6"/>
      <c r="B1932" s="6"/>
      <c r="C1932" s="6">
        <v>1925.0</v>
      </c>
      <c r="D1932" s="6"/>
      <c r="E1932" s="6">
        <v>6712904.5427813735</v>
      </c>
      <c r="F1932" s="6">
        <v>439.4931217183527</v>
      </c>
      <c r="G1932" s="6">
        <v>5.414720484978064</v>
      </c>
      <c r="H1932" s="6">
        <v>6656941.019925797</v>
      </c>
      <c r="I1932" s="6">
        <v>437.5303822668255</v>
      </c>
      <c r="J1932" s="6">
        <v>4.693591147664532</v>
      </c>
      <c r="K1932" s="6"/>
      <c r="L1932" s="6"/>
      <c r="M1932" s="6"/>
      <c r="N1932" s="6">
        <f t="shared" ref="N1932:P1932" si="1935">IF(LEN($C1932)&gt;0,H1932-E1932,"")</f>
        <v>-55963.52286</v>
      </c>
      <c r="O1932" s="6">
        <f t="shared" si="1935"/>
        <v>-1.962739452</v>
      </c>
      <c r="P1932" s="6">
        <f t="shared" si="1935"/>
        <v>-0.7211293373</v>
      </c>
      <c r="Q1932" s="6"/>
      <c r="R1932" s="6"/>
      <c r="S1932" s="6"/>
      <c r="T1932" s="6"/>
      <c r="U1932" s="6"/>
      <c r="V1932" s="6"/>
      <c r="W1932" s="6"/>
      <c r="X1932" s="6"/>
      <c r="Y1932" s="6"/>
      <c r="Z1932" s="6"/>
      <c r="AA1932" s="6"/>
      <c r="AB1932" s="6"/>
      <c r="AC1932" s="6"/>
      <c r="AD1932" s="6"/>
      <c r="AE1932" s="6"/>
      <c r="AF1932" s="6"/>
      <c r="AG1932" s="6"/>
    </row>
    <row r="1933" ht="14.25" customHeight="1">
      <c r="A1933" s="6"/>
      <c r="B1933" s="6"/>
      <c r="C1933" s="6">
        <v>1926.0</v>
      </c>
      <c r="D1933" s="6"/>
      <c r="E1933" s="6">
        <v>6132885.774576438</v>
      </c>
      <c r="F1933" s="6">
        <v>489.826574192863</v>
      </c>
      <c r="G1933" s="6">
        <v>5.622459646522268</v>
      </c>
      <c r="H1933" s="6">
        <v>5981874.79634973</v>
      </c>
      <c r="I1933" s="6">
        <v>481.9136222653464</v>
      </c>
      <c r="J1933" s="6">
        <v>3.938112171299343</v>
      </c>
      <c r="K1933" s="6"/>
      <c r="L1933" s="6"/>
      <c r="M1933" s="6"/>
      <c r="N1933" s="6">
        <f t="shared" ref="N1933:P1933" si="1936">IF(LEN($C1933)&gt;0,H1933-E1933,"")</f>
        <v>-151010.9782</v>
      </c>
      <c r="O1933" s="6">
        <f t="shared" si="1936"/>
        <v>-7.912951928</v>
      </c>
      <c r="P1933" s="6">
        <f t="shared" si="1936"/>
        <v>-1.684347475</v>
      </c>
      <c r="Q1933" s="6"/>
      <c r="R1933" s="6"/>
      <c r="S1933" s="6"/>
      <c r="T1933" s="6"/>
      <c r="U1933" s="6"/>
      <c r="V1933" s="6"/>
      <c r="W1933" s="6"/>
      <c r="X1933" s="6"/>
      <c r="Y1933" s="6"/>
      <c r="Z1933" s="6"/>
      <c r="AA1933" s="6"/>
      <c r="AB1933" s="6"/>
      <c r="AC1933" s="6"/>
      <c r="AD1933" s="6"/>
      <c r="AE1933" s="6"/>
      <c r="AF1933" s="6"/>
      <c r="AG1933" s="6"/>
    </row>
    <row r="1934" ht="14.25" customHeight="1">
      <c r="A1934" s="6"/>
      <c r="B1934" s="6"/>
      <c r="C1934" s="6">
        <v>1927.0</v>
      </c>
      <c r="D1934" s="6"/>
      <c r="E1934" s="6">
        <v>6780933.211338468</v>
      </c>
      <c r="F1934" s="6">
        <v>442.42180130107414</v>
      </c>
      <c r="G1934" s="6">
        <v>4.248650062384544</v>
      </c>
      <c r="H1934" s="6">
        <v>6745025.009590319</v>
      </c>
      <c r="I1934" s="6">
        <v>441.20552316049293</v>
      </c>
      <c r="J1934" s="6">
        <v>3.800190076184317</v>
      </c>
      <c r="K1934" s="6"/>
      <c r="L1934" s="6"/>
      <c r="M1934" s="6"/>
      <c r="N1934" s="6">
        <f t="shared" ref="N1934:P1934" si="1937">IF(LEN($C1934)&gt;0,H1934-E1934,"")</f>
        <v>-35908.20175</v>
      </c>
      <c r="O1934" s="6">
        <f t="shared" si="1937"/>
        <v>-1.216278141</v>
      </c>
      <c r="P1934" s="6">
        <f t="shared" si="1937"/>
        <v>-0.4484599862</v>
      </c>
      <c r="Q1934" s="6"/>
      <c r="R1934" s="6"/>
      <c r="S1934" s="6"/>
      <c r="T1934" s="6"/>
      <c r="U1934" s="6"/>
      <c r="V1934" s="6"/>
      <c r="W1934" s="6"/>
      <c r="X1934" s="6"/>
      <c r="Y1934" s="6"/>
      <c r="Z1934" s="6"/>
      <c r="AA1934" s="6"/>
      <c r="AB1934" s="6"/>
      <c r="AC1934" s="6"/>
      <c r="AD1934" s="6"/>
      <c r="AE1934" s="6"/>
      <c r="AF1934" s="6"/>
      <c r="AG1934" s="6"/>
    </row>
    <row r="1935" ht="14.25" customHeight="1">
      <c r="A1935" s="6"/>
      <c r="B1935" s="6"/>
      <c r="C1935" s="6">
        <v>1928.0</v>
      </c>
      <c r="D1935" s="6"/>
      <c r="E1935" s="6">
        <v>5861191.745778267</v>
      </c>
      <c r="F1935" s="6">
        <v>453.3368309719372</v>
      </c>
      <c r="G1935" s="6">
        <v>5.850090910788917</v>
      </c>
      <c r="H1935" s="6">
        <v>5779143.177854235</v>
      </c>
      <c r="I1935" s="6">
        <v>448.0182618299728</v>
      </c>
      <c r="J1935" s="6">
        <v>4.1607994612721795</v>
      </c>
      <c r="K1935" s="6"/>
      <c r="L1935" s="6"/>
      <c r="M1935" s="6"/>
      <c r="N1935" s="6">
        <f t="shared" ref="N1935:P1935" si="1938">IF(LEN($C1935)&gt;0,H1935-E1935,"")</f>
        <v>-82048.56792</v>
      </c>
      <c r="O1935" s="6">
        <f t="shared" si="1938"/>
        <v>-5.318569142</v>
      </c>
      <c r="P1935" s="6">
        <f t="shared" si="1938"/>
        <v>-1.68929145</v>
      </c>
      <c r="Q1935" s="6"/>
      <c r="R1935" s="6"/>
      <c r="S1935" s="6"/>
      <c r="T1935" s="6"/>
      <c r="U1935" s="6"/>
      <c r="V1935" s="6"/>
      <c r="W1935" s="6"/>
      <c r="X1935" s="6"/>
      <c r="Y1935" s="6"/>
      <c r="Z1935" s="6"/>
      <c r="AA1935" s="6"/>
      <c r="AB1935" s="6"/>
      <c r="AC1935" s="6"/>
      <c r="AD1935" s="6"/>
      <c r="AE1935" s="6"/>
      <c r="AF1935" s="6"/>
      <c r="AG1935" s="6"/>
    </row>
    <row r="1936" ht="14.25" customHeight="1">
      <c r="A1936" s="6"/>
      <c r="B1936" s="6"/>
      <c r="C1936" s="6">
        <v>1929.0</v>
      </c>
      <c r="D1936" s="6"/>
      <c r="E1936" s="6">
        <v>7312204.283417959</v>
      </c>
      <c r="F1936" s="6">
        <v>482.38956882057175</v>
      </c>
      <c r="G1936" s="6">
        <v>5.705692779159419</v>
      </c>
      <c r="H1936" s="6">
        <v>7206325.483774452</v>
      </c>
      <c r="I1936" s="6">
        <v>477.6070429280318</v>
      </c>
      <c r="J1936" s="6">
        <v>4.065539655495329</v>
      </c>
      <c r="K1936" s="6"/>
      <c r="L1936" s="6"/>
      <c r="M1936" s="6"/>
      <c r="N1936" s="6">
        <f t="shared" ref="N1936:P1936" si="1939">IF(LEN($C1936)&gt;0,H1936-E1936,"")</f>
        <v>-105878.7996</v>
      </c>
      <c r="O1936" s="6">
        <f t="shared" si="1939"/>
        <v>-4.782525893</v>
      </c>
      <c r="P1936" s="6">
        <f t="shared" si="1939"/>
        <v>-1.640153124</v>
      </c>
      <c r="Q1936" s="6"/>
      <c r="R1936" s="6"/>
      <c r="S1936" s="6"/>
      <c r="T1936" s="6"/>
      <c r="U1936" s="6"/>
      <c r="V1936" s="6"/>
      <c r="W1936" s="6"/>
      <c r="X1936" s="6"/>
      <c r="Y1936" s="6"/>
      <c r="Z1936" s="6"/>
      <c r="AA1936" s="6"/>
      <c r="AB1936" s="6"/>
      <c r="AC1936" s="6"/>
      <c r="AD1936" s="6"/>
      <c r="AE1936" s="6"/>
      <c r="AF1936" s="6"/>
      <c r="AG1936" s="6"/>
    </row>
    <row r="1937" ht="14.25" customHeight="1">
      <c r="A1937" s="6"/>
      <c r="B1937" s="6"/>
      <c r="C1937" s="6">
        <v>1930.0</v>
      </c>
      <c r="D1937" s="6"/>
      <c r="E1937" s="6">
        <v>7909937.399935067</v>
      </c>
      <c r="F1937" s="6">
        <v>469.86165471778367</v>
      </c>
      <c r="G1937" s="6">
        <v>5.168835160014514</v>
      </c>
      <c r="H1937" s="6">
        <v>7774015.284926783</v>
      </c>
      <c r="I1937" s="6">
        <v>465.0699212757677</v>
      </c>
      <c r="J1937" s="6">
        <v>3.4831627447991287</v>
      </c>
      <c r="K1937" s="6"/>
      <c r="L1937" s="6"/>
      <c r="M1937" s="6"/>
      <c r="N1937" s="6">
        <f t="shared" ref="N1937:P1937" si="1940">IF(LEN($C1937)&gt;0,H1937-E1937,"")</f>
        <v>-135922.115</v>
      </c>
      <c r="O1937" s="6">
        <f t="shared" si="1940"/>
        <v>-4.791733442</v>
      </c>
      <c r="P1937" s="6">
        <f t="shared" si="1940"/>
        <v>-1.685672415</v>
      </c>
      <c r="Q1937" s="6"/>
      <c r="R1937" s="6"/>
      <c r="S1937" s="6"/>
      <c r="T1937" s="6"/>
      <c r="U1937" s="6"/>
      <c r="V1937" s="6"/>
      <c r="W1937" s="6"/>
      <c r="X1937" s="6"/>
      <c r="Y1937" s="6"/>
      <c r="Z1937" s="6"/>
      <c r="AA1937" s="6"/>
      <c r="AB1937" s="6"/>
      <c r="AC1937" s="6"/>
      <c r="AD1937" s="6"/>
      <c r="AE1937" s="6"/>
      <c r="AF1937" s="6"/>
      <c r="AG1937" s="6"/>
    </row>
    <row r="1938" ht="14.25" customHeight="1">
      <c r="A1938" s="6"/>
      <c r="B1938" s="6"/>
      <c r="C1938" s="6">
        <v>1931.0</v>
      </c>
      <c r="D1938" s="6"/>
      <c r="E1938" s="6">
        <v>6487308.134821222</v>
      </c>
      <c r="F1938" s="6">
        <v>470.36944133320253</v>
      </c>
      <c r="G1938" s="6">
        <v>5.827765104554972</v>
      </c>
      <c r="H1938" s="6">
        <v>6301351.477604145</v>
      </c>
      <c r="I1938" s="6">
        <v>460.76113549015645</v>
      </c>
      <c r="J1938" s="6">
        <v>3.8853805951003815</v>
      </c>
      <c r="K1938" s="6"/>
      <c r="L1938" s="6"/>
      <c r="M1938" s="6"/>
      <c r="N1938" s="6">
        <f t="shared" ref="N1938:P1938" si="1941">IF(LEN($C1938)&gt;0,H1938-E1938,"")</f>
        <v>-185956.6572</v>
      </c>
      <c r="O1938" s="6">
        <f t="shared" si="1941"/>
        <v>-9.608305843</v>
      </c>
      <c r="P1938" s="6">
        <f t="shared" si="1941"/>
        <v>-1.942384509</v>
      </c>
      <c r="Q1938" s="6"/>
      <c r="R1938" s="6"/>
      <c r="S1938" s="6"/>
      <c r="T1938" s="6"/>
      <c r="U1938" s="6"/>
      <c r="V1938" s="6"/>
      <c r="W1938" s="6"/>
      <c r="X1938" s="6"/>
      <c r="Y1938" s="6"/>
      <c r="Z1938" s="6"/>
      <c r="AA1938" s="6"/>
      <c r="AB1938" s="6"/>
      <c r="AC1938" s="6"/>
      <c r="AD1938" s="6"/>
      <c r="AE1938" s="6"/>
      <c r="AF1938" s="6"/>
      <c r="AG1938" s="6"/>
    </row>
    <row r="1939" ht="14.25" customHeight="1">
      <c r="A1939" s="6"/>
      <c r="B1939" s="6"/>
      <c r="C1939" s="6">
        <v>1932.0</v>
      </c>
      <c r="D1939" s="6"/>
      <c r="E1939" s="6">
        <v>7731087.257710472</v>
      </c>
      <c r="F1939" s="6">
        <v>435.7782413481007</v>
      </c>
      <c r="G1939" s="6">
        <v>4.620471274008582</v>
      </c>
      <c r="H1939" s="6">
        <v>7642877.384444418</v>
      </c>
      <c r="I1939" s="6">
        <v>432.39840661011885</v>
      </c>
      <c r="J1939" s="6">
        <v>3.2773695858705114</v>
      </c>
      <c r="K1939" s="6"/>
      <c r="L1939" s="6"/>
      <c r="M1939" s="6"/>
      <c r="N1939" s="6">
        <f t="shared" ref="N1939:P1939" si="1942">IF(LEN($C1939)&gt;0,H1939-E1939,"")</f>
        <v>-88209.87327</v>
      </c>
      <c r="O1939" s="6">
        <f t="shared" si="1942"/>
        <v>-3.379834738</v>
      </c>
      <c r="P1939" s="6">
        <f t="shared" si="1942"/>
        <v>-1.343101688</v>
      </c>
      <c r="Q1939" s="6"/>
      <c r="R1939" s="6"/>
      <c r="S1939" s="6"/>
      <c r="T1939" s="6"/>
      <c r="U1939" s="6"/>
      <c r="V1939" s="6"/>
      <c r="W1939" s="6"/>
      <c r="X1939" s="6"/>
      <c r="Y1939" s="6"/>
      <c r="Z1939" s="6"/>
      <c r="AA1939" s="6"/>
      <c r="AB1939" s="6"/>
      <c r="AC1939" s="6"/>
      <c r="AD1939" s="6"/>
      <c r="AE1939" s="6"/>
      <c r="AF1939" s="6"/>
      <c r="AG1939" s="6"/>
    </row>
    <row r="1940" ht="14.25" customHeight="1">
      <c r="A1940" s="6"/>
      <c r="B1940" s="6"/>
      <c r="C1940" s="6">
        <v>1933.0</v>
      </c>
      <c r="D1940" s="6"/>
      <c r="E1940" s="6">
        <v>5348752.242252586</v>
      </c>
      <c r="F1940" s="6">
        <v>441.9768584423773</v>
      </c>
      <c r="G1940" s="6">
        <v>4.939616283050362</v>
      </c>
      <c r="H1940" s="6">
        <v>5258233.625081355</v>
      </c>
      <c r="I1940" s="6">
        <v>438.3772895911342</v>
      </c>
      <c r="J1940" s="6">
        <v>3.4680363059439308</v>
      </c>
      <c r="K1940" s="6"/>
      <c r="L1940" s="6"/>
      <c r="M1940" s="6"/>
      <c r="N1940" s="6">
        <f t="shared" ref="N1940:P1940" si="1943">IF(LEN($C1940)&gt;0,H1940-E1940,"")</f>
        <v>-90518.61717</v>
      </c>
      <c r="O1940" s="6">
        <f t="shared" si="1943"/>
        <v>-3.599568851</v>
      </c>
      <c r="P1940" s="6">
        <f t="shared" si="1943"/>
        <v>-1.471579977</v>
      </c>
      <c r="Q1940" s="6"/>
      <c r="R1940" s="6"/>
      <c r="S1940" s="6"/>
      <c r="T1940" s="6"/>
      <c r="U1940" s="6"/>
      <c r="V1940" s="6"/>
      <c r="W1940" s="6"/>
      <c r="X1940" s="6"/>
      <c r="Y1940" s="6"/>
      <c r="Z1940" s="6"/>
      <c r="AA1940" s="6"/>
      <c r="AB1940" s="6"/>
      <c r="AC1940" s="6"/>
      <c r="AD1940" s="6"/>
      <c r="AE1940" s="6"/>
      <c r="AF1940" s="6"/>
      <c r="AG1940" s="6"/>
    </row>
    <row r="1941" ht="14.25" customHeight="1">
      <c r="A1941" s="6"/>
      <c r="B1941" s="6"/>
      <c r="C1941" s="6">
        <v>1934.0</v>
      </c>
      <c r="D1941" s="6"/>
      <c r="E1941" s="6">
        <v>1.0172987930434093E7</v>
      </c>
      <c r="F1941" s="6">
        <v>501.4694493557613</v>
      </c>
      <c r="G1941" s="6">
        <v>5.053390284089184</v>
      </c>
      <c r="H1941" s="6">
        <v>1.0078307221141888E7</v>
      </c>
      <c r="I1941" s="6">
        <v>498.13679604490517</v>
      </c>
      <c r="J1941" s="6">
        <v>4.2656608715868645</v>
      </c>
      <c r="K1941" s="6"/>
      <c r="L1941" s="6"/>
      <c r="M1941" s="6"/>
      <c r="N1941" s="6">
        <f t="shared" ref="N1941:P1941" si="1944">IF(LEN($C1941)&gt;0,H1941-E1941,"")</f>
        <v>-94680.70929</v>
      </c>
      <c r="O1941" s="6">
        <f t="shared" si="1944"/>
        <v>-3.332653311</v>
      </c>
      <c r="P1941" s="6">
        <f t="shared" si="1944"/>
        <v>-0.7877294125</v>
      </c>
      <c r="Q1941" s="6"/>
      <c r="R1941" s="6"/>
      <c r="S1941" s="6"/>
      <c r="T1941" s="6"/>
      <c r="U1941" s="6"/>
      <c r="V1941" s="6"/>
      <c r="W1941" s="6"/>
      <c r="X1941" s="6"/>
      <c r="Y1941" s="6"/>
      <c r="Z1941" s="6"/>
      <c r="AA1941" s="6"/>
      <c r="AB1941" s="6"/>
      <c r="AC1941" s="6"/>
      <c r="AD1941" s="6"/>
      <c r="AE1941" s="6"/>
      <c r="AF1941" s="6"/>
      <c r="AG1941" s="6"/>
    </row>
    <row r="1942" ht="14.25" customHeight="1">
      <c r="A1942" s="6"/>
      <c r="B1942" s="6"/>
      <c r="C1942" s="6">
        <v>1935.0</v>
      </c>
      <c r="D1942" s="6"/>
      <c r="E1942" s="6">
        <v>6763134.125859456</v>
      </c>
      <c r="F1942" s="6">
        <v>440.19546638177553</v>
      </c>
      <c r="G1942" s="6">
        <v>4.906176498679547</v>
      </c>
      <c r="H1942" s="6">
        <v>6720130.74704566</v>
      </c>
      <c r="I1942" s="6">
        <v>438.89871135789554</v>
      </c>
      <c r="J1942" s="6">
        <v>4.289190736711248</v>
      </c>
      <c r="K1942" s="6"/>
      <c r="L1942" s="6"/>
      <c r="M1942" s="6"/>
      <c r="N1942" s="6">
        <f t="shared" ref="N1942:P1942" si="1945">IF(LEN($C1942)&gt;0,H1942-E1942,"")</f>
        <v>-43003.37881</v>
      </c>
      <c r="O1942" s="6">
        <f t="shared" si="1945"/>
        <v>-1.296755024</v>
      </c>
      <c r="P1942" s="6">
        <f t="shared" si="1945"/>
        <v>-0.616985762</v>
      </c>
      <c r="Q1942" s="6"/>
      <c r="R1942" s="6"/>
      <c r="S1942" s="6"/>
      <c r="T1942" s="6"/>
      <c r="U1942" s="6"/>
      <c r="V1942" s="6"/>
      <c r="W1942" s="6"/>
      <c r="X1942" s="6"/>
      <c r="Y1942" s="6"/>
      <c r="Z1942" s="6"/>
      <c r="AA1942" s="6"/>
      <c r="AB1942" s="6"/>
      <c r="AC1942" s="6"/>
      <c r="AD1942" s="6"/>
      <c r="AE1942" s="6"/>
      <c r="AF1942" s="6"/>
      <c r="AG1942" s="6"/>
    </row>
    <row r="1943" ht="14.25" customHeight="1">
      <c r="A1943" s="6"/>
      <c r="B1943" s="6"/>
      <c r="C1943" s="6">
        <v>1936.0</v>
      </c>
      <c r="D1943" s="6"/>
      <c r="E1943" s="6">
        <v>7840701.934980804</v>
      </c>
      <c r="F1943" s="6">
        <v>491.8691960539512</v>
      </c>
      <c r="G1943" s="6">
        <v>5.383624423351208</v>
      </c>
      <c r="H1943" s="6">
        <v>7750180.527775793</v>
      </c>
      <c r="I1943" s="6">
        <v>488.9609282909284</v>
      </c>
      <c r="J1943" s="6">
        <v>3.6848908148311317</v>
      </c>
      <c r="K1943" s="6"/>
      <c r="L1943" s="6"/>
      <c r="M1943" s="6"/>
      <c r="N1943" s="6">
        <f t="shared" ref="N1943:P1943" si="1946">IF(LEN($C1943)&gt;0,H1943-E1943,"")</f>
        <v>-90521.40721</v>
      </c>
      <c r="O1943" s="6">
        <f t="shared" si="1946"/>
        <v>-2.908267763</v>
      </c>
      <c r="P1943" s="6">
        <f t="shared" si="1946"/>
        <v>-1.698733609</v>
      </c>
      <c r="Q1943" s="6"/>
      <c r="R1943" s="6"/>
      <c r="S1943" s="6"/>
      <c r="T1943" s="6"/>
      <c r="U1943" s="6"/>
      <c r="V1943" s="6"/>
      <c r="W1943" s="6"/>
      <c r="X1943" s="6"/>
      <c r="Y1943" s="6"/>
      <c r="Z1943" s="6"/>
      <c r="AA1943" s="6"/>
      <c r="AB1943" s="6"/>
      <c r="AC1943" s="6"/>
      <c r="AD1943" s="6"/>
      <c r="AE1943" s="6"/>
      <c r="AF1943" s="6"/>
      <c r="AG1943" s="6"/>
    </row>
    <row r="1944" ht="14.25" customHeight="1">
      <c r="A1944" s="6"/>
      <c r="B1944" s="6"/>
      <c r="C1944" s="6">
        <v>1937.0</v>
      </c>
      <c r="D1944" s="6"/>
      <c r="E1944" s="6">
        <v>5762071.577430609</v>
      </c>
      <c r="F1944" s="6">
        <v>451.5547105658838</v>
      </c>
      <c r="G1944" s="6">
        <v>4.198968615933039</v>
      </c>
      <c r="H1944" s="6">
        <v>5645170.953313241</v>
      </c>
      <c r="I1944" s="6">
        <v>446.4940441490611</v>
      </c>
      <c r="J1944" s="6">
        <v>2.9070448404232923</v>
      </c>
      <c r="K1944" s="6"/>
      <c r="L1944" s="6"/>
      <c r="M1944" s="6"/>
      <c r="N1944" s="6">
        <f t="shared" ref="N1944:P1944" si="1947">IF(LEN($C1944)&gt;0,H1944-E1944,"")</f>
        <v>-116900.6241</v>
      </c>
      <c r="O1944" s="6">
        <f t="shared" si="1947"/>
        <v>-5.060666417</v>
      </c>
      <c r="P1944" s="6">
        <f t="shared" si="1947"/>
        <v>-1.291923776</v>
      </c>
      <c r="Q1944" s="6"/>
      <c r="R1944" s="6"/>
      <c r="S1944" s="6"/>
      <c r="T1944" s="6"/>
      <c r="U1944" s="6"/>
      <c r="V1944" s="6"/>
      <c r="W1944" s="6"/>
      <c r="X1944" s="6"/>
      <c r="Y1944" s="6"/>
      <c r="Z1944" s="6"/>
      <c r="AA1944" s="6"/>
      <c r="AB1944" s="6"/>
      <c r="AC1944" s="6"/>
      <c r="AD1944" s="6"/>
      <c r="AE1944" s="6"/>
      <c r="AF1944" s="6"/>
      <c r="AG1944" s="6"/>
    </row>
    <row r="1945" ht="14.25" customHeight="1">
      <c r="A1945" s="6"/>
      <c r="B1945" s="6"/>
      <c r="C1945" s="6">
        <v>1938.0</v>
      </c>
      <c r="D1945" s="6"/>
      <c r="E1945" s="6">
        <v>6800897.277773129</v>
      </c>
      <c r="F1945" s="6">
        <v>456.7304318516773</v>
      </c>
      <c r="G1945" s="6">
        <v>5.80547729127169</v>
      </c>
      <c r="H1945" s="6">
        <v>6656675.1489206245</v>
      </c>
      <c r="I1945" s="6">
        <v>449.6659384050051</v>
      </c>
      <c r="J1945" s="6">
        <v>4.444799158367666</v>
      </c>
      <c r="K1945" s="6"/>
      <c r="L1945" s="6"/>
      <c r="M1945" s="6"/>
      <c r="N1945" s="6">
        <f t="shared" ref="N1945:P1945" si="1948">IF(LEN($C1945)&gt;0,H1945-E1945,"")</f>
        <v>-144222.1289</v>
      </c>
      <c r="O1945" s="6">
        <f t="shared" si="1948"/>
        <v>-7.064493447</v>
      </c>
      <c r="P1945" s="6">
        <f t="shared" si="1948"/>
        <v>-1.360678133</v>
      </c>
      <c r="Q1945" s="6"/>
      <c r="R1945" s="6"/>
      <c r="S1945" s="6"/>
      <c r="T1945" s="6"/>
      <c r="U1945" s="6"/>
      <c r="V1945" s="6"/>
      <c r="W1945" s="6"/>
      <c r="X1945" s="6"/>
      <c r="Y1945" s="6"/>
      <c r="Z1945" s="6"/>
      <c r="AA1945" s="6"/>
      <c r="AB1945" s="6"/>
      <c r="AC1945" s="6"/>
      <c r="AD1945" s="6"/>
      <c r="AE1945" s="6"/>
      <c r="AF1945" s="6"/>
      <c r="AG1945" s="6"/>
    </row>
    <row r="1946" ht="14.25" customHeight="1">
      <c r="A1946" s="6"/>
      <c r="B1946" s="6"/>
      <c r="C1946" s="6">
        <v>1939.0</v>
      </c>
      <c r="D1946" s="6"/>
      <c r="E1946" s="6">
        <v>6846233.42177522</v>
      </c>
      <c r="F1946" s="6">
        <v>482.6305658622379</v>
      </c>
      <c r="G1946" s="6">
        <v>4.20981107890644</v>
      </c>
      <c r="H1946" s="6">
        <v>6769081.837148115</v>
      </c>
      <c r="I1946" s="6">
        <v>479.3457344571078</v>
      </c>
      <c r="J1946" s="6">
        <v>2.8555960255833783</v>
      </c>
      <c r="K1946" s="6"/>
      <c r="L1946" s="6"/>
      <c r="M1946" s="6"/>
      <c r="N1946" s="6">
        <f t="shared" ref="N1946:P1946" si="1949">IF(LEN($C1946)&gt;0,H1946-E1946,"")</f>
        <v>-77151.58463</v>
      </c>
      <c r="O1946" s="6">
        <f t="shared" si="1949"/>
        <v>-3.284831405</v>
      </c>
      <c r="P1946" s="6">
        <f t="shared" si="1949"/>
        <v>-1.354215053</v>
      </c>
      <c r="Q1946" s="6"/>
      <c r="R1946" s="6"/>
      <c r="S1946" s="6"/>
      <c r="T1946" s="6"/>
      <c r="U1946" s="6"/>
      <c r="V1946" s="6"/>
      <c r="W1946" s="6"/>
      <c r="X1946" s="6"/>
      <c r="Y1946" s="6"/>
      <c r="Z1946" s="6"/>
      <c r="AA1946" s="6"/>
      <c r="AB1946" s="6"/>
      <c r="AC1946" s="6"/>
      <c r="AD1946" s="6"/>
      <c r="AE1946" s="6"/>
      <c r="AF1946" s="6"/>
      <c r="AG1946" s="6"/>
    </row>
    <row r="1947" ht="14.25" customHeight="1">
      <c r="A1947" s="6"/>
      <c r="B1947" s="6"/>
      <c r="C1947" s="6">
        <v>1940.0</v>
      </c>
      <c r="D1947" s="6"/>
      <c r="E1947" s="6">
        <v>6636849.657037423</v>
      </c>
      <c r="F1947" s="6">
        <v>500.2803477612118</v>
      </c>
      <c r="G1947" s="6">
        <v>4.371843153431472</v>
      </c>
      <c r="H1947" s="6">
        <v>6458282.442133582</v>
      </c>
      <c r="I1947" s="6">
        <v>490.55699308288797</v>
      </c>
      <c r="J1947" s="6">
        <v>2.490098413000179</v>
      </c>
      <c r="K1947" s="6"/>
      <c r="L1947" s="6"/>
      <c r="M1947" s="6"/>
      <c r="N1947" s="6">
        <f t="shared" ref="N1947:P1947" si="1950">IF(LEN($C1947)&gt;0,H1947-E1947,"")</f>
        <v>-178567.2149</v>
      </c>
      <c r="O1947" s="6">
        <f t="shared" si="1950"/>
        <v>-9.723354678</v>
      </c>
      <c r="P1947" s="6">
        <f t="shared" si="1950"/>
        <v>-1.88174474</v>
      </c>
      <c r="Q1947" s="6"/>
      <c r="R1947" s="6"/>
      <c r="S1947" s="6"/>
      <c r="T1947" s="6"/>
      <c r="U1947" s="6"/>
      <c r="V1947" s="6"/>
      <c r="W1947" s="6"/>
      <c r="X1947" s="6"/>
      <c r="Y1947" s="6"/>
      <c r="Z1947" s="6"/>
      <c r="AA1947" s="6"/>
      <c r="AB1947" s="6"/>
      <c r="AC1947" s="6"/>
      <c r="AD1947" s="6"/>
      <c r="AE1947" s="6"/>
      <c r="AF1947" s="6"/>
      <c r="AG1947" s="6"/>
    </row>
    <row r="1948" ht="14.25" customHeight="1">
      <c r="A1948" s="6"/>
      <c r="B1948" s="6"/>
      <c r="C1948" s="6">
        <v>1941.0</v>
      </c>
      <c r="D1948" s="6"/>
      <c r="E1948" s="6">
        <v>6267993.586611037</v>
      </c>
      <c r="F1948" s="6">
        <v>447.7628712301088</v>
      </c>
      <c r="G1948" s="6">
        <v>6.111070225636111</v>
      </c>
      <c r="H1948" s="6">
        <v>6163932.089042141</v>
      </c>
      <c r="I1948" s="6">
        <v>443.8463414904395</v>
      </c>
      <c r="J1948" s="6">
        <v>4.873052601930686</v>
      </c>
      <c r="K1948" s="6"/>
      <c r="L1948" s="6"/>
      <c r="M1948" s="6"/>
      <c r="N1948" s="6">
        <f t="shared" ref="N1948:P1948" si="1951">IF(LEN($C1948)&gt;0,H1948-E1948,"")</f>
        <v>-104061.4976</v>
      </c>
      <c r="O1948" s="6">
        <f t="shared" si="1951"/>
        <v>-3.91652974</v>
      </c>
      <c r="P1948" s="6">
        <f t="shared" si="1951"/>
        <v>-1.238017624</v>
      </c>
      <c r="Q1948" s="6"/>
      <c r="R1948" s="6"/>
      <c r="S1948" s="6"/>
      <c r="T1948" s="6"/>
      <c r="U1948" s="6"/>
      <c r="V1948" s="6"/>
      <c r="W1948" s="6"/>
      <c r="X1948" s="6"/>
      <c r="Y1948" s="6"/>
      <c r="Z1948" s="6"/>
      <c r="AA1948" s="6"/>
      <c r="AB1948" s="6"/>
      <c r="AC1948" s="6"/>
      <c r="AD1948" s="6"/>
      <c r="AE1948" s="6"/>
      <c r="AF1948" s="6"/>
      <c r="AG1948" s="6"/>
    </row>
    <row r="1949" ht="14.25" customHeight="1">
      <c r="A1949" s="6"/>
      <c r="B1949" s="6"/>
      <c r="C1949" s="6">
        <v>1942.0</v>
      </c>
      <c r="D1949" s="6"/>
      <c r="E1949" s="6">
        <v>7418435.915288671</v>
      </c>
      <c r="F1949" s="6">
        <v>484.9232516587659</v>
      </c>
      <c r="G1949" s="6">
        <v>4.455761766950241</v>
      </c>
      <c r="H1949" s="6">
        <v>7351053.538911442</v>
      </c>
      <c r="I1949" s="6">
        <v>482.1456542247013</v>
      </c>
      <c r="J1949" s="6">
        <v>3.2626162224470954</v>
      </c>
      <c r="K1949" s="6"/>
      <c r="L1949" s="6"/>
      <c r="M1949" s="6"/>
      <c r="N1949" s="6">
        <f t="shared" ref="N1949:P1949" si="1952">IF(LEN($C1949)&gt;0,H1949-E1949,"")</f>
        <v>-67382.37638</v>
      </c>
      <c r="O1949" s="6">
        <f t="shared" si="1952"/>
        <v>-2.777597434</v>
      </c>
      <c r="P1949" s="6">
        <f t="shared" si="1952"/>
        <v>-1.193145545</v>
      </c>
      <c r="Q1949" s="6"/>
      <c r="R1949" s="6"/>
      <c r="S1949" s="6"/>
      <c r="T1949" s="6"/>
      <c r="U1949" s="6"/>
      <c r="V1949" s="6"/>
      <c r="W1949" s="6"/>
      <c r="X1949" s="6"/>
      <c r="Y1949" s="6"/>
      <c r="Z1949" s="6"/>
      <c r="AA1949" s="6"/>
      <c r="AB1949" s="6"/>
      <c r="AC1949" s="6"/>
      <c r="AD1949" s="6"/>
      <c r="AE1949" s="6"/>
      <c r="AF1949" s="6"/>
      <c r="AG1949" s="6"/>
    </row>
    <row r="1950" ht="14.25" customHeight="1">
      <c r="A1950" s="6"/>
      <c r="B1950" s="6"/>
      <c r="C1950" s="6">
        <v>1943.0</v>
      </c>
      <c r="D1950" s="6"/>
      <c r="E1950" s="6">
        <v>8483046.185728917</v>
      </c>
      <c r="F1950" s="6">
        <v>445.4311846897536</v>
      </c>
      <c r="G1950" s="6">
        <v>4.544899598329346</v>
      </c>
      <c r="H1950" s="6">
        <v>8376503.201719636</v>
      </c>
      <c r="I1950" s="6">
        <v>440.4438790396395</v>
      </c>
      <c r="J1950" s="6">
        <v>3.29579288734326</v>
      </c>
      <c r="K1950" s="6"/>
      <c r="L1950" s="6"/>
      <c r="M1950" s="6"/>
      <c r="N1950" s="6">
        <f t="shared" ref="N1950:P1950" si="1953">IF(LEN($C1950)&gt;0,H1950-E1950,"")</f>
        <v>-106542.984</v>
      </c>
      <c r="O1950" s="6">
        <f t="shared" si="1953"/>
        <v>-4.98730565</v>
      </c>
      <c r="P1950" s="6">
        <f t="shared" si="1953"/>
        <v>-1.249106711</v>
      </c>
      <c r="Q1950" s="6"/>
      <c r="R1950" s="6"/>
      <c r="S1950" s="6"/>
      <c r="T1950" s="6"/>
      <c r="U1950" s="6"/>
      <c r="V1950" s="6"/>
      <c r="W1950" s="6"/>
      <c r="X1950" s="6"/>
      <c r="Y1950" s="6"/>
      <c r="Z1950" s="6"/>
      <c r="AA1950" s="6"/>
      <c r="AB1950" s="6"/>
      <c r="AC1950" s="6"/>
      <c r="AD1950" s="6"/>
      <c r="AE1950" s="6"/>
      <c r="AF1950" s="6"/>
      <c r="AG1950" s="6"/>
    </row>
    <row r="1951" ht="14.25" customHeight="1">
      <c r="A1951" s="6"/>
      <c r="B1951" s="6"/>
      <c r="C1951" s="6">
        <v>1944.0</v>
      </c>
      <c r="D1951" s="6"/>
      <c r="E1951" s="6">
        <v>5684308.006907278</v>
      </c>
      <c r="F1951" s="6">
        <v>455.7402218010072</v>
      </c>
      <c r="G1951" s="6">
        <v>4.365358222330212</v>
      </c>
      <c r="H1951" s="6">
        <v>5589289.097432216</v>
      </c>
      <c r="I1951" s="6">
        <v>451.9173608025437</v>
      </c>
      <c r="J1951" s="6">
        <v>2.959058658221893</v>
      </c>
      <c r="K1951" s="6"/>
      <c r="L1951" s="6"/>
      <c r="M1951" s="6"/>
      <c r="N1951" s="6">
        <f t="shared" ref="N1951:P1951" si="1954">IF(LEN($C1951)&gt;0,H1951-E1951,"")</f>
        <v>-95018.90948</v>
      </c>
      <c r="O1951" s="6">
        <f t="shared" si="1954"/>
        <v>-3.822860998</v>
      </c>
      <c r="P1951" s="6">
        <f t="shared" si="1954"/>
        <v>-1.406299564</v>
      </c>
      <c r="Q1951" s="6"/>
      <c r="R1951" s="6"/>
      <c r="S1951" s="6"/>
      <c r="T1951" s="6"/>
      <c r="U1951" s="6"/>
      <c r="V1951" s="6"/>
      <c r="W1951" s="6"/>
      <c r="X1951" s="6"/>
      <c r="Y1951" s="6"/>
      <c r="Z1951" s="6"/>
      <c r="AA1951" s="6"/>
      <c r="AB1951" s="6"/>
      <c r="AC1951" s="6"/>
      <c r="AD1951" s="6"/>
      <c r="AE1951" s="6"/>
      <c r="AF1951" s="6"/>
      <c r="AG1951" s="6"/>
    </row>
    <row r="1952" ht="14.25" customHeight="1">
      <c r="A1952" s="6"/>
      <c r="B1952" s="6"/>
      <c r="C1952" s="6">
        <v>1945.0</v>
      </c>
      <c r="D1952" s="6"/>
      <c r="E1952" s="6">
        <v>9288203.418840123</v>
      </c>
      <c r="F1952" s="6">
        <v>485.5578250248441</v>
      </c>
      <c r="G1952" s="6">
        <v>4.4498804982831075</v>
      </c>
      <c r="H1952" s="6">
        <v>9241291.558412625</v>
      </c>
      <c r="I1952" s="6">
        <v>483.94043221176383</v>
      </c>
      <c r="J1952" s="6">
        <v>3.781168376343783</v>
      </c>
      <c r="K1952" s="6"/>
      <c r="L1952" s="6"/>
      <c r="M1952" s="6"/>
      <c r="N1952" s="6">
        <f t="shared" ref="N1952:P1952" si="1955">IF(LEN($C1952)&gt;0,H1952-E1952,"")</f>
        <v>-46911.86043</v>
      </c>
      <c r="O1952" s="6">
        <f t="shared" si="1955"/>
        <v>-1.617392813</v>
      </c>
      <c r="P1952" s="6">
        <f t="shared" si="1955"/>
        <v>-0.6687121219</v>
      </c>
      <c r="Q1952" s="6"/>
      <c r="R1952" s="6"/>
      <c r="S1952" s="6"/>
      <c r="T1952" s="6"/>
      <c r="U1952" s="6"/>
      <c r="V1952" s="6"/>
      <c r="W1952" s="6"/>
      <c r="X1952" s="6"/>
      <c r="Y1952" s="6"/>
      <c r="Z1952" s="6"/>
      <c r="AA1952" s="6"/>
      <c r="AB1952" s="6"/>
      <c r="AC1952" s="6"/>
      <c r="AD1952" s="6"/>
      <c r="AE1952" s="6"/>
      <c r="AF1952" s="6"/>
      <c r="AG1952" s="6"/>
    </row>
    <row r="1953" ht="14.25" customHeight="1">
      <c r="A1953" s="6"/>
      <c r="B1953" s="6"/>
      <c r="C1953" s="6">
        <v>1946.0</v>
      </c>
      <c r="D1953" s="6"/>
      <c r="E1953" s="6">
        <v>7742268.872682798</v>
      </c>
      <c r="F1953" s="6">
        <v>480.0419739203701</v>
      </c>
      <c r="G1953" s="6">
        <v>4.924714932073187</v>
      </c>
      <c r="H1953" s="6">
        <v>7595280.253193656</v>
      </c>
      <c r="I1953" s="6">
        <v>473.00938545471774</v>
      </c>
      <c r="J1953" s="6">
        <v>3.952649255983054</v>
      </c>
      <c r="K1953" s="6"/>
      <c r="L1953" s="6"/>
      <c r="M1953" s="6"/>
      <c r="N1953" s="6">
        <f t="shared" ref="N1953:P1953" si="1956">IF(LEN($C1953)&gt;0,H1953-E1953,"")</f>
        <v>-146988.6195</v>
      </c>
      <c r="O1953" s="6">
        <f t="shared" si="1956"/>
        <v>-7.032588466</v>
      </c>
      <c r="P1953" s="6">
        <f t="shared" si="1956"/>
        <v>-0.9720656761</v>
      </c>
      <c r="Q1953" s="6"/>
      <c r="R1953" s="6"/>
      <c r="S1953" s="6"/>
      <c r="T1953" s="6"/>
      <c r="U1953" s="6"/>
      <c r="V1953" s="6"/>
      <c r="W1953" s="6"/>
      <c r="X1953" s="6"/>
      <c r="Y1953" s="6"/>
      <c r="Z1953" s="6"/>
      <c r="AA1953" s="6"/>
      <c r="AB1953" s="6"/>
      <c r="AC1953" s="6"/>
      <c r="AD1953" s="6"/>
      <c r="AE1953" s="6"/>
      <c r="AF1953" s="6"/>
      <c r="AG1953" s="6"/>
    </row>
    <row r="1954" ht="14.25" customHeight="1">
      <c r="A1954" s="6"/>
      <c r="B1954" s="6"/>
      <c r="C1954" s="6">
        <v>1947.0</v>
      </c>
      <c r="D1954" s="6"/>
      <c r="E1954" s="6">
        <v>7637052.296639979</v>
      </c>
      <c r="F1954" s="6">
        <v>445.547713630578</v>
      </c>
      <c r="G1954" s="6">
        <v>4.577962067450865</v>
      </c>
      <c r="H1954" s="6">
        <v>7544930.79232716</v>
      </c>
      <c r="I1954" s="6">
        <v>441.77070121096955</v>
      </c>
      <c r="J1954" s="6">
        <v>3.5850298591247465</v>
      </c>
      <c r="K1954" s="6"/>
      <c r="L1954" s="6"/>
      <c r="M1954" s="6"/>
      <c r="N1954" s="6">
        <f t="shared" ref="N1954:P1954" si="1957">IF(LEN($C1954)&gt;0,H1954-E1954,"")</f>
        <v>-92121.50431</v>
      </c>
      <c r="O1954" s="6">
        <f t="shared" si="1957"/>
        <v>-3.77701242</v>
      </c>
      <c r="P1954" s="6">
        <f t="shared" si="1957"/>
        <v>-0.9929322083</v>
      </c>
      <c r="Q1954" s="6"/>
      <c r="R1954" s="6"/>
      <c r="S1954" s="6"/>
      <c r="T1954" s="6"/>
      <c r="U1954" s="6"/>
      <c r="V1954" s="6"/>
      <c r="W1954" s="6"/>
      <c r="X1954" s="6"/>
      <c r="Y1954" s="6"/>
      <c r="Z1954" s="6"/>
      <c r="AA1954" s="6"/>
      <c r="AB1954" s="6"/>
      <c r="AC1954" s="6"/>
      <c r="AD1954" s="6"/>
      <c r="AE1954" s="6"/>
      <c r="AF1954" s="6"/>
      <c r="AG1954" s="6"/>
    </row>
    <row r="1955" ht="14.25" customHeight="1">
      <c r="A1955" s="6"/>
      <c r="B1955" s="6"/>
      <c r="C1955" s="6">
        <v>1948.0</v>
      </c>
      <c r="D1955" s="6"/>
      <c r="E1955" s="6">
        <v>8990851.08276194</v>
      </c>
      <c r="F1955" s="6">
        <v>472.102309072289</v>
      </c>
      <c r="G1955" s="6">
        <v>4.112460389237629</v>
      </c>
      <c r="H1955" s="6">
        <v>8885962.527327597</v>
      </c>
      <c r="I1955" s="6">
        <v>469.43530928577746</v>
      </c>
      <c r="J1955" s="6">
        <v>2.8250514907512336</v>
      </c>
      <c r="K1955" s="6"/>
      <c r="L1955" s="6"/>
      <c r="M1955" s="6"/>
      <c r="N1955" s="6">
        <f t="shared" ref="N1955:P1955" si="1958">IF(LEN($C1955)&gt;0,H1955-E1955,"")</f>
        <v>-104888.5554</v>
      </c>
      <c r="O1955" s="6">
        <f t="shared" si="1958"/>
        <v>-2.666999787</v>
      </c>
      <c r="P1955" s="6">
        <f t="shared" si="1958"/>
        <v>-1.287408898</v>
      </c>
      <c r="Q1955" s="6"/>
      <c r="R1955" s="6"/>
      <c r="S1955" s="6"/>
      <c r="T1955" s="6"/>
      <c r="U1955" s="6"/>
      <c r="V1955" s="6"/>
      <c r="W1955" s="6"/>
      <c r="X1955" s="6"/>
      <c r="Y1955" s="6"/>
      <c r="Z1955" s="6"/>
      <c r="AA1955" s="6"/>
      <c r="AB1955" s="6"/>
      <c r="AC1955" s="6"/>
      <c r="AD1955" s="6"/>
      <c r="AE1955" s="6"/>
      <c r="AF1955" s="6"/>
      <c r="AG1955" s="6"/>
    </row>
    <row r="1956" ht="14.25" customHeight="1">
      <c r="A1956" s="6"/>
      <c r="B1956" s="6"/>
      <c r="C1956" s="6">
        <v>1949.0</v>
      </c>
      <c r="D1956" s="6"/>
      <c r="E1956" s="6">
        <v>7413100.826527339</v>
      </c>
      <c r="F1956" s="6">
        <v>477.0154393364309</v>
      </c>
      <c r="G1956" s="6">
        <v>5.167315892594914</v>
      </c>
      <c r="H1956" s="6">
        <v>7347238.182757462</v>
      </c>
      <c r="I1956" s="6">
        <v>474.4009630687115</v>
      </c>
      <c r="J1956" s="6">
        <v>4.122441712972233</v>
      </c>
      <c r="K1956" s="6"/>
      <c r="L1956" s="6"/>
      <c r="M1956" s="6"/>
      <c r="N1956" s="6">
        <f t="shared" ref="N1956:P1956" si="1959">IF(LEN($C1956)&gt;0,H1956-E1956,"")</f>
        <v>-65862.64377</v>
      </c>
      <c r="O1956" s="6">
        <f t="shared" si="1959"/>
        <v>-2.614476268</v>
      </c>
      <c r="P1956" s="6">
        <f t="shared" si="1959"/>
        <v>-1.04487418</v>
      </c>
      <c r="Q1956" s="6"/>
      <c r="R1956" s="6"/>
      <c r="S1956" s="6"/>
      <c r="T1956" s="6"/>
      <c r="U1956" s="6"/>
      <c r="V1956" s="6"/>
      <c r="W1956" s="6"/>
      <c r="X1956" s="6"/>
      <c r="Y1956" s="6"/>
      <c r="Z1956" s="6"/>
      <c r="AA1956" s="6"/>
      <c r="AB1956" s="6"/>
      <c r="AC1956" s="6"/>
      <c r="AD1956" s="6"/>
      <c r="AE1956" s="6"/>
      <c r="AF1956" s="6"/>
      <c r="AG1956" s="6"/>
    </row>
    <row r="1957" ht="14.25" customHeight="1">
      <c r="A1957" s="6"/>
      <c r="B1957" s="6"/>
      <c r="C1957" s="6">
        <v>1950.0</v>
      </c>
      <c r="D1957" s="6"/>
      <c r="E1957" s="6">
        <v>6403080.07345743</v>
      </c>
      <c r="F1957" s="6">
        <v>494.218295395145</v>
      </c>
      <c r="G1957" s="6">
        <v>4.646432255712422</v>
      </c>
      <c r="H1957" s="6">
        <v>6221661.411337766</v>
      </c>
      <c r="I1957" s="6">
        <v>486.7062371732744</v>
      </c>
      <c r="J1957" s="6">
        <v>3.4350298953390963</v>
      </c>
      <c r="K1957" s="6"/>
      <c r="L1957" s="6"/>
      <c r="M1957" s="6"/>
      <c r="N1957" s="6">
        <f t="shared" ref="N1957:P1957" si="1960">IF(LEN($C1957)&gt;0,H1957-E1957,"")</f>
        <v>-181418.6621</v>
      </c>
      <c r="O1957" s="6">
        <f t="shared" si="1960"/>
        <v>-7.512058222</v>
      </c>
      <c r="P1957" s="6">
        <f t="shared" si="1960"/>
        <v>-1.21140236</v>
      </c>
      <c r="Q1957" s="6"/>
      <c r="R1957" s="6"/>
      <c r="S1957" s="6"/>
      <c r="T1957" s="6"/>
      <c r="U1957" s="6"/>
      <c r="V1957" s="6"/>
      <c r="W1957" s="6"/>
      <c r="X1957" s="6"/>
      <c r="Y1957" s="6"/>
      <c r="Z1957" s="6"/>
      <c r="AA1957" s="6"/>
      <c r="AB1957" s="6"/>
      <c r="AC1957" s="6"/>
      <c r="AD1957" s="6"/>
      <c r="AE1957" s="6"/>
      <c r="AF1957" s="6"/>
      <c r="AG1957" s="6"/>
    </row>
    <row r="1958" ht="14.25" customHeight="1">
      <c r="A1958" s="6"/>
      <c r="B1958" s="6"/>
      <c r="C1958" s="6">
        <v>1951.0</v>
      </c>
      <c r="D1958" s="6"/>
      <c r="E1958" s="6">
        <v>7243431.051133612</v>
      </c>
      <c r="F1958" s="6">
        <v>466.44958270421847</v>
      </c>
      <c r="G1958" s="6">
        <v>4.617950589003704</v>
      </c>
      <c r="H1958" s="6">
        <v>7130445.708232803</v>
      </c>
      <c r="I1958" s="6">
        <v>460.9127897308966</v>
      </c>
      <c r="J1958" s="6">
        <v>3.400750804739113</v>
      </c>
      <c r="K1958" s="6"/>
      <c r="L1958" s="6"/>
      <c r="M1958" s="6"/>
      <c r="N1958" s="6">
        <f t="shared" ref="N1958:P1958" si="1961">IF(LEN($C1958)&gt;0,H1958-E1958,"")</f>
        <v>-112985.3429</v>
      </c>
      <c r="O1958" s="6">
        <f t="shared" si="1961"/>
        <v>-5.536792973</v>
      </c>
      <c r="P1958" s="6">
        <f t="shared" si="1961"/>
        <v>-1.217199784</v>
      </c>
      <c r="Q1958" s="6"/>
      <c r="R1958" s="6"/>
      <c r="S1958" s="6"/>
      <c r="T1958" s="6"/>
      <c r="U1958" s="6"/>
      <c r="V1958" s="6"/>
      <c r="W1958" s="6"/>
      <c r="X1958" s="6"/>
      <c r="Y1958" s="6"/>
      <c r="Z1958" s="6"/>
      <c r="AA1958" s="6"/>
      <c r="AB1958" s="6"/>
      <c r="AC1958" s="6"/>
      <c r="AD1958" s="6"/>
      <c r="AE1958" s="6"/>
      <c r="AF1958" s="6"/>
      <c r="AG1958" s="6"/>
    </row>
    <row r="1959" ht="14.25" customHeight="1">
      <c r="A1959" s="6"/>
      <c r="B1959" s="6"/>
      <c r="C1959" s="6">
        <v>1952.0</v>
      </c>
      <c r="D1959" s="6"/>
      <c r="E1959" s="6">
        <v>5663644.577788026</v>
      </c>
      <c r="F1959" s="6">
        <v>450.5902503133007</v>
      </c>
      <c r="G1959" s="6">
        <v>6.484982259935588</v>
      </c>
      <c r="H1959" s="6">
        <v>5589569.682935855</v>
      </c>
      <c r="I1959" s="6">
        <v>448.91012402438054</v>
      </c>
      <c r="J1959" s="6">
        <v>5.524413542660261</v>
      </c>
      <c r="K1959" s="6"/>
      <c r="L1959" s="6"/>
      <c r="M1959" s="6"/>
      <c r="N1959" s="6">
        <f t="shared" ref="N1959:P1959" si="1962">IF(LEN($C1959)&gt;0,H1959-E1959,"")</f>
        <v>-74074.89485</v>
      </c>
      <c r="O1959" s="6">
        <f t="shared" si="1962"/>
        <v>-1.680126289</v>
      </c>
      <c r="P1959" s="6">
        <f t="shared" si="1962"/>
        <v>-0.9605687173</v>
      </c>
      <c r="Q1959" s="6"/>
      <c r="R1959" s="6"/>
      <c r="S1959" s="6"/>
      <c r="T1959" s="6"/>
      <c r="U1959" s="6"/>
      <c r="V1959" s="6"/>
      <c r="W1959" s="6"/>
      <c r="X1959" s="6"/>
      <c r="Y1959" s="6"/>
      <c r="Z1959" s="6"/>
      <c r="AA1959" s="6"/>
      <c r="AB1959" s="6"/>
      <c r="AC1959" s="6"/>
      <c r="AD1959" s="6"/>
      <c r="AE1959" s="6"/>
      <c r="AF1959" s="6"/>
      <c r="AG1959" s="6"/>
    </row>
    <row r="1960" ht="14.25" customHeight="1">
      <c r="A1960" s="6"/>
      <c r="B1960" s="6"/>
      <c r="C1960" s="6">
        <v>1953.0</v>
      </c>
      <c r="D1960" s="6"/>
      <c r="E1960" s="6">
        <v>6189956.7740999</v>
      </c>
      <c r="F1960" s="6">
        <v>449.19782762057923</v>
      </c>
      <c r="G1960" s="6">
        <v>5.36203718837827</v>
      </c>
      <c r="H1960" s="6">
        <v>6083408.659708932</v>
      </c>
      <c r="I1960" s="6">
        <v>443.8779090646998</v>
      </c>
      <c r="J1960" s="6">
        <v>4.24397486627395</v>
      </c>
      <c r="K1960" s="6"/>
      <c r="L1960" s="6"/>
      <c r="M1960" s="6"/>
      <c r="N1960" s="6">
        <f t="shared" ref="N1960:P1960" si="1963">IF(LEN($C1960)&gt;0,H1960-E1960,"")</f>
        <v>-106548.1144</v>
      </c>
      <c r="O1960" s="6">
        <f t="shared" si="1963"/>
        <v>-5.319918556</v>
      </c>
      <c r="P1960" s="6">
        <f t="shared" si="1963"/>
        <v>-1.118062322</v>
      </c>
      <c r="Q1960" s="6"/>
      <c r="R1960" s="6"/>
      <c r="S1960" s="6"/>
      <c r="T1960" s="6"/>
      <c r="U1960" s="6"/>
      <c r="V1960" s="6"/>
      <c r="W1960" s="6"/>
      <c r="X1960" s="6"/>
      <c r="Y1960" s="6"/>
      <c r="Z1960" s="6"/>
      <c r="AA1960" s="6"/>
      <c r="AB1960" s="6"/>
      <c r="AC1960" s="6"/>
      <c r="AD1960" s="6"/>
      <c r="AE1960" s="6"/>
      <c r="AF1960" s="6"/>
      <c r="AG1960" s="6"/>
    </row>
    <row r="1961" ht="14.25" customHeight="1">
      <c r="A1961" s="6"/>
      <c r="B1961" s="6"/>
      <c r="C1961" s="6">
        <v>1954.0</v>
      </c>
      <c r="D1961" s="6"/>
      <c r="E1961" s="6">
        <v>6384748.807031862</v>
      </c>
      <c r="F1961" s="6">
        <v>451.2794584985244</v>
      </c>
      <c r="G1961" s="6">
        <v>4.993785948105248</v>
      </c>
      <c r="H1961" s="6">
        <v>6268195.7737424355</v>
      </c>
      <c r="I1961" s="6">
        <v>445.6386260338961</v>
      </c>
      <c r="J1961" s="6">
        <v>3.6153429707672817</v>
      </c>
      <c r="K1961" s="6"/>
      <c r="L1961" s="6"/>
      <c r="M1961" s="6"/>
      <c r="N1961" s="6">
        <f t="shared" ref="N1961:P1961" si="1964">IF(LEN($C1961)&gt;0,H1961-E1961,"")</f>
        <v>-116553.0333</v>
      </c>
      <c r="O1961" s="6">
        <f t="shared" si="1964"/>
        <v>-5.640832465</v>
      </c>
      <c r="P1961" s="6">
        <f t="shared" si="1964"/>
        <v>-1.378442977</v>
      </c>
      <c r="Q1961" s="6"/>
      <c r="R1961" s="6"/>
      <c r="S1961" s="6"/>
      <c r="T1961" s="6"/>
      <c r="U1961" s="6"/>
      <c r="V1961" s="6"/>
      <c r="W1961" s="6"/>
      <c r="X1961" s="6"/>
      <c r="Y1961" s="6"/>
      <c r="Z1961" s="6"/>
      <c r="AA1961" s="6"/>
      <c r="AB1961" s="6"/>
      <c r="AC1961" s="6"/>
      <c r="AD1961" s="6"/>
      <c r="AE1961" s="6"/>
      <c r="AF1961" s="6"/>
      <c r="AG1961" s="6"/>
    </row>
    <row r="1962" ht="14.25" customHeight="1">
      <c r="A1962" s="6"/>
      <c r="B1962" s="6"/>
      <c r="C1962" s="6">
        <v>1955.0</v>
      </c>
      <c r="D1962" s="6"/>
      <c r="E1962" s="6">
        <v>7195116.5494055925</v>
      </c>
      <c r="F1962" s="6">
        <v>479.04474363268264</v>
      </c>
      <c r="G1962" s="6">
        <v>6.054735702386193</v>
      </c>
      <c r="H1962" s="6">
        <v>7101125.815595903</v>
      </c>
      <c r="I1962" s="6">
        <v>474.5950242352385</v>
      </c>
      <c r="J1962" s="6">
        <v>4.001319959204765</v>
      </c>
      <c r="K1962" s="6"/>
      <c r="L1962" s="6"/>
      <c r="M1962" s="6"/>
      <c r="N1962" s="6">
        <f t="shared" ref="N1962:P1962" si="1965">IF(LEN($C1962)&gt;0,H1962-E1962,"")</f>
        <v>-93990.73381</v>
      </c>
      <c r="O1962" s="6">
        <f t="shared" si="1965"/>
        <v>-4.449719397</v>
      </c>
      <c r="P1962" s="6">
        <f t="shared" si="1965"/>
        <v>-2.053415743</v>
      </c>
      <c r="Q1962" s="6"/>
      <c r="R1962" s="6"/>
      <c r="S1962" s="6"/>
      <c r="T1962" s="6"/>
      <c r="U1962" s="6"/>
      <c r="V1962" s="6"/>
      <c r="W1962" s="6"/>
      <c r="X1962" s="6"/>
      <c r="Y1962" s="6"/>
      <c r="Z1962" s="6"/>
      <c r="AA1962" s="6"/>
      <c r="AB1962" s="6"/>
      <c r="AC1962" s="6"/>
      <c r="AD1962" s="6"/>
      <c r="AE1962" s="6"/>
      <c r="AF1962" s="6"/>
      <c r="AG1962" s="6"/>
    </row>
    <row r="1963" ht="14.25" customHeight="1">
      <c r="A1963" s="6"/>
      <c r="B1963" s="6"/>
      <c r="C1963" s="6">
        <v>1956.0</v>
      </c>
      <c r="D1963" s="6"/>
      <c r="E1963" s="6">
        <v>6000709.5971992025</v>
      </c>
      <c r="F1963" s="6">
        <v>433.5517980737551</v>
      </c>
      <c r="G1963" s="6">
        <v>4.30555558903013</v>
      </c>
      <c r="H1963" s="6">
        <v>5950577.55552893</v>
      </c>
      <c r="I1963" s="6">
        <v>431.4549428901158</v>
      </c>
      <c r="J1963" s="6">
        <v>3.223957884416026</v>
      </c>
      <c r="K1963" s="6"/>
      <c r="L1963" s="6"/>
      <c r="M1963" s="6"/>
      <c r="N1963" s="6">
        <f t="shared" ref="N1963:P1963" si="1966">IF(LEN($C1963)&gt;0,H1963-E1963,"")</f>
        <v>-50132.04167</v>
      </c>
      <c r="O1963" s="6">
        <f t="shared" si="1966"/>
        <v>-2.096855184</v>
      </c>
      <c r="P1963" s="6">
        <f t="shared" si="1966"/>
        <v>-1.081597705</v>
      </c>
      <c r="Q1963" s="6"/>
      <c r="R1963" s="6"/>
      <c r="S1963" s="6"/>
      <c r="T1963" s="6"/>
      <c r="U1963" s="6"/>
      <c r="V1963" s="6"/>
      <c r="W1963" s="6"/>
      <c r="X1963" s="6"/>
      <c r="Y1963" s="6"/>
      <c r="Z1963" s="6"/>
      <c r="AA1963" s="6"/>
      <c r="AB1963" s="6"/>
      <c r="AC1963" s="6"/>
      <c r="AD1963" s="6"/>
      <c r="AE1963" s="6"/>
      <c r="AF1963" s="6"/>
      <c r="AG1963" s="6"/>
    </row>
    <row r="1964" ht="14.25" customHeight="1">
      <c r="A1964" s="6"/>
      <c r="B1964" s="6"/>
      <c r="C1964" s="6">
        <v>1957.0</v>
      </c>
      <c r="D1964" s="6"/>
      <c r="E1964" s="6">
        <v>9931142.657803252</v>
      </c>
      <c r="F1964" s="6">
        <v>496.78658735239355</v>
      </c>
      <c r="G1964" s="6">
        <v>5.915364604365638</v>
      </c>
      <c r="H1964" s="6">
        <v>9825407.917823918</v>
      </c>
      <c r="I1964" s="6">
        <v>491.57691904664676</v>
      </c>
      <c r="J1964" s="6">
        <v>4.392848413983348</v>
      </c>
      <c r="K1964" s="6"/>
      <c r="L1964" s="6"/>
      <c r="M1964" s="6"/>
      <c r="N1964" s="6">
        <f t="shared" ref="N1964:P1964" si="1967">IF(LEN($C1964)&gt;0,H1964-E1964,"")</f>
        <v>-105734.74</v>
      </c>
      <c r="O1964" s="6">
        <f t="shared" si="1967"/>
        <v>-5.209668306</v>
      </c>
      <c r="P1964" s="6">
        <f t="shared" si="1967"/>
        <v>-1.52251619</v>
      </c>
      <c r="Q1964" s="6"/>
      <c r="R1964" s="6"/>
      <c r="S1964" s="6"/>
      <c r="T1964" s="6"/>
      <c r="U1964" s="6"/>
      <c r="V1964" s="6"/>
      <c r="W1964" s="6"/>
      <c r="X1964" s="6"/>
      <c r="Y1964" s="6"/>
      <c r="Z1964" s="6"/>
      <c r="AA1964" s="6"/>
      <c r="AB1964" s="6"/>
      <c r="AC1964" s="6"/>
      <c r="AD1964" s="6"/>
      <c r="AE1964" s="6"/>
      <c r="AF1964" s="6"/>
      <c r="AG1964" s="6"/>
    </row>
    <row r="1965" ht="14.25" customHeight="1">
      <c r="A1965" s="6"/>
      <c r="B1965" s="6"/>
      <c r="C1965" s="6">
        <v>1958.0</v>
      </c>
      <c r="D1965" s="6"/>
      <c r="E1965" s="6">
        <v>6847959.61271337</v>
      </c>
      <c r="F1965" s="6">
        <v>453.09924516438986</v>
      </c>
      <c r="G1965" s="6">
        <v>4.9426623841985515</v>
      </c>
      <c r="H1965" s="6">
        <v>6787999.058268381</v>
      </c>
      <c r="I1965" s="6">
        <v>450.66587133515833</v>
      </c>
      <c r="J1965" s="6">
        <v>3.8849282404506207</v>
      </c>
      <c r="K1965" s="6"/>
      <c r="L1965" s="6"/>
      <c r="M1965" s="6"/>
      <c r="N1965" s="6">
        <f t="shared" ref="N1965:P1965" si="1968">IF(LEN($C1965)&gt;0,H1965-E1965,"")</f>
        <v>-59960.55444</v>
      </c>
      <c r="O1965" s="6">
        <f t="shared" si="1968"/>
        <v>-2.433373829</v>
      </c>
      <c r="P1965" s="6">
        <f t="shared" si="1968"/>
        <v>-1.057734144</v>
      </c>
      <c r="Q1965" s="6"/>
      <c r="R1965" s="6"/>
      <c r="S1965" s="6"/>
      <c r="T1965" s="6"/>
      <c r="U1965" s="6"/>
      <c r="V1965" s="6"/>
      <c r="W1965" s="6"/>
      <c r="X1965" s="6"/>
      <c r="Y1965" s="6"/>
      <c r="Z1965" s="6"/>
      <c r="AA1965" s="6"/>
      <c r="AB1965" s="6"/>
      <c r="AC1965" s="6"/>
      <c r="AD1965" s="6"/>
      <c r="AE1965" s="6"/>
      <c r="AF1965" s="6"/>
      <c r="AG1965" s="6"/>
    </row>
    <row r="1966" ht="14.25" customHeight="1">
      <c r="A1966" s="6"/>
      <c r="B1966" s="6"/>
      <c r="C1966" s="6">
        <v>1959.0</v>
      </c>
      <c r="D1966" s="6"/>
      <c r="E1966" s="6">
        <v>9914399.94702202</v>
      </c>
      <c r="F1966" s="6">
        <v>496.6293063312204</v>
      </c>
      <c r="G1966" s="6">
        <v>4.050840037261788</v>
      </c>
      <c r="H1966" s="6">
        <v>9734333.815347292</v>
      </c>
      <c r="I1966" s="6">
        <v>488.540711253612</v>
      </c>
      <c r="J1966" s="6">
        <v>2.9446717852576905</v>
      </c>
      <c r="K1966" s="6"/>
      <c r="L1966" s="6"/>
      <c r="M1966" s="6"/>
      <c r="N1966" s="6">
        <f t="shared" ref="N1966:P1966" si="1969">IF(LEN($C1966)&gt;0,H1966-E1966,"")</f>
        <v>-180066.1317</v>
      </c>
      <c r="O1966" s="6">
        <f t="shared" si="1969"/>
        <v>-8.088595078</v>
      </c>
      <c r="P1966" s="6">
        <f t="shared" si="1969"/>
        <v>-1.106168252</v>
      </c>
      <c r="Q1966" s="6"/>
      <c r="R1966" s="6"/>
      <c r="S1966" s="6"/>
      <c r="T1966" s="6"/>
      <c r="U1966" s="6"/>
      <c r="V1966" s="6"/>
      <c r="W1966" s="6"/>
      <c r="X1966" s="6"/>
      <c r="Y1966" s="6"/>
      <c r="Z1966" s="6"/>
      <c r="AA1966" s="6"/>
      <c r="AB1966" s="6"/>
      <c r="AC1966" s="6"/>
      <c r="AD1966" s="6"/>
      <c r="AE1966" s="6"/>
      <c r="AF1966" s="6"/>
      <c r="AG1966" s="6"/>
    </row>
    <row r="1967" ht="14.25" customHeight="1">
      <c r="A1967" s="6"/>
      <c r="B1967" s="6"/>
      <c r="C1967" s="6">
        <v>1960.0</v>
      </c>
      <c r="D1967" s="6"/>
      <c r="E1967" s="6">
        <v>8270978.970115133</v>
      </c>
      <c r="F1967" s="6">
        <v>450.7463205040879</v>
      </c>
      <c r="G1967" s="6">
        <v>5.285818038079665</v>
      </c>
      <c r="H1967" s="6">
        <v>8137916.271783903</v>
      </c>
      <c r="I1967" s="6">
        <v>443.8152351890639</v>
      </c>
      <c r="J1967" s="6">
        <v>3.769163378657497</v>
      </c>
      <c r="K1967" s="6"/>
      <c r="L1967" s="6"/>
      <c r="M1967" s="6"/>
      <c r="N1967" s="6">
        <f t="shared" ref="N1967:P1967" si="1970">IF(LEN($C1967)&gt;0,H1967-E1967,"")</f>
        <v>-133062.6983</v>
      </c>
      <c r="O1967" s="6">
        <f t="shared" si="1970"/>
        <v>-6.931085315</v>
      </c>
      <c r="P1967" s="6">
        <f t="shared" si="1970"/>
        <v>-1.516654659</v>
      </c>
      <c r="Q1967" s="6"/>
      <c r="R1967" s="6"/>
      <c r="S1967" s="6"/>
      <c r="T1967" s="6"/>
      <c r="U1967" s="6"/>
      <c r="V1967" s="6"/>
      <c r="W1967" s="6"/>
      <c r="X1967" s="6"/>
      <c r="Y1967" s="6"/>
      <c r="Z1967" s="6"/>
      <c r="AA1967" s="6"/>
      <c r="AB1967" s="6"/>
      <c r="AC1967" s="6"/>
      <c r="AD1967" s="6"/>
      <c r="AE1967" s="6"/>
      <c r="AF1967" s="6"/>
      <c r="AG1967" s="6"/>
    </row>
    <row r="1968" ht="14.25" customHeight="1">
      <c r="A1968" s="6"/>
      <c r="B1968" s="6"/>
      <c r="C1968" s="6">
        <v>1961.0</v>
      </c>
      <c r="D1968" s="6"/>
      <c r="E1968" s="6">
        <v>8752372.22819406</v>
      </c>
      <c r="F1968" s="6">
        <v>473.2392512041806</v>
      </c>
      <c r="G1968" s="6">
        <v>5.0419481724799455</v>
      </c>
      <c r="H1968" s="6">
        <v>8669391.52089961</v>
      </c>
      <c r="I1968" s="6">
        <v>469.3138965906658</v>
      </c>
      <c r="J1968" s="6">
        <v>4.162049574205655</v>
      </c>
      <c r="K1968" s="6"/>
      <c r="L1968" s="6"/>
      <c r="M1968" s="6"/>
      <c r="N1968" s="6">
        <f t="shared" ref="N1968:P1968" si="1971">IF(LEN($C1968)&gt;0,H1968-E1968,"")</f>
        <v>-82980.70729</v>
      </c>
      <c r="O1968" s="6">
        <f t="shared" si="1971"/>
        <v>-3.925354614</v>
      </c>
      <c r="P1968" s="6">
        <f t="shared" si="1971"/>
        <v>-0.8798985983</v>
      </c>
      <c r="Q1968" s="6"/>
      <c r="R1968" s="6"/>
      <c r="S1968" s="6"/>
      <c r="T1968" s="6"/>
      <c r="U1968" s="6"/>
      <c r="V1968" s="6"/>
      <c r="W1968" s="6"/>
      <c r="X1968" s="6"/>
      <c r="Y1968" s="6"/>
      <c r="Z1968" s="6"/>
      <c r="AA1968" s="6"/>
      <c r="AB1968" s="6"/>
      <c r="AC1968" s="6"/>
      <c r="AD1968" s="6"/>
      <c r="AE1968" s="6"/>
      <c r="AF1968" s="6"/>
      <c r="AG1968" s="6"/>
    </row>
    <row r="1969" ht="14.25" customHeight="1">
      <c r="A1969" s="6"/>
      <c r="B1969" s="6"/>
      <c r="C1969" s="6">
        <v>1962.0</v>
      </c>
      <c r="D1969" s="6"/>
      <c r="E1969" s="6">
        <v>7789075.707597439</v>
      </c>
      <c r="F1969" s="6">
        <v>469.3677364005247</v>
      </c>
      <c r="G1969" s="6">
        <v>5.3389177043122364</v>
      </c>
      <c r="H1969" s="6">
        <v>7640175.606577495</v>
      </c>
      <c r="I1969" s="6">
        <v>465.60029996171977</v>
      </c>
      <c r="J1969" s="6">
        <v>3.4437087090277454</v>
      </c>
      <c r="K1969" s="6"/>
      <c r="L1969" s="6"/>
      <c r="M1969" s="6"/>
      <c r="N1969" s="6">
        <f t="shared" ref="N1969:P1969" si="1972">IF(LEN($C1969)&gt;0,H1969-E1969,"")</f>
        <v>-148900.101</v>
      </c>
      <c r="O1969" s="6">
        <f t="shared" si="1972"/>
        <v>-3.767436439</v>
      </c>
      <c r="P1969" s="6">
        <f t="shared" si="1972"/>
        <v>-1.895208995</v>
      </c>
      <c r="Q1969" s="6"/>
      <c r="R1969" s="6"/>
      <c r="S1969" s="6"/>
      <c r="T1969" s="6"/>
      <c r="U1969" s="6"/>
      <c r="V1969" s="6"/>
      <c r="W1969" s="6"/>
      <c r="X1969" s="6"/>
      <c r="Y1969" s="6"/>
      <c r="Z1969" s="6"/>
      <c r="AA1969" s="6"/>
      <c r="AB1969" s="6"/>
      <c r="AC1969" s="6"/>
      <c r="AD1969" s="6"/>
      <c r="AE1969" s="6"/>
      <c r="AF1969" s="6"/>
      <c r="AG1969" s="6"/>
    </row>
    <row r="1970" ht="14.25" customHeight="1">
      <c r="A1970" s="6"/>
      <c r="B1970" s="6"/>
      <c r="C1970" s="6">
        <v>1963.0</v>
      </c>
      <c r="D1970" s="6"/>
      <c r="E1970" s="6">
        <v>6629617.895472195</v>
      </c>
      <c r="F1970" s="6">
        <v>461.22842512917714</v>
      </c>
      <c r="G1970" s="6">
        <v>5.135807522663754</v>
      </c>
      <c r="H1970" s="6">
        <v>6534036.970226861</v>
      </c>
      <c r="I1970" s="6">
        <v>457.03133053058593</v>
      </c>
      <c r="J1970" s="6">
        <v>3.7376850501364336</v>
      </c>
      <c r="K1970" s="6"/>
      <c r="L1970" s="6"/>
      <c r="M1970" s="6"/>
      <c r="N1970" s="6">
        <f t="shared" ref="N1970:P1970" si="1973">IF(LEN($C1970)&gt;0,H1970-E1970,"")</f>
        <v>-95580.92525</v>
      </c>
      <c r="O1970" s="6">
        <f t="shared" si="1973"/>
        <v>-4.197094599</v>
      </c>
      <c r="P1970" s="6">
        <f t="shared" si="1973"/>
        <v>-1.398122473</v>
      </c>
      <c r="Q1970" s="6"/>
      <c r="R1970" s="6"/>
      <c r="S1970" s="6"/>
      <c r="T1970" s="6"/>
      <c r="U1970" s="6"/>
      <c r="V1970" s="6"/>
      <c r="W1970" s="6"/>
      <c r="X1970" s="6"/>
      <c r="Y1970" s="6"/>
      <c r="Z1970" s="6"/>
      <c r="AA1970" s="6"/>
      <c r="AB1970" s="6"/>
      <c r="AC1970" s="6"/>
      <c r="AD1970" s="6"/>
      <c r="AE1970" s="6"/>
      <c r="AF1970" s="6"/>
      <c r="AG1970" s="6"/>
    </row>
    <row r="1971" ht="14.25" customHeight="1">
      <c r="A1971" s="6"/>
      <c r="B1971" s="6"/>
      <c r="C1971" s="6">
        <v>1964.0</v>
      </c>
      <c r="D1971" s="6"/>
      <c r="E1971" s="6">
        <v>6183006.607104284</v>
      </c>
      <c r="F1971" s="6">
        <v>470.2434665645326</v>
      </c>
      <c r="G1971" s="6">
        <v>4.986876441116602</v>
      </c>
      <c r="H1971" s="6">
        <v>6102784.207573867</v>
      </c>
      <c r="I1971" s="6">
        <v>467.2896932029632</v>
      </c>
      <c r="J1971" s="6">
        <v>4.003254781991094</v>
      </c>
      <c r="K1971" s="6"/>
      <c r="L1971" s="6"/>
      <c r="M1971" s="6"/>
      <c r="N1971" s="6">
        <f t="shared" ref="N1971:P1971" si="1974">IF(LEN($C1971)&gt;0,H1971-E1971,"")</f>
        <v>-80222.39953</v>
      </c>
      <c r="O1971" s="6">
        <f t="shared" si="1974"/>
        <v>-2.953773362</v>
      </c>
      <c r="P1971" s="6">
        <f t="shared" si="1974"/>
        <v>-0.9836216591</v>
      </c>
      <c r="Q1971" s="6"/>
      <c r="R1971" s="6"/>
      <c r="S1971" s="6"/>
      <c r="T1971" s="6"/>
      <c r="U1971" s="6"/>
      <c r="V1971" s="6"/>
      <c r="W1971" s="6"/>
      <c r="X1971" s="6"/>
      <c r="Y1971" s="6"/>
      <c r="Z1971" s="6"/>
      <c r="AA1971" s="6"/>
      <c r="AB1971" s="6"/>
      <c r="AC1971" s="6"/>
      <c r="AD1971" s="6"/>
      <c r="AE1971" s="6"/>
      <c r="AF1971" s="6"/>
      <c r="AG1971" s="6"/>
    </row>
    <row r="1972" ht="14.25" customHeight="1">
      <c r="A1972" s="6"/>
      <c r="B1972" s="6"/>
      <c r="C1972" s="6">
        <v>1965.0</v>
      </c>
      <c r="D1972" s="6"/>
      <c r="E1972" s="6">
        <v>6780922.554602647</v>
      </c>
      <c r="F1972" s="6">
        <v>470.0807081086021</v>
      </c>
      <c r="G1972" s="6">
        <v>5.059419445440453</v>
      </c>
      <c r="H1972" s="6">
        <v>6681704.465207613</v>
      </c>
      <c r="I1972" s="6">
        <v>466.2417841796086</v>
      </c>
      <c r="J1972" s="6">
        <v>3.3726783254455883</v>
      </c>
      <c r="K1972" s="6"/>
      <c r="L1972" s="6"/>
      <c r="M1972" s="6"/>
      <c r="N1972" s="6">
        <f t="shared" ref="N1972:P1972" si="1975">IF(LEN($C1972)&gt;0,H1972-E1972,"")</f>
        <v>-99218.0894</v>
      </c>
      <c r="O1972" s="6">
        <f t="shared" si="1975"/>
        <v>-3.838923929</v>
      </c>
      <c r="P1972" s="6">
        <f t="shared" si="1975"/>
        <v>-1.68674112</v>
      </c>
      <c r="Q1972" s="6"/>
      <c r="R1972" s="6"/>
      <c r="S1972" s="6"/>
      <c r="T1972" s="6"/>
      <c r="U1972" s="6"/>
      <c r="V1972" s="6"/>
      <c r="W1972" s="6"/>
      <c r="X1972" s="6"/>
      <c r="Y1972" s="6"/>
      <c r="Z1972" s="6"/>
      <c r="AA1972" s="6"/>
      <c r="AB1972" s="6"/>
      <c r="AC1972" s="6"/>
      <c r="AD1972" s="6"/>
      <c r="AE1972" s="6"/>
      <c r="AF1972" s="6"/>
      <c r="AG1972" s="6"/>
    </row>
    <row r="1973" ht="14.25" customHeight="1">
      <c r="A1973" s="6"/>
      <c r="B1973" s="6"/>
      <c r="C1973" s="6">
        <v>1966.0</v>
      </c>
      <c r="D1973" s="6"/>
      <c r="E1973" s="6">
        <v>6699887.777918701</v>
      </c>
      <c r="F1973" s="6">
        <v>437.23984787300515</v>
      </c>
      <c r="G1973" s="6">
        <v>5.1697784331739065</v>
      </c>
      <c r="H1973" s="6">
        <v>6657082.979492804</v>
      </c>
      <c r="I1973" s="6">
        <v>435.3074741178119</v>
      </c>
      <c r="J1973" s="6">
        <v>4.695281402921376</v>
      </c>
      <c r="K1973" s="6"/>
      <c r="L1973" s="6"/>
      <c r="M1973" s="6"/>
      <c r="N1973" s="6">
        <f t="shared" ref="N1973:P1973" si="1976">IF(LEN($C1973)&gt;0,H1973-E1973,"")</f>
        <v>-42804.79843</v>
      </c>
      <c r="O1973" s="6">
        <f t="shared" si="1976"/>
        <v>-1.932373755</v>
      </c>
      <c r="P1973" s="6">
        <f t="shared" si="1976"/>
        <v>-0.4744970303</v>
      </c>
      <c r="Q1973" s="6"/>
      <c r="R1973" s="6"/>
      <c r="S1973" s="6"/>
      <c r="T1973" s="6"/>
      <c r="U1973" s="6"/>
      <c r="V1973" s="6"/>
      <c r="W1973" s="6"/>
      <c r="X1973" s="6"/>
      <c r="Y1973" s="6"/>
      <c r="Z1973" s="6"/>
      <c r="AA1973" s="6"/>
      <c r="AB1973" s="6"/>
      <c r="AC1973" s="6"/>
      <c r="AD1973" s="6"/>
      <c r="AE1973" s="6"/>
      <c r="AF1973" s="6"/>
      <c r="AG1973" s="6"/>
    </row>
    <row r="1974" ht="14.25" customHeight="1">
      <c r="A1974" s="6"/>
      <c r="B1974" s="6"/>
      <c r="C1974" s="6">
        <v>1967.0</v>
      </c>
      <c r="D1974" s="6"/>
      <c r="E1974" s="6">
        <v>9499111.109020384</v>
      </c>
      <c r="F1974" s="6">
        <v>465.5946078120874</v>
      </c>
      <c r="G1974" s="6">
        <v>4.126700430138932</v>
      </c>
      <c r="H1974" s="6">
        <v>9315808.962746045</v>
      </c>
      <c r="I1974" s="6">
        <v>456.5752707734913</v>
      </c>
      <c r="J1974" s="6">
        <v>3.0129898386002885</v>
      </c>
      <c r="K1974" s="6"/>
      <c r="L1974" s="6"/>
      <c r="M1974" s="6"/>
      <c r="N1974" s="6">
        <f t="shared" ref="N1974:P1974" si="1977">IF(LEN($C1974)&gt;0,H1974-E1974,"")</f>
        <v>-183302.1463</v>
      </c>
      <c r="O1974" s="6">
        <f t="shared" si="1977"/>
        <v>-9.019337039</v>
      </c>
      <c r="P1974" s="6">
        <f t="shared" si="1977"/>
        <v>-1.113710592</v>
      </c>
      <c r="Q1974" s="6"/>
      <c r="R1974" s="6"/>
      <c r="S1974" s="6"/>
      <c r="T1974" s="6"/>
      <c r="U1974" s="6"/>
      <c r="V1974" s="6"/>
      <c r="W1974" s="6"/>
      <c r="X1974" s="6"/>
      <c r="Y1974" s="6"/>
      <c r="Z1974" s="6"/>
      <c r="AA1974" s="6"/>
      <c r="AB1974" s="6"/>
      <c r="AC1974" s="6"/>
      <c r="AD1974" s="6"/>
      <c r="AE1974" s="6"/>
      <c r="AF1974" s="6"/>
      <c r="AG1974" s="6"/>
    </row>
    <row r="1975" ht="14.25" customHeight="1">
      <c r="A1975" s="6"/>
      <c r="B1975" s="6"/>
      <c r="C1975" s="6">
        <v>1968.0</v>
      </c>
      <c r="D1975" s="6"/>
      <c r="E1975" s="6">
        <v>8372634.34893666</v>
      </c>
      <c r="F1975" s="6">
        <v>464.5787461078127</v>
      </c>
      <c r="G1975" s="6">
        <v>4.719541209517117</v>
      </c>
      <c r="H1975" s="6">
        <v>8311644.200073812</v>
      </c>
      <c r="I1975" s="6">
        <v>462.3854444134319</v>
      </c>
      <c r="J1975" s="6">
        <v>3.9839396930779927</v>
      </c>
      <c r="K1975" s="6"/>
      <c r="L1975" s="6"/>
      <c r="M1975" s="6"/>
      <c r="N1975" s="6">
        <f t="shared" ref="N1975:P1975" si="1978">IF(LEN($C1975)&gt;0,H1975-E1975,"")</f>
        <v>-60990.14886</v>
      </c>
      <c r="O1975" s="6">
        <f t="shared" si="1978"/>
        <v>-2.193301694</v>
      </c>
      <c r="P1975" s="6">
        <f t="shared" si="1978"/>
        <v>-0.7356015164</v>
      </c>
      <c r="Q1975" s="6"/>
      <c r="R1975" s="6"/>
      <c r="S1975" s="6"/>
      <c r="T1975" s="6"/>
      <c r="U1975" s="6"/>
      <c r="V1975" s="6"/>
      <c r="W1975" s="6"/>
      <c r="X1975" s="6"/>
      <c r="Y1975" s="6"/>
      <c r="Z1975" s="6"/>
      <c r="AA1975" s="6"/>
      <c r="AB1975" s="6"/>
      <c r="AC1975" s="6"/>
      <c r="AD1975" s="6"/>
      <c r="AE1975" s="6"/>
      <c r="AF1975" s="6"/>
      <c r="AG1975" s="6"/>
    </row>
    <row r="1976" ht="14.25" customHeight="1">
      <c r="A1976" s="6"/>
      <c r="B1976" s="6"/>
      <c r="C1976" s="6">
        <v>1969.0</v>
      </c>
      <c r="D1976" s="6"/>
      <c r="E1976" s="6">
        <v>5583722.30614025</v>
      </c>
      <c r="F1976" s="6">
        <v>484.18267383838594</v>
      </c>
      <c r="G1976" s="6">
        <v>4.159775241019971</v>
      </c>
      <c r="H1976" s="6">
        <v>5486765.353989746</v>
      </c>
      <c r="I1976" s="6">
        <v>479.7653016631502</v>
      </c>
      <c r="J1976" s="6">
        <v>3.109826020747681</v>
      </c>
      <c r="K1976" s="6"/>
      <c r="L1976" s="6"/>
      <c r="M1976" s="6"/>
      <c r="N1976" s="6">
        <f t="shared" ref="N1976:P1976" si="1979">IF(LEN($C1976)&gt;0,H1976-E1976,"")</f>
        <v>-96956.95215</v>
      </c>
      <c r="O1976" s="6">
        <f t="shared" si="1979"/>
        <v>-4.417372175</v>
      </c>
      <c r="P1976" s="6">
        <f t="shared" si="1979"/>
        <v>-1.04994922</v>
      </c>
      <c r="Q1976" s="6"/>
      <c r="R1976" s="6"/>
      <c r="S1976" s="6"/>
      <c r="T1976" s="6"/>
      <c r="U1976" s="6"/>
      <c r="V1976" s="6"/>
      <c r="W1976" s="6"/>
      <c r="X1976" s="6"/>
      <c r="Y1976" s="6"/>
      <c r="Z1976" s="6"/>
      <c r="AA1976" s="6"/>
      <c r="AB1976" s="6"/>
      <c r="AC1976" s="6"/>
      <c r="AD1976" s="6"/>
      <c r="AE1976" s="6"/>
      <c r="AF1976" s="6"/>
      <c r="AG1976" s="6"/>
    </row>
    <row r="1977" ht="14.25" customHeight="1">
      <c r="A1977" s="6"/>
      <c r="B1977" s="6"/>
      <c r="C1977" s="6">
        <v>1970.0</v>
      </c>
      <c r="D1977" s="6"/>
      <c r="E1977" s="6">
        <v>7380676.07251442</v>
      </c>
      <c r="F1977" s="6">
        <v>424.84500928054956</v>
      </c>
      <c r="G1977" s="6">
        <v>4.439170545011307</v>
      </c>
      <c r="H1977" s="6">
        <v>7314353.309706201</v>
      </c>
      <c r="I1977" s="6">
        <v>422.6003151315781</v>
      </c>
      <c r="J1977" s="6">
        <v>3.3234551255016407</v>
      </c>
      <c r="K1977" s="6"/>
      <c r="L1977" s="6"/>
      <c r="M1977" s="6"/>
      <c r="N1977" s="6">
        <f t="shared" ref="N1977:P1977" si="1980">IF(LEN($C1977)&gt;0,H1977-E1977,"")</f>
        <v>-66322.76281</v>
      </c>
      <c r="O1977" s="6">
        <f t="shared" si="1980"/>
        <v>-2.244694149</v>
      </c>
      <c r="P1977" s="6">
        <f t="shared" si="1980"/>
        <v>-1.11571542</v>
      </c>
      <c r="Q1977" s="6"/>
      <c r="R1977" s="6"/>
      <c r="S1977" s="6"/>
      <c r="T1977" s="6"/>
      <c r="U1977" s="6"/>
      <c r="V1977" s="6"/>
      <c r="W1977" s="6"/>
      <c r="X1977" s="6"/>
      <c r="Y1977" s="6"/>
      <c r="Z1977" s="6"/>
      <c r="AA1977" s="6"/>
      <c r="AB1977" s="6"/>
      <c r="AC1977" s="6"/>
      <c r="AD1977" s="6"/>
      <c r="AE1977" s="6"/>
      <c r="AF1977" s="6"/>
      <c r="AG1977" s="6"/>
    </row>
    <row r="1978" ht="14.25" customHeight="1">
      <c r="A1978" s="6"/>
      <c r="B1978" s="6"/>
      <c r="C1978" s="6">
        <v>1971.0</v>
      </c>
      <c r="D1978" s="6"/>
      <c r="E1978" s="6">
        <v>9880361.54777691</v>
      </c>
      <c r="F1978" s="6">
        <v>483.63305811055676</v>
      </c>
      <c r="G1978" s="6">
        <v>4.972307488508136</v>
      </c>
      <c r="H1978" s="6">
        <v>9759265.806481045</v>
      </c>
      <c r="I1978" s="6">
        <v>478.755015582408</v>
      </c>
      <c r="J1978" s="6">
        <v>4.177202843985118</v>
      </c>
      <c r="K1978" s="6"/>
      <c r="L1978" s="6"/>
      <c r="M1978" s="6"/>
      <c r="N1978" s="6">
        <f t="shared" ref="N1978:P1978" si="1981">IF(LEN($C1978)&gt;0,H1978-E1978,"")</f>
        <v>-121095.7413</v>
      </c>
      <c r="O1978" s="6">
        <f t="shared" si="1981"/>
        <v>-4.878042528</v>
      </c>
      <c r="P1978" s="6">
        <f t="shared" si="1981"/>
        <v>-0.7951046445</v>
      </c>
      <c r="Q1978" s="6"/>
      <c r="R1978" s="6"/>
      <c r="S1978" s="6"/>
      <c r="T1978" s="6"/>
      <c r="U1978" s="6"/>
      <c r="V1978" s="6"/>
      <c r="W1978" s="6"/>
      <c r="X1978" s="6"/>
      <c r="Y1978" s="6"/>
      <c r="Z1978" s="6"/>
      <c r="AA1978" s="6"/>
      <c r="AB1978" s="6"/>
      <c r="AC1978" s="6"/>
      <c r="AD1978" s="6"/>
      <c r="AE1978" s="6"/>
      <c r="AF1978" s="6"/>
      <c r="AG1978" s="6"/>
    </row>
    <row r="1979" ht="14.25" customHeight="1">
      <c r="A1979" s="6"/>
      <c r="B1979" s="6"/>
      <c r="C1979" s="6">
        <v>1972.0</v>
      </c>
      <c r="D1979" s="6"/>
      <c r="E1979" s="6">
        <v>7087241.993076788</v>
      </c>
      <c r="F1979" s="6">
        <v>444.752009050027</v>
      </c>
      <c r="G1979" s="6">
        <v>5.755276672347497</v>
      </c>
      <c r="H1979" s="6">
        <v>6982324.029631138</v>
      </c>
      <c r="I1979" s="6">
        <v>439.13008729974143</v>
      </c>
      <c r="J1979" s="6">
        <v>4.506192202002717</v>
      </c>
      <c r="K1979" s="6"/>
      <c r="L1979" s="6"/>
      <c r="M1979" s="6"/>
      <c r="N1979" s="6">
        <f t="shared" ref="N1979:P1979" si="1982">IF(LEN($C1979)&gt;0,H1979-E1979,"")</f>
        <v>-104917.9634</v>
      </c>
      <c r="O1979" s="6">
        <f t="shared" si="1982"/>
        <v>-5.62192175</v>
      </c>
      <c r="P1979" s="6">
        <f t="shared" si="1982"/>
        <v>-1.24908447</v>
      </c>
      <c r="Q1979" s="6"/>
      <c r="R1979" s="6"/>
      <c r="S1979" s="6"/>
      <c r="T1979" s="6"/>
      <c r="U1979" s="6"/>
      <c r="V1979" s="6"/>
      <c r="W1979" s="6"/>
      <c r="X1979" s="6"/>
      <c r="Y1979" s="6"/>
      <c r="Z1979" s="6"/>
      <c r="AA1979" s="6"/>
      <c r="AB1979" s="6"/>
      <c r="AC1979" s="6"/>
      <c r="AD1979" s="6"/>
      <c r="AE1979" s="6"/>
      <c r="AF1979" s="6"/>
      <c r="AG1979" s="6"/>
    </row>
    <row r="1980" ht="14.25" customHeight="1">
      <c r="A1980" s="6"/>
      <c r="B1980" s="6"/>
      <c r="C1980" s="6">
        <v>1973.0</v>
      </c>
      <c r="D1980" s="6"/>
      <c r="E1980" s="6">
        <v>9181848.711872237</v>
      </c>
      <c r="F1980" s="6">
        <v>496.16970847906003</v>
      </c>
      <c r="G1980" s="6">
        <v>4.4658877720883385</v>
      </c>
      <c r="H1980" s="6">
        <v>9056136.409647591</v>
      </c>
      <c r="I1980" s="6">
        <v>489.89387066423615</v>
      </c>
      <c r="J1980" s="6">
        <v>3.5973746149555015</v>
      </c>
      <c r="K1980" s="6"/>
      <c r="L1980" s="6"/>
      <c r="M1980" s="6"/>
      <c r="N1980" s="6">
        <f t="shared" ref="N1980:P1980" si="1983">IF(LEN($C1980)&gt;0,H1980-E1980,"")</f>
        <v>-125712.3022</v>
      </c>
      <c r="O1980" s="6">
        <f t="shared" si="1983"/>
        <v>-6.275837815</v>
      </c>
      <c r="P1980" s="6">
        <f t="shared" si="1983"/>
        <v>-0.8685131571</v>
      </c>
      <c r="Q1980" s="6"/>
      <c r="R1980" s="6"/>
      <c r="S1980" s="6"/>
      <c r="T1980" s="6"/>
      <c r="U1980" s="6"/>
      <c r="V1980" s="6"/>
      <c r="W1980" s="6"/>
      <c r="X1980" s="6"/>
      <c r="Y1980" s="6"/>
      <c r="Z1980" s="6"/>
      <c r="AA1980" s="6"/>
      <c r="AB1980" s="6"/>
      <c r="AC1980" s="6"/>
      <c r="AD1980" s="6"/>
      <c r="AE1980" s="6"/>
      <c r="AF1980" s="6"/>
      <c r="AG1980" s="6"/>
    </row>
    <row r="1981" ht="14.25" customHeight="1">
      <c r="A1981" s="6"/>
      <c r="B1981" s="6"/>
      <c r="C1981" s="6">
        <v>1974.0</v>
      </c>
      <c r="D1981" s="6"/>
      <c r="E1981" s="6">
        <v>9157542.130856404</v>
      </c>
      <c r="F1981" s="6">
        <v>491.65500179329007</v>
      </c>
      <c r="G1981" s="6">
        <v>4.5564705935767105</v>
      </c>
      <c r="H1981" s="6">
        <v>9056597.399328131</v>
      </c>
      <c r="I1981" s="6">
        <v>487.9929132290256</v>
      </c>
      <c r="J1981" s="6">
        <v>3.8103021770291887</v>
      </c>
      <c r="K1981" s="6"/>
      <c r="L1981" s="6"/>
      <c r="M1981" s="6"/>
      <c r="N1981" s="6">
        <f t="shared" ref="N1981:P1981" si="1984">IF(LEN($C1981)&gt;0,H1981-E1981,"")</f>
        <v>-100944.7315</v>
      </c>
      <c r="O1981" s="6">
        <f t="shared" si="1984"/>
        <v>-3.662088564</v>
      </c>
      <c r="P1981" s="6">
        <f t="shared" si="1984"/>
        <v>-0.7461684165</v>
      </c>
      <c r="Q1981" s="6"/>
      <c r="R1981" s="6"/>
      <c r="S1981" s="6"/>
      <c r="T1981" s="6"/>
      <c r="U1981" s="6"/>
      <c r="V1981" s="6"/>
      <c r="W1981" s="6"/>
      <c r="X1981" s="6"/>
      <c r="Y1981" s="6"/>
      <c r="Z1981" s="6"/>
      <c r="AA1981" s="6"/>
      <c r="AB1981" s="6"/>
      <c r="AC1981" s="6"/>
      <c r="AD1981" s="6"/>
      <c r="AE1981" s="6"/>
      <c r="AF1981" s="6"/>
      <c r="AG1981" s="6"/>
    </row>
    <row r="1982" ht="14.25" customHeight="1">
      <c r="A1982" s="6"/>
      <c r="B1982" s="6"/>
      <c r="C1982" s="6">
        <v>1975.0</v>
      </c>
      <c r="D1982" s="6"/>
      <c r="E1982" s="6">
        <v>7878328.426470917</v>
      </c>
      <c r="F1982" s="6">
        <v>477.26902758018224</v>
      </c>
      <c r="G1982" s="6">
        <v>4.6157454481495535</v>
      </c>
      <c r="H1982" s="6">
        <v>7804058.270809516</v>
      </c>
      <c r="I1982" s="6">
        <v>474.62321511174974</v>
      </c>
      <c r="J1982" s="6">
        <v>3.612538681695294</v>
      </c>
      <c r="K1982" s="6"/>
      <c r="L1982" s="6"/>
      <c r="M1982" s="6"/>
      <c r="N1982" s="6">
        <f t="shared" ref="N1982:P1982" si="1985">IF(LEN($C1982)&gt;0,H1982-E1982,"")</f>
        <v>-74270.15566</v>
      </c>
      <c r="O1982" s="6">
        <f t="shared" si="1985"/>
        <v>-2.645812468</v>
      </c>
      <c r="P1982" s="6">
        <f t="shared" si="1985"/>
        <v>-1.003206766</v>
      </c>
      <c r="Q1982" s="6"/>
      <c r="R1982" s="6"/>
      <c r="S1982" s="6"/>
      <c r="T1982" s="6"/>
      <c r="U1982" s="6"/>
      <c r="V1982" s="6"/>
      <c r="W1982" s="6"/>
      <c r="X1982" s="6"/>
      <c r="Y1982" s="6"/>
      <c r="Z1982" s="6"/>
      <c r="AA1982" s="6"/>
      <c r="AB1982" s="6"/>
      <c r="AC1982" s="6"/>
      <c r="AD1982" s="6"/>
      <c r="AE1982" s="6"/>
      <c r="AF1982" s="6"/>
      <c r="AG1982" s="6"/>
    </row>
    <row r="1983" ht="14.25" customHeight="1">
      <c r="A1983" s="6"/>
      <c r="B1983" s="6"/>
      <c r="C1983" s="6">
        <v>1976.0</v>
      </c>
      <c r="D1983" s="6"/>
      <c r="E1983" s="6">
        <v>5835853.723061994</v>
      </c>
      <c r="F1983" s="6">
        <v>495.8621886626993</v>
      </c>
      <c r="G1983" s="6">
        <v>5.348437646105667</v>
      </c>
      <c r="H1983" s="6">
        <v>5724251.886410231</v>
      </c>
      <c r="I1983" s="6">
        <v>490.7913852330064</v>
      </c>
      <c r="J1983" s="6">
        <v>4.0170447542799215</v>
      </c>
      <c r="K1983" s="6"/>
      <c r="L1983" s="6"/>
      <c r="M1983" s="6"/>
      <c r="N1983" s="6">
        <f t="shared" ref="N1983:P1983" si="1986">IF(LEN($C1983)&gt;0,H1983-E1983,"")</f>
        <v>-111601.8367</v>
      </c>
      <c r="O1983" s="6">
        <f t="shared" si="1986"/>
        <v>-5.07080343</v>
      </c>
      <c r="P1983" s="6">
        <f t="shared" si="1986"/>
        <v>-1.331392892</v>
      </c>
      <c r="Q1983" s="6"/>
      <c r="R1983" s="6"/>
      <c r="S1983" s="6"/>
      <c r="T1983" s="6"/>
      <c r="U1983" s="6"/>
      <c r="V1983" s="6"/>
      <c r="W1983" s="6"/>
      <c r="X1983" s="6"/>
      <c r="Y1983" s="6"/>
      <c r="Z1983" s="6"/>
      <c r="AA1983" s="6"/>
      <c r="AB1983" s="6"/>
      <c r="AC1983" s="6"/>
      <c r="AD1983" s="6"/>
      <c r="AE1983" s="6"/>
      <c r="AF1983" s="6"/>
      <c r="AG1983" s="6"/>
    </row>
    <row r="1984" ht="14.25" customHeight="1">
      <c r="A1984" s="6"/>
      <c r="B1984" s="6"/>
      <c r="C1984" s="6">
        <v>1977.0</v>
      </c>
      <c r="D1984" s="6"/>
      <c r="E1984" s="6">
        <v>6863551.788469936</v>
      </c>
      <c r="F1984" s="6">
        <v>462.4057214817663</v>
      </c>
      <c r="G1984" s="6">
        <v>4.241037871646967</v>
      </c>
      <c r="H1984" s="6">
        <v>6818986.705212843</v>
      </c>
      <c r="I1984" s="6">
        <v>460.5204614709553</v>
      </c>
      <c r="J1984" s="6">
        <v>3.5110987382017984</v>
      </c>
      <c r="K1984" s="6"/>
      <c r="L1984" s="6"/>
      <c r="M1984" s="6"/>
      <c r="N1984" s="6">
        <f t="shared" ref="N1984:P1984" si="1987">IF(LEN($C1984)&gt;0,H1984-E1984,"")</f>
        <v>-44565.08326</v>
      </c>
      <c r="O1984" s="6">
        <f t="shared" si="1987"/>
        <v>-1.885260011</v>
      </c>
      <c r="P1984" s="6">
        <f t="shared" si="1987"/>
        <v>-0.7299391334</v>
      </c>
      <c r="Q1984" s="6"/>
      <c r="R1984" s="6"/>
      <c r="S1984" s="6"/>
      <c r="T1984" s="6"/>
      <c r="U1984" s="6"/>
      <c r="V1984" s="6"/>
      <c r="W1984" s="6"/>
      <c r="X1984" s="6"/>
      <c r="Y1984" s="6"/>
      <c r="Z1984" s="6"/>
      <c r="AA1984" s="6"/>
      <c r="AB1984" s="6"/>
      <c r="AC1984" s="6"/>
      <c r="AD1984" s="6"/>
      <c r="AE1984" s="6"/>
      <c r="AF1984" s="6"/>
      <c r="AG1984" s="6"/>
    </row>
    <row r="1985" ht="14.25" customHeight="1">
      <c r="A1985" s="6"/>
      <c r="B1985" s="6"/>
      <c r="C1985" s="6">
        <v>1978.0</v>
      </c>
      <c r="D1985" s="6"/>
      <c r="E1985" s="6">
        <v>7856192.202284348</v>
      </c>
      <c r="F1985" s="6">
        <v>445.5356931870647</v>
      </c>
      <c r="G1985" s="6">
        <v>4.511550098455229</v>
      </c>
      <c r="H1985" s="6">
        <v>7757979.798254784</v>
      </c>
      <c r="I1985" s="6">
        <v>441.17154502589403</v>
      </c>
      <c r="J1985" s="6">
        <v>3.410405286740276</v>
      </c>
      <c r="K1985" s="6"/>
      <c r="L1985" s="6"/>
      <c r="M1985" s="6"/>
      <c r="N1985" s="6">
        <f t="shared" ref="N1985:P1985" si="1988">IF(LEN($C1985)&gt;0,H1985-E1985,"")</f>
        <v>-98212.40403</v>
      </c>
      <c r="O1985" s="6">
        <f t="shared" si="1988"/>
        <v>-4.364148161</v>
      </c>
      <c r="P1985" s="6">
        <f t="shared" si="1988"/>
        <v>-1.101144812</v>
      </c>
      <c r="Q1985" s="6"/>
      <c r="R1985" s="6"/>
      <c r="S1985" s="6"/>
      <c r="T1985" s="6"/>
      <c r="U1985" s="6"/>
      <c r="V1985" s="6"/>
      <c r="W1985" s="6"/>
      <c r="X1985" s="6"/>
      <c r="Y1985" s="6"/>
      <c r="Z1985" s="6"/>
      <c r="AA1985" s="6"/>
      <c r="AB1985" s="6"/>
      <c r="AC1985" s="6"/>
      <c r="AD1985" s="6"/>
      <c r="AE1985" s="6"/>
      <c r="AF1985" s="6"/>
      <c r="AG1985" s="6"/>
    </row>
    <row r="1986" ht="14.25" customHeight="1">
      <c r="A1986" s="6"/>
      <c r="B1986" s="6"/>
      <c r="C1986" s="6">
        <v>1979.0</v>
      </c>
      <c r="D1986" s="6"/>
      <c r="E1986" s="6">
        <v>7910556.395739755</v>
      </c>
      <c r="F1986" s="6">
        <v>482.7076156101315</v>
      </c>
      <c r="G1986" s="6">
        <v>5.283926065901883</v>
      </c>
      <c r="H1986" s="6">
        <v>7824155.104811046</v>
      </c>
      <c r="I1986" s="6">
        <v>479.35169446453386</v>
      </c>
      <c r="J1986" s="6">
        <v>4.3040260079536425</v>
      </c>
      <c r="K1986" s="6"/>
      <c r="L1986" s="6"/>
      <c r="M1986" s="6"/>
      <c r="N1986" s="6">
        <f t="shared" ref="N1986:P1986" si="1989">IF(LEN($C1986)&gt;0,H1986-E1986,"")</f>
        <v>-86401.29093</v>
      </c>
      <c r="O1986" s="6">
        <f t="shared" si="1989"/>
        <v>-3.355921146</v>
      </c>
      <c r="P1986" s="6">
        <f t="shared" si="1989"/>
        <v>-0.9799000579</v>
      </c>
      <c r="Q1986" s="6"/>
      <c r="R1986" s="6"/>
      <c r="S1986" s="6"/>
      <c r="T1986" s="6"/>
      <c r="U1986" s="6"/>
      <c r="V1986" s="6"/>
      <c r="W1986" s="6"/>
      <c r="X1986" s="6"/>
      <c r="Y1986" s="6"/>
      <c r="Z1986" s="6"/>
      <c r="AA1986" s="6"/>
      <c r="AB1986" s="6"/>
      <c r="AC1986" s="6"/>
      <c r="AD1986" s="6"/>
      <c r="AE1986" s="6"/>
      <c r="AF1986" s="6"/>
      <c r="AG1986" s="6"/>
    </row>
    <row r="1987" ht="14.25" customHeight="1">
      <c r="A1987" s="6"/>
      <c r="B1987" s="6"/>
      <c r="C1987" s="6">
        <v>1980.0</v>
      </c>
      <c r="D1987" s="6"/>
      <c r="E1987" s="6">
        <v>6366976.014215297</v>
      </c>
      <c r="F1987" s="6">
        <v>490.0526097588285</v>
      </c>
      <c r="G1987" s="6">
        <v>5.096590777926259</v>
      </c>
      <c r="H1987" s="6">
        <v>6327720.798910022</v>
      </c>
      <c r="I1987" s="6">
        <v>487.971649904958</v>
      </c>
      <c r="J1987" s="6">
        <v>4.541175537366365</v>
      </c>
      <c r="K1987" s="6"/>
      <c r="L1987" s="6"/>
      <c r="M1987" s="6"/>
      <c r="N1987" s="6">
        <f t="shared" ref="N1987:P1987" si="1990">IF(LEN($C1987)&gt;0,H1987-E1987,"")</f>
        <v>-39255.21531</v>
      </c>
      <c r="O1987" s="6">
        <f t="shared" si="1990"/>
        <v>-2.080959854</v>
      </c>
      <c r="P1987" s="6">
        <f t="shared" si="1990"/>
        <v>-0.5554152406</v>
      </c>
      <c r="Q1987" s="6"/>
      <c r="R1987" s="6"/>
      <c r="S1987" s="6"/>
      <c r="T1987" s="6"/>
      <c r="U1987" s="6"/>
      <c r="V1987" s="6"/>
      <c r="W1987" s="6"/>
      <c r="X1987" s="6"/>
      <c r="Y1987" s="6"/>
      <c r="Z1987" s="6"/>
      <c r="AA1987" s="6"/>
      <c r="AB1987" s="6"/>
      <c r="AC1987" s="6"/>
      <c r="AD1987" s="6"/>
      <c r="AE1987" s="6"/>
      <c r="AF1987" s="6"/>
      <c r="AG1987" s="6"/>
    </row>
    <row r="1988" ht="14.25" customHeight="1">
      <c r="A1988" s="6"/>
      <c r="B1988" s="6"/>
      <c r="C1988" s="6">
        <v>1981.0</v>
      </c>
      <c r="D1988" s="6"/>
      <c r="E1988" s="6">
        <v>7402322.276291583</v>
      </c>
      <c r="F1988" s="6">
        <v>481.71635599008687</v>
      </c>
      <c r="G1988" s="6">
        <v>3.83036683113709</v>
      </c>
      <c r="H1988" s="6">
        <v>7355002.025808397</v>
      </c>
      <c r="I1988" s="6">
        <v>480.15866564537333</v>
      </c>
      <c r="J1988" s="6">
        <v>3.168729866698545</v>
      </c>
      <c r="K1988" s="6"/>
      <c r="L1988" s="6"/>
      <c r="M1988" s="6"/>
      <c r="N1988" s="6">
        <f t="shared" ref="N1988:P1988" si="1991">IF(LEN($C1988)&gt;0,H1988-E1988,"")</f>
        <v>-47320.25048</v>
      </c>
      <c r="O1988" s="6">
        <f t="shared" si="1991"/>
        <v>-1.557690345</v>
      </c>
      <c r="P1988" s="6">
        <f t="shared" si="1991"/>
        <v>-0.6616369644</v>
      </c>
      <c r="Q1988" s="6"/>
      <c r="R1988" s="6"/>
      <c r="S1988" s="6"/>
      <c r="T1988" s="6"/>
      <c r="U1988" s="6"/>
      <c r="V1988" s="6"/>
      <c r="W1988" s="6"/>
      <c r="X1988" s="6"/>
      <c r="Y1988" s="6"/>
      <c r="Z1988" s="6"/>
      <c r="AA1988" s="6"/>
      <c r="AB1988" s="6"/>
      <c r="AC1988" s="6"/>
      <c r="AD1988" s="6"/>
      <c r="AE1988" s="6"/>
      <c r="AF1988" s="6"/>
      <c r="AG1988" s="6"/>
    </row>
    <row r="1989" ht="14.25" customHeight="1">
      <c r="A1989" s="6"/>
      <c r="B1989" s="6"/>
      <c r="C1989" s="6">
        <v>1982.0</v>
      </c>
      <c r="D1989" s="6"/>
      <c r="E1989" s="6">
        <v>7304732.013589739</v>
      </c>
      <c r="F1989" s="6">
        <v>482.3295976987021</v>
      </c>
      <c r="G1989" s="6">
        <v>6.2669839337166895</v>
      </c>
      <c r="H1989" s="6">
        <v>7169412.785874799</v>
      </c>
      <c r="I1989" s="6">
        <v>478.0094604335112</v>
      </c>
      <c r="J1989" s="6">
        <v>4.3939625124099395</v>
      </c>
      <c r="K1989" s="6"/>
      <c r="L1989" s="6"/>
      <c r="M1989" s="6"/>
      <c r="N1989" s="6">
        <f t="shared" ref="N1989:P1989" si="1992">IF(LEN($C1989)&gt;0,H1989-E1989,"")</f>
        <v>-135319.2277</v>
      </c>
      <c r="O1989" s="6">
        <f t="shared" si="1992"/>
        <v>-4.320137265</v>
      </c>
      <c r="P1989" s="6">
        <f t="shared" si="1992"/>
        <v>-1.873021421</v>
      </c>
      <c r="Q1989" s="6"/>
      <c r="R1989" s="6"/>
      <c r="S1989" s="6"/>
      <c r="T1989" s="6"/>
      <c r="U1989" s="6"/>
      <c r="V1989" s="6"/>
      <c r="W1989" s="6"/>
      <c r="X1989" s="6"/>
      <c r="Y1989" s="6"/>
      <c r="Z1989" s="6"/>
      <c r="AA1989" s="6"/>
      <c r="AB1989" s="6"/>
      <c r="AC1989" s="6"/>
      <c r="AD1989" s="6"/>
      <c r="AE1989" s="6"/>
      <c r="AF1989" s="6"/>
      <c r="AG1989" s="6"/>
    </row>
    <row r="1990" ht="14.25" customHeight="1">
      <c r="A1990" s="6"/>
      <c r="B1990" s="6"/>
      <c r="C1990" s="6">
        <v>1983.0</v>
      </c>
      <c r="D1990" s="6"/>
      <c r="E1990" s="6">
        <v>7770315.042601196</v>
      </c>
      <c r="F1990" s="6">
        <v>487.6697086713058</v>
      </c>
      <c r="G1990" s="6">
        <v>6.452729640587453</v>
      </c>
      <c r="H1990" s="6">
        <v>7693417.419055352</v>
      </c>
      <c r="I1990" s="6">
        <v>484.8827047442441</v>
      </c>
      <c r="J1990" s="6">
        <v>4.874849124579504</v>
      </c>
      <c r="K1990" s="6"/>
      <c r="L1990" s="6"/>
      <c r="M1990" s="6"/>
      <c r="N1990" s="6">
        <f t="shared" ref="N1990:P1990" si="1993">IF(LEN($C1990)&gt;0,H1990-E1990,"")</f>
        <v>-76897.62355</v>
      </c>
      <c r="O1990" s="6">
        <f t="shared" si="1993"/>
        <v>-2.787003927</v>
      </c>
      <c r="P1990" s="6">
        <f t="shared" si="1993"/>
        <v>-1.577880516</v>
      </c>
      <c r="Q1990" s="6"/>
      <c r="R1990" s="6"/>
      <c r="S1990" s="6"/>
      <c r="T1990" s="6"/>
      <c r="U1990" s="6"/>
      <c r="V1990" s="6"/>
      <c r="W1990" s="6"/>
      <c r="X1990" s="6"/>
      <c r="Y1990" s="6"/>
      <c r="Z1990" s="6"/>
      <c r="AA1990" s="6"/>
      <c r="AB1990" s="6"/>
      <c r="AC1990" s="6"/>
      <c r="AD1990" s="6"/>
      <c r="AE1990" s="6"/>
      <c r="AF1990" s="6"/>
      <c r="AG1990" s="6"/>
    </row>
    <row r="1991" ht="14.25" customHeight="1">
      <c r="A1991" s="6"/>
      <c r="B1991" s="6"/>
      <c r="C1991" s="6">
        <v>1984.0</v>
      </c>
      <c r="D1991" s="6"/>
      <c r="E1991" s="6">
        <v>8832208.368327506</v>
      </c>
      <c r="F1991" s="6">
        <v>488.2063185584964</v>
      </c>
      <c r="G1991" s="6">
        <v>4.927111066203635</v>
      </c>
      <c r="H1991" s="6">
        <v>8742256.81121953</v>
      </c>
      <c r="I1991" s="6">
        <v>485.028658579633</v>
      </c>
      <c r="J1991" s="6">
        <v>4.031924770543512</v>
      </c>
      <c r="K1991" s="6"/>
      <c r="L1991" s="6"/>
      <c r="M1991" s="6"/>
      <c r="N1991" s="6">
        <f t="shared" ref="N1991:P1991" si="1994">IF(LEN($C1991)&gt;0,H1991-E1991,"")</f>
        <v>-89951.55711</v>
      </c>
      <c r="O1991" s="6">
        <f t="shared" si="1994"/>
        <v>-3.177659979</v>
      </c>
      <c r="P1991" s="6">
        <f t="shared" si="1994"/>
        <v>-0.8951862957</v>
      </c>
      <c r="Q1991" s="6"/>
      <c r="R1991" s="6"/>
      <c r="S1991" s="6"/>
      <c r="T1991" s="6"/>
      <c r="U1991" s="6"/>
      <c r="V1991" s="6"/>
      <c r="W1991" s="6"/>
      <c r="X1991" s="6"/>
      <c r="Y1991" s="6"/>
      <c r="Z1991" s="6"/>
      <c r="AA1991" s="6"/>
      <c r="AB1991" s="6"/>
      <c r="AC1991" s="6"/>
      <c r="AD1991" s="6"/>
      <c r="AE1991" s="6"/>
      <c r="AF1991" s="6"/>
      <c r="AG1991" s="6"/>
    </row>
    <row r="1992" ht="14.25" customHeight="1">
      <c r="A1992" s="6"/>
      <c r="B1992" s="6"/>
      <c r="C1992" s="6">
        <v>1985.0</v>
      </c>
      <c r="D1992" s="6"/>
      <c r="E1992" s="6">
        <v>5891931.9389394885</v>
      </c>
      <c r="F1992" s="6">
        <v>466.89054265746864</v>
      </c>
      <c r="G1992" s="6">
        <v>5.097561787509507</v>
      </c>
      <c r="H1992" s="6">
        <v>5780909.670821749</v>
      </c>
      <c r="I1992" s="6">
        <v>462.1588589052432</v>
      </c>
      <c r="J1992" s="6">
        <v>3.5609644013237096</v>
      </c>
      <c r="K1992" s="6"/>
      <c r="L1992" s="6"/>
      <c r="M1992" s="6"/>
      <c r="N1992" s="6">
        <f t="shared" ref="N1992:P1992" si="1995">IF(LEN($C1992)&gt;0,H1992-E1992,"")</f>
        <v>-111022.2681</v>
      </c>
      <c r="O1992" s="6">
        <f t="shared" si="1995"/>
        <v>-4.731683752</v>
      </c>
      <c r="P1992" s="6">
        <f t="shared" si="1995"/>
        <v>-1.536597386</v>
      </c>
      <c r="Q1992" s="6"/>
      <c r="R1992" s="6"/>
      <c r="S1992" s="6"/>
      <c r="T1992" s="6"/>
      <c r="U1992" s="6"/>
      <c r="V1992" s="6"/>
      <c r="W1992" s="6"/>
      <c r="X1992" s="6"/>
      <c r="Y1992" s="6"/>
      <c r="Z1992" s="6"/>
      <c r="AA1992" s="6"/>
      <c r="AB1992" s="6"/>
      <c r="AC1992" s="6"/>
      <c r="AD1992" s="6"/>
      <c r="AE1992" s="6"/>
      <c r="AF1992" s="6"/>
      <c r="AG1992" s="6"/>
    </row>
    <row r="1993" ht="14.25" customHeight="1">
      <c r="A1993" s="6"/>
      <c r="B1993" s="6"/>
      <c r="C1993" s="6">
        <v>1986.0</v>
      </c>
      <c r="D1993" s="6"/>
      <c r="E1993" s="6">
        <v>7204840.744289109</v>
      </c>
      <c r="F1993" s="6">
        <v>462.38249590550674</v>
      </c>
      <c r="G1993" s="6">
        <v>4.851065885826907</v>
      </c>
      <c r="H1993" s="6">
        <v>7095727.316669908</v>
      </c>
      <c r="I1993" s="6">
        <v>456.8872776432047</v>
      </c>
      <c r="J1993" s="6">
        <v>3.985431305155597</v>
      </c>
      <c r="K1993" s="6"/>
      <c r="L1993" s="6"/>
      <c r="M1993" s="6"/>
      <c r="N1993" s="6">
        <f t="shared" ref="N1993:P1993" si="1996">IF(LEN($C1993)&gt;0,H1993-E1993,"")</f>
        <v>-109113.4276</v>
      </c>
      <c r="O1993" s="6">
        <f t="shared" si="1996"/>
        <v>-5.495218262</v>
      </c>
      <c r="P1993" s="6">
        <f t="shared" si="1996"/>
        <v>-0.8656345807</v>
      </c>
      <c r="Q1993" s="6"/>
      <c r="R1993" s="6"/>
      <c r="S1993" s="6"/>
      <c r="T1993" s="6"/>
      <c r="U1993" s="6"/>
      <c r="V1993" s="6"/>
      <c r="W1993" s="6"/>
      <c r="X1993" s="6"/>
      <c r="Y1993" s="6"/>
      <c r="Z1993" s="6"/>
      <c r="AA1993" s="6"/>
      <c r="AB1993" s="6"/>
      <c r="AC1993" s="6"/>
      <c r="AD1993" s="6"/>
      <c r="AE1993" s="6"/>
      <c r="AF1993" s="6"/>
      <c r="AG1993" s="6"/>
    </row>
    <row r="1994" ht="14.25" customHeight="1">
      <c r="A1994" s="6"/>
      <c r="B1994" s="6"/>
      <c r="C1994" s="6">
        <v>1987.0</v>
      </c>
      <c r="D1994" s="6"/>
      <c r="E1994" s="6">
        <v>7342391.355806971</v>
      </c>
      <c r="F1994" s="6">
        <v>474.09187733193755</v>
      </c>
      <c r="G1994" s="6">
        <v>3.7220870288740757</v>
      </c>
      <c r="H1994" s="6">
        <v>7251643.786954414</v>
      </c>
      <c r="I1994" s="6">
        <v>468.6917176976205</v>
      </c>
      <c r="J1994" s="6">
        <v>2.722305006521288</v>
      </c>
      <c r="K1994" s="6"/>
      <c r="L1994" s="6"/>
      <c r="M1994" s="6"/>
      <c r="N1994" s="6">
        <f t="shared" ref="N1994:P1994" si="1997">IF(LEN($C1994)&gt;0,H1994-E1994,"")</f>
        <v>-90747.56885</v>
      </c>
      <c r="O1994" s="6">
        <f t="shared" si="1997"/>
        <v>-5.400159634</v>
      </c>
      <c r="P1994" s="6">
        <f t="shared" si="1997"/>
        <v>-0.9997820224</v>
      </c>
      <c r="Q1994" s="6"/>
      <c r="R1994" s="6"/>
      <c r="S1994" s="6"/>
      <c r="T1994" s="6"/>
      <c r="U1994" s="6"/>
      <c r="V1994" s="6"/>
      <c r="W1994" s="6"/>
      <c r="X1994" s="6"/>
      <c r="Y1994" s="6"/>
      <c r="Z1994" s="6"/>
      <c r="AA1994" s="6"/>
      <c r="AB1994" s="6"/>
      <c r="AC1994" s="6"/>
      <c r="AD1994" s="6"/>
      <c r="AE1994" s="6"/>
      <c r="AF1994" s="6"/>
      <c r="AG1994" s="6"/>
    </row>
    <row r="1995" ht="14.25" customHeight="1">
      <c r="A1995" s="6"/>
      <c r="B1995" s="6"/>
      <c r="C1995" s="6">
        <v>1988.0</v>
      </c>
      <c r="D1995" s="6"/>
      <c r="E1995" s="6">
        <v>7494503.695904558</v>
      </c>
      <c r="F1995" s="6">
        <v>484.63616006202307</v>
      </c>
      <c r="G1995" s="6">
        <v>5.813260201217435</v>
      </c>
      <c r="H1995" s="6">
        <v>7353470.590022235</v>
      </c>
      <c r="I1995" s="6">
        <v>478.3410514755619</v>
      </c>
      <c r="J1995" s="6">
        <v>4.138388619021242</v>
      </c>
      <c r="K1995" s="6"/>
      <c r="L1995" s="6"/>
      <c r="M1995" s="6"/>
      <c r="N1995" s="6">
        <f t="shared" ref="N1995:P1995" si="1998">IF(LEN($C1995)&gt;0,H1995-E1995,"")</f>
        <v>-141033.1059</v>
      </c>
      <c r="O1995" s="6">
        <f t="shared" si="1998"/>
        <v>-6.295108586</v>
      </c>
      <c r="P1995" s="6">
        <f t="shared" si="1998"/>
        <v>-1.674871582</v>
      </c>
      <c r="Q1995" s="6"/>
      <c r="R1995" s="6"/>
      <c r="S1995" s="6"/>
      <c r="T1995" s="6"/>
      <c r="U1995" s="6"/>
      <c r="V1995" s="6"/>
      <c r="W1995" s="6"/>
      <c r="X1995" s="6"/>
      <c r="Y1995" s="6"/>
      <c r="Z1995" s="6"/>
      <c r="AA1995" s="6"/>
      <c r="AB1995" s="6"/>
      <c r="AC1995" s="6"/>
      <c r="AD1995" s="6"/>
      <c r="AE1995" s="6"/>
      <c r="AF1995" s="6"/>
      <c r="AG1995" s="6"/>
    </row>
    <row r="1996" ht="14.25" customHeight="1">
      <c r="A1996" s="6"/>
      <c r="B1996" s="6"/>
      <c r="C1996" s="6">
        <v>1989.0</v>
      </c>
      <c r="D1996" s="6"/>
      <c r="E1996" s="6">
        <v>6161719.518985706</v>
      </c>
      <c r="F1996" s="6">
        <v>485.0692542016074</v>
      </c>
      <c r="G1996" s="6">
        <v>6.076527705959932</v>
      </c>
      <c r="H1996" s="6">
        <v>6060482.250934005</v>
      </c>
      <c r="I1996" s="6">
        <v>482.03558374608014</v>
      </c>
      <c r="J1996" s="6">
        <v>4.546542039867726</v>
      </c>
      <c r="K1996" s="6"/>
      <c r="L1996" s="6"/>
      <c r="M1996" s="6"/>
      <c r="N1996" s="6">
        <f t="shared" ref="N1996:P1996" si="1999">IF(LEN($C1996)&gt;0,H1996-E1996,"")</f>
        <v>-101237.2681</v>
      </c>
      <c r="O1996" s="6">
        <f t="shared" si="1999"/>
        <v>-3.033670456</v>
      </c>
      <c r="P1996" s="6">
        <f t="shared" si="1999"/>
        <v>-1.529985666</v>
      </c>
      <c r="Q1996" s="6"/>
      <c r="R1996" s="6"/>
      <c r="S1996" s="6"/>
      <c r="T1996" s="6"/>
      <c r="U1996" s="6"/>
      <c r="V1996" s="6"/>
      <c r="W1996" s="6"/>
      <c r="X1996" s="6"/>
      <c r="Y1996" s="6"/>
      <c r="Z1996" s="6"/>
      <c r="AA1996" s="6"/>
      <c r="AB1996" s="6"/>
      <c r="AC1996" s="6"/>
      <c r="AD1996" s="6"/>
      <c r="AE1996" s="6"/>
      <c r="AF1996" s="6"/>
      <c r="AG1996" s="6"/>
    </row>
    <row r="1997" ht="14.25" customHeight="1">
      <c r="A1997" s="6"/>
      <c r="B1997" s="6"/>
      <c r="C1997" s="6">
        <v>1990.0</v>
      </c>
      <c r="D1997" s="6"/>
      <c r="E1997" s="6">
        <v>7035160.272780964</v>
      </c>
      <c r="F1997" s="6">
        <v>489.13435873178395</v>
      </c>
      <c r="G1997" s="6">
        <v>4.4712811065726115</v>
      </c>
      <c r="H1997" s="6">
        <v>6950774.992416862</v>
      </c>
      <c r="I1997" s="6">
        <v>486.79455019653716</v>
      </c>
      <c r="J1997" s="6">
        <v>3.4700446309993684</v>
      </c>
      <c r="K1997" s="6"/>
      <c r="L1997" s="6"/>
      <c r="M1997" s="6"/>
      <c r="N1997" s="6">
        <f t="shared" ref="N1997:P1997" si="2000">IF(LEN($C1997)&gt;0,H1997-E1997,"")</f>
        <v>-84385.28036</v>
      </c>
      <c r="O1997" s="6">
        <f t="shared" si="2000"/>
        <v>-2.339808535</v>
      </c>
      <c r="P1997" s="6">
        <f t="shared" si="2000"/>
        <v>-1.001236476</v>
      </c>
      <c r="Q1997" s="6"/>
      <c r="R1997" s="6"/>
      <c r="S1997" s="6"/>
      <c r="T1997" s="6"/>
      <c r="U1997" s="6"/>
      <c r="V1997" s="6"/>
      <c r="W1997" s="6"/>
      <c r="X1997" s="6"/>
      <c r="Y1997" s="6"/>
      <c r="Z1997" s="6"/>
      <c r="AA1997" s="6"/>
      <c r="AB1997" s="6"/>
      <c r="AC1997" s="6"/>
      <c r="AD1997" s="6"/>
      <c r="AE1997" s="6"/>
      <c r="AF1997" s="6"/>
      <c r="AG1997" s="6"/>
    </row>
    <row r="1998" ht="14.25" customHeight="1">
      <c r="A1998" s="6"/>
      <c r="B1998" s="6"/>
      <c r="C1998" s="6">
        <v>1991.0</v>
      </c>
      <c r="D1998" s="6"/>
      <c r="E1998" s="6">
        <v>6805634.408191867</v>
      </c>
      <c r="F1998" s="6">
        <v>474.147943334989</v>
      </c>
      <c r="G1998" s="6">
        <v>4.956810974206707</v>
      </c>
      <c r="H1998" s="6">
        <v>6713287.891402818</v>
      </c>
      <c r="I1998" s="6">
        <v>471.2404961094374</v>
      </c>
      <c r="J1998" s="6">
        <v>3.395758232896712</v>
      </c>
      <c r="K1998" s="6"/>
      <c r="L1998" s="6"/>
      <c r="M1998" s="6"/>
      <c r="N1998" s="6">
        <f t="shared" ref="N1998:P1998" si="2001">IF(LEN($C1998)&gt;0,H1998-E1998,"")</f>
        <v>-92346.51679</v>
      </c>
      <c r="O1998" s="6">
        <f t="shared" si="2001"/>
        <v>-2.907447226</v>
      </c>
      <c r="P1998" s="6">
        <f t="shared" si="2001"/>
        <v>-1.561052741</v>
      </c>
      <c r="Q1998" s="6"/>
      <c r="R1998" s="6"/>
      <c r="S1998" s="6"/>
      <c r="T1998" s="6"/>
      <c r="U1998" s="6"/>
      <c r="V1998" s="6"/>
      <c r="W1998" s="6"/>
      <c r="X1998" s="6"/>
      <c r="Y1998" s="6"/>
      <c r="Z1998" s="6"/>
      <c r="AA1998" s="6"/>
      <c r="AB1998" s="6"/>
      <c r="AC1998" s="6"/>
      <c r="AD1998" s="6"/>
      <c r="AE1998" s="6"/>
      <c r="AF1998" s="6"/>
      <c r="AG1998" s="6"/>
    </row>
    <row r="1999" ht="14.25" customHeight="1">
      <c r="A1999" s="6"/>
      <c r="B1999" s="6"/>
      <c r="C1999" s="6">
        <v>1992.0</v>
      </c>
      <c r="D1999" s="6"/>
      <c r="E1999" s="6">
        <v>9202424.0649802</v>
      </c>
      <c r="F1999" s="6">
        <v>447.41159268761754</v>
      </c>
      <c r="G1999" s="6">
        <v>5.923637955817694</v>
      </c>
      <c r="H1999" s="6">
        <v>9096933.391909828</v>
      </c>
      <c r="I1999" s="6">
        <v>443.736568074219</v>
      </c>
      <c r="J1999" s="6">
        <v>4.517609301668822</v>
      </c>
      <c r="K1999" s="6"/>
      <c r="L1999" s="6"/>
      <c r="M1999" s="6"/>
      <c r="N1999" s="6">
        <f t="shared" ref="N1999:P1999" si="2002">IF(LEN($C1999)&gt;0,H1999-E1999,"")</f>
        <v>-105490.6731</v>
      </c>
      <c r="O1999" s="6">
        <f t="shared" si="2002"/>
        <v>-3.675024613</v>
      </c>
      <c r="P1999" s="6">
        <f t="shared" si="2002"/>
        <v>-1.406028654</v>
      </c>
      <c r="Q1999" s="6"/>
      <c r="R1999" s="6"/>
      <c r="S1999" s="6"/>
      <c r="T1999" s="6"/>
      <c r="U1999" s="6"/>
      <c r="V1999" s="6"/>
      <c r="W1999" s="6"/>
      <c r="X1999" s="6"/>
      <c r="Y1999" s="6"/>
      <c r="Z1999" s="6"/>
      <c r="AA1999" s="6"/>
      <c r="AB1999" s="6"/>
      <c r="AC1999" s="6"/>
      <c r="AD1999" s="6"/>
      <c r="AE1999" s="6"/>
      <c r="AF1999" s="6"/>
      <c r="AG1999" s="6"/>
    </row>
    <row r="2000" ht="14.25" customHeight="1">
      <c r="A2000" s="6"/>
      <c r="B2000" s="6"/>
      <c r="C2000" s="6">
        <v>1993.0</v>
      </c>
      <c r="D2000" s="6"/>
      <c r="E2000" s="6">
        <v>7204360.931168496</v>
      </c>
      <c r="F2000" s="6">
        <v>484.49858189046154</v>
      </c>
      <c r="G2000" s="6">
        <v>5.158589090583017</v>
      </c>
      <c r="H2000" s="6">
        <v>7147417.45757831</v>
      </c>
      <c r="I2000" s="6">
        <v>482.45444259275797</v>
      </c>
      <c r="J2000" s="6">
        <v>4.029998547495963</v>
      </c>
      <c r="K2000" s="6"/>
      <c r="L2000" s="6"/>
      <c r="M2000" s="6"/>
      <c r="N2000" s="6">
        <f t="shared" ref="N2000:P2000" si="2003">IF(LEN($C2000)&gt;0,H2000-E2000,"")</f>
        <v>-56943.47359</v>
      </c>
      <c r="O2000" s="6">
        <f t="shared" si="2003"/>
        <v>-2.044139298</v>
      </c>
      <c r="P2000" s="6">
        <f t="shared" si="2003"/>
        <v>-1.128590543</v>
      </c>
      <c r="Q2000" s="6"/>
      <c r="R2000" s="6"/>
      <c r="S2000" s="6"/>
      <c r="T2000" s="6"/>
      <c r="U2000" s="6"/>
      <c r="V2000" s="6"/>
      <c r="W2000" s="6"/>
      <c r="X2000" s="6"/>
      <c r="Y2000" s="6"/>
      <c r="Z2000" s="6"/>
      <c r="AA2000" s="6"/>
      <c r="AB2000" s="6"/>
      <c r="AC2000" s="6"/>
      <c r="AD2000" s="6"/>
      <c r="AE2000" s="6"/>
      <c r="AF2000" s="6"/>
      <c r="AG2000" s="6"/>
    </row>
    <row r="2001" ht="14.25" customHeight="1">
      <c r="A2001" s="6"/>
      <c r="B2001" s="6"/>
      <c r="C2001" s="6">
        <v>1994.0</v>
      </c>
      <c r="D2001" s="6"/>
      <c r="E2001" s="6">
        <v>7913777.724730994</v>
      </c>
      <c r="F2001" s="6">
        <v>461.3466527993877</v>
      </c>
      <c r="G2001" s="6">
        <v>5.8168104619291086</v>
      </c>
      <c r="H2001" s="6">
        <v>7760046.89114106</v>
      </c>
      <c r="I2001" s="6">
        <v>454.8048929603341</v>
      </c>
      <c r="J2001" s="6">
        <v>3.9778479060158105</v>
      </c>
      <c r="K2001" s="6"/>
      <c r="L2001" s="6"/>
      <c r="M2001" s="6"/>
      <c r="N2001" s="6">
        <f t="shared" ref="N2001:P2001" si="2004">IF(LEN($C2001)&gt;0,H2001-E2001,"")</f>
        <v>-153730.8336</v>
      </c>
      <c r="O2001" s="6">
        <f t="shared" si="2004"/>
        <v>-6.541759839</v>
      </c>
      <c r="P2001" s="6">
        <f t="shared" si="2004"/>
        <v>-1.838962556</v>
      </c>
      <c r="Q2001" s="6"/>
      <c r="R2001" s="6"/>
      <c r="S2001" s="6"/>
      <c r="T2001" s="6"/>
      <c r="U2001" s="6"/>
      <c r="V2001" s="6"/>
      <c r="W2001" s="6"/>
      <c r="X2001" s="6"/>
      <c r="Y2001" s="6"/>
      <c r="Z2001" s="6"/>
      <c r="AA2001" s="6"/>
      <c r="AB2001" s="6"/>
      <c r="AC2001" s="6"/>
      <c r="AD2001" s="6"/>
      <c r="AE2001" s="6"/>
      <c r="AF2001" s="6"/>
      <c r="AG2001" s="6"/>
    </row>
    <row r="2002" ht="14.25" customHeight="1">
      <c r="A2002" s="6"/>
      <c r="B2002" s="6"/>
      <c r="C2002" s="6">
        <v>1995.0</v>
      </c>
      <c r="D2002" s="6"/>
      <c r="E2002" s="6">
        <v>8955751.536053814</v>
      </c>
      <c r="F2002" s="6">
        <v>479.48814313689877</v>
      </c>
      <c r="G2002" s="6">
        <v>5.081037476714541</v>
      </c>
      <c r="H2002" s="6">
        <v>8882168.004897308</v>
      </c>
      <c r="I2002" s="6">
        <v>477.52270612008874</v>
      </c>
      <c r="J2002" s="6">
        <v>4.114118258795405</v>
      </c>
      <c r="K2002" s="6"/>
      <c r="L2002" s="6"/>
      <c r="M2002" s="6"/>
      <c r="N2002" s="6">
        <f t="shared" ref="N2002:P2002" si="2005">IF(LEN($C2002)&gt;0,H2002-E2002,"")</f>
        <v>-73583.53116</v>
      </c>
      <c r="O2002" s="6">
        <f t="shared" si="2005"/>
        <v>-1.965437017</v>
      </c>
      <c r="P2002" s="6">
        <f t="shared" si="2005"/>
        <v>-0.9669192179</v>
      </c>
      <c r="Q2002" s="6"/>
      <c r="R2002" s="6"/>
      <c r="S2002" s="6"/>
      <c r="T2002" s="6"/>
      <c r="U2002" s="6"/>
      <c r="V2002" s="6"/>
      <c r="W2002" s="6"/>
      <c r="X2002" s="6"/>
      <c r="Y2002" s="6"/>
      <c r="Z2002" s="6"/>
      <c r="AA2002" s="6"/>
      <c r="AB2002" s="6"/>
      <c r="AC2002" s="6"/>
      <c r="AD2002" s="6"/>
      <c r="AE2002" s="6"/>
      <c r="AF2002" s="6"/>
      <c r="AG2002" s="6"/>
    </row>
    <row r="2003" ht="14.25" customHeight="1">
      <c r="A2003" s="6"/>
      <c r="B2003" s="6"/>
      <c r="C2003" s="6">
        <v>1996.0</v>
      </c>
      <c r="D2003" s="6"/>
      <c r="E2003" s="6">
        <v>9114926.671115732</v>
      </c>
      <c r="F2003" s="6">
        <v>449.42601677137554</v>
      </c>
      <c r="G2003" s="6">
        <v>5.012637231158125</v>
      </c>
      <c r="H2003" s="6">
        <v>8988797.922201915</v>
      </c>
      <c r="I2003" s="6">
        <v>444.7092946715343</v>
      </c>
      <c r="J2003" s="6">
        <v>3.6545411779741657</v>
      </c>
      <c r="K2003" s="6"/>
      <c r="L2003" s="6"/>
      <c r="M2003" s="6"/>
      <c r="N2003" s="6">
        <f t="shared" ref="N2003:P2003" si="2006">IF(LEN($C2003)&gt;0,H2003-E2003,"")</f>
        <v>-126128.7489</v>
      </c>
      <c r="O2003" s="6">
        <f t="shared" si="2006"/>
        <v>-4.7167221</v>
      </c>
      <c r="P2003" s="6">
        <f t="shared" si="2006"/>
        <v>-1.358096053</v>
      </c>
      <c r="Q2003" s="6"/>
      <c r="R2003" s="6"/>
      <c r="S2003" s="6"/>
      <c r="T2003" s="6"/>
      <c r="U2003" s="6"/>
      <c r="V2003" s="6"/>
      <c r="W2003" s="6"/>
      <c r="X2003" s="6"/>
      <c r="Y2003" s="6"/>
      <c r="Z2003" s="6"/>
      <c r="AA2003" s="6"/>
      <c r="AB2003" s="6"/>
      <c r="AC2003" s="6"/>
      <c r="AD2003" s="6"/>
      <c r="AE2003" s="6"/>
      <c r="AF2003" s="6"/>
      <c r="AG2003" s="6"/>
    </row>
    <row r="2004" ht="14.25" customHeight="1">
      <c r="A2004" s="6"/>
      <c r="B2004" s="6"/>
      <c r="C2004" s="6">
        <v>1997.0</v>
      </c>
      <c r="D2004" s="6"/>
      <c r="E2004" s="6">
        <v>7819377.278812858</v>
      </c>
      <c r="F2004" s="6">
        <v>490.72405223564397</v>
      </c>
      <c r="G2004" s="6">
        <v>4.971785928138029</v>
      </c>
      <c r="H2004" s="6">
        <v>7729655.855538571</v>
      </c>
      <c r="I2004" s="6">
        <v>486.7016876905015</v>
      </c>
      <c r="J2004" s="6">
        <v>4.251566052373306</v>
      </c>
      <c r="K2004" s="6"/>
      <c r="L2004" s="6"/>
      <c r="M2004" s="6"/>
      <c r="N2004" s="6">
        <f t="shared" ref="N2004:P2004" si="2007">IF(LEN($C2004)&gt;0,H2004-E2004,"")</f>
        <v>-89721.42327</v>
      </c>
      <c r="O2004" s="6">
        <f t="shared" si="2007"/>
        <v>-4.022364545</v>
      </c>
      <c r="P2004" s="6">
        <f t="shared" si="2007"/>
        <v>-0.7202198758</v>
      </c>
      <c r="Q2004" s="6"/>
      <c r="R2004" s="6"/>
      <c r="S2004" s="6"/>
      <c r="T2004" s="6"/>
      <c r="U2004" s="6"/>
      <c r="V2004" s="6"/>
      <c r="W2004" s="6"/>
      <c r="X2004" s="6"/>
      <c r="Y2004" s="6"/>
      <c r="Z2004" s="6"/>
      <c r="AA2004" s="6"/>
      <c r="AB2004" s="6"/>
      <c r="AC2004" s="6"/>
      <c r="AD2004" s="6"/>
      <c r="AE2004" s="6"/>
      <c r="AF2004" s="6"/>
      <c r="AG2004" s="6"/>
    </row>
    <row r="2005" ht="14.25" customHeight="1">
      <c r="A2005" s="6"/>
      <c r="B2005" s="6"/>
      <c r="C2005" s="6">
        <v>1998.0</v>
      </c>
      <c r="D2005" s="6"/>
      <c r="E2005" s="6">
        <v>6196317.761371809</v>
      </c>
      <c r="F2005" s="6">
        <v>470.9302916362744</v>
      </c>
      <c r="G2005" s="6">
        <v>4.679760063693361</v>
      </c>
      <c r="H2005" s="6">
        <v>6160040.466440424</v>
      </c>
      <c r="I2005" s="6">
        <v>469.6368927718383</v>
      </c>
      <c r="J2005" s="6">
        <v>4.216344048560571</v>
      </c>
      <c r="K2005" s="6"/>
      <c r="L2005" s="6"/>
      <c r="M2005" s="6"/>
      <c r="N2005" s="6">
        <f t="shared" ref="N2005:P2005" si="2008">IF(LEN($C2005)&gt;0,H2005-E2005,"")</f>
        <v>-36277.29493</v>
      </c>
      <c r="O2005" s="6">
        <f t="shared" si="2008"/>
        <v>-1.293398864</v>
      </c>
      <c r="P2005" s="6">
        <f t="shared" si="2008"/>
        <v>-0.4634160151</v>
      </c>
      <c r="Q2005" s="6"/>
      <c r="R2005" s="6"/>
      <c r="S2005" s="6"/>
      <c r="T2005" s="6"/>
      <c r="U2005" s="6"/>
      <c r="V2005" s="6"/>
      <c r="W2005" s="6"/>
      <c r="X2005" s="6"/>
      <c r="Y2005" s="6"/>
      <c r="Z2005" s="6"/>
      <c r="AA2005" s="6"/>
      <c r="AB2005" s="6"/>
      <c r="AC2005" s="6"/>
      <c r="AD2005" s="6"/>
      <c r="AE2005" s="6"/>
      <c r="AF2005" s="6"/>
      <c r="AG2005" s="6"/>
    </row>
    <row r="2006" ht="14.25" customHeight="1">
      <c r="A2006" s="6"/>
      <c r="B2006" s="6"/>
      <c r="C2006" s="6">
        <v>1999.0</v>
      </c>
      <c r="D2006" s="6"/>
      <c r="E2006" s="6">
        <v>7632464.527699109</v>
      </c>
      <c r="F2006" s="6">
        <v>492.9154880988998</v>
      </c>
      <c r="G2006" s="6">
        <v>4.675515399863207</v>
      </c>
      <c r="H2006" s="6">
        <v>7565791.94833725</v>
      </c>
      <c r="I2006" s="6">
        <v>490.0199696468897</v>
      </c>
      <c r="J2006" s="6">
        <v>3.651632366625349</v>
      </c>
      <c r="K2006" s="6"/>
      <c r="L2006" s="6"/>
      <c r="M2006" s="6"/>
      <c r="N2006" s="6">
        <f t="shared" ref="N2006:P2006" si="2009">IF(LEN($C2006)&gt;0,H2006-E2006,"")</f>
        <v>-66672.57936</v>
      </c>
      <c r="O2006" s="6">
        <f t="shared" si="2009"/>
        <v>-2.895518452</v>
      </c>
      <c r="P2006" s="6">
        <f t="shared" si="2009"/>
        <v>-1.023883033</v>
      </c>
      <c r="Q2006" s="6"/>
      <c r="R2006" s="6"/>
      <c r="S2006" s="6"/>
      <c r="T2006" s="6"/>
      <c r="U2006" s="6"/>
      <c r="V2006" s="6"/>
      <c r="W2006" s="6"/>
      <c r="X2006" s="6"/>
      <c r="Y2006" s="6"/>
      <c r="Z2006" s="6"/>
      <c r="AA2006" s="6"/>
      <c r="AB2006" s="6"/>
      <c r="AC2006" s="6"/>
      <c r="AD2006" s="6"/>
      <c r="AE2006" s="6"/>
      <c r="AF2006" s="6"/>
      <c r="AG2006" s="6"/>
    </row>
    <row r="2007" ht="14.25" customHeight="1">
      <c r="A2007" s="6"/>
      <c r="B2007" s="6"/>
      <c r="C2007" s="6">
        <v>2000.0</v>
      </c>
      <c r="D2007" s="6"/>
      <c r="E2007" s="6">
        <v>7285974.956627746</v>
      </c>
      <c r="F2007" s="6">
        <v>470.36206779180816</v>
      </c>
      <c r="G2007" s="6">
        <v>5.784949623116922</v>
      </c>
      <c r="H2007" s="6">
        <v>7200976.586467328</v>
      </c>
      <c r="I2007" s="6">
        <v>467.7126047529644</v>
      </c>
      <c r="J2007" s="6">
        <v>4.3140490717179265</v>
      </c>
      <c r="K2007" s="6"/>
      <c r="L2007" s="6"/>
      <c r="M2007" s="6"/>
      <c r="N2007" s="6">
        <f t="shared" ref="N2007:P2007" si="2010">IF(LEN($C2007)&gt;0,H2007-E2007,"")</f>
        <v>-84998.37016</v>
      </c>
      <c r="O2007" s="6">
        <f t="shared" si="2010"/>
        <v>-2.649463039</v>
      </c>
      <c r="P2007" s="6">
        <f t="shared" si="2010"/>
        <v>-1.470900551</v>
      </c>
      <c r="Q2007" s="6"/>
      <c r="R2007" s="6"/>
      <c r="S2007" s="6"/>
      <c r="T2007" s="6"/>
      <c r="U2007" s="6"/>
      <c r="V2007" s="6"/>
      <c r="W2007" s="6"/>
      <c r="X2007" s="6"/>
      <c r="Y2007" s="6"/>
      <c r="Z2007" s="6"/>
      <c r="AA2007" s="6"/>
      <c r="AB2007" s="6"/>
      <c r="AC2007" s="6"/>
      <c r="AD2007" s="6"/>
      <c r="AE2007" s="6"/>
      <c r="AF2007" s="6"/>
      <c r="AG2007" s="6"/>
    </row>
    <row r="2008" ht="14.25" customHeight="1">
      <c r="A2008" s="6"/>
      <c r="B2008" s="6"/>
      <c r="C2008" s="6"/>
      <c r="D2008" s="6"/>
      <c r="E2008" s="6"/>
      <c r="F2008" s="6"/>
      <c r="G2008" s="6"/>
      <c r="H2008" s="6"/>
      <c r="I2008" s="6"/>
      <c r="J2008" s="6"/>
      <c r="K2008" s="6"/>
      <c r="L2008" s="6"/>
      <c r="M2008" s="6"/>
      <c r="N2008" s="6" t="str">
        <f t="shared" ref="N2008:P2008" si="2011">IF(LEN($C2008)&gt;0,H2008-E2008,"")</f>
        <v/>
      </c>
      <c r="O2008" s="6" t="str">
        <f t="shared" si="2011"/>
        <v/>
      </c>
      <c r="P2008" s="6" t="str">
        <f t="shared" si="2011"/>
        <v/>
      </c>
      <c r="Q2008" s="6"/>
      <c r="R2008" s="6"/>
      <c r="S2008" s="6"/>
      <c r="T2008" s="6"/>
      <c r="U2008" s="6"/>
      <c r="V2008" s="6"/>
      <c r="W2008" s="6"/>
      <c r="X2008" s="6"/>
      <c r="Y2008" s="6"/>
      <c r="Z2008" s="6"/>
      <c r="AA2008" s="6"/>
      <c r="AB2008" s="6"/>
      <c r="AC2008" s="6"/>
      <c r="AD2008" s="6"/>
      <c r="AE2008" s="6"/>
      <c r="AF2008" s="6"/>
      <c r="AG2008" s="6"/>
    </row>
    <row r="2009" ht="14.25" customHeight="1">
      <c r="A2009" s="6"/>
      <c r="B2009" s="6"/>
      <c r="C2009" s="6"/>
      <c r="D2009" s="6"/>
      <c r="E2009" s="6"/>
      <c r="F2009" s="6"/>
      <c r="G2009" s="6"/>
      <c r="H2009" s="6"/>
      <c r="I2009" s="6"/>
      <c r="J2009" s="6"/>
      <c r="K2009" s="6"/>
      <c r="L2009" s="6"/>
      <c r="M2009" s="6"/>
      <c r="N2009" s="6" t="str">
        <f t="shared" ref="N2009:P2009" si="2012">IF(LEN($C2009)&gt;0,H2009-E2009,"")</f>
        <v/>
      </c>
      <c r="O2009" s="6" t="str">
        <f t="shared" si="2012"/>
        <v/>
      </c>
      <c r="P2009" s="6" t="str">
        <f t="shared" si="2012"/>
        <v/>
      </c>
      <c r="Q2009" s="6"/>
      <c r="R2009" s="6"/>
      <c r="S2009" s="6"/>
      <c r="T2009" s="6"/>
      <c r="U2009" s="6"/>
      <c r="V2009" s="6"/>
      <c r="W2009" s="6"/>
      <c r="X2009" s="6"/>
      <c r="Y2009" s="6"/>
      <c r="Z2009" s="6"/>
      <c r="AA2009" s="6"/>
      <c r="AB2009" s="6"/>
      <c r="AC2009" s="6"/>
      <c r="AD2009" s="6"/>
      <c r="AE2009" s="6"/>
      <c r="AF2009" s="6"/>
      <c r="AG2009" s="6"/>
    </row>
    <row r="2010" ht="14.25" customHeight="1">
      <c r="A2010" s="6"/>
      <c r="B2010" s="6"/>
      <c r="C2010" s="6"/>
      <c r="D2010" s="6"/>
      <c r="E2010" s="6"/>
      <c r="F2010" s="6"/>
      <c r="G2010" s="6"/>
      <c r="H2010" s="6"/>
      <c r="I2010" s="6"/>
      <c r="J2010" s="6"/>
      <c r="K2010" s="6"/>
      <c r="L2010" s="6"/>
      <c r="M2010" s="6"/>
      <c r="N2010" s="6" t="str">
        <f t="shared" ref="N2010:P2010" si="2013">IF(LEN($C2010)&gt;0,H2010-E2010,"")</f>
        <v/>
      </c>
      <c r="O2010" s="6" t="str">
        <f t="shared" si="2013"/>
        <v/>
      </c>
      <c r="P2010" s="6" t="str">
        <f t="shared" si="2013"/>
        <v/>
      </c>
      <c r="Q2010" s="6"/>
      <c r="R2010" s="6"/>
      <c r="S2010" s="6"/>
      <c r="T2010" s="6"/>
      <c r="U2010" s="6"/>
      <c r="V2010" s="6"/>
      <c r="W2010" s="6"/>
      <c r="X2010" s="6"/>
      <c r="Y2010" s="6"/>
      <c r="Z2010" s="6"/>
      <c r="AA2010" s="6"/>
      <c r="AB2010" s="6"/>
      <c r="AC2010" s="6"/>
      <c r="AD2010" s="6"/>
      <c r="AE2010" s="6"/>
      <c r="AF2010" s="6"/>
      <c r="AG2010" s="6"/>
    </row>
    <row r="2011" ht="14.25" customHeight="1">
      <c r="A2011" s="6"/>
      <c r="B2011" s="6"/>
      <c r="C2011" s="6"/>
      <c r="D2011" s="6"/>
      <c r="E2011" s="6"/>
      <c r="F2011" s="6"/>
      <c r="G2011" s="6"/>
      <c r="H2011" s="6"/>
      <c r="I2011" s="6"/>
      <c r="J2011" s="6"/>
      <c r="K2011" s="6"/>
      <c r="L2011" s="6"/>
      <c r="M2011" s="6"/>
      <c r="N2011" s="6" t="str">
        <f t="shared" ref="N2011:P2011" si="2014">IF(LEN($C2011)&gt;0,H2011-E2011,"")</f>
        <v/>
      </c>
      <c r="O2011" s="6" t="str">
        <f t="shared" si="2014"/>
        <v/>
      </c>
      <c r="P2011" s="6" t="str">
        <f t="shared" si="2014"/>
        <v/>
      </c>
      <c r="Q2011" s="6"/>
      <c r="R2011" s="6"/>
      <c r="S2011" s="6"/>
      <c r="T2011" s="6"/>
      <c r="U2011" s="6"/>
      <c r="V2011" s="6"/>
      <c r="W2011" s="6"/>
      <c r="X2011" s="6"/>
      <c r="Y2011" s="6"/>
      <c r="Z2011" s="6"/>
      <c r="AA2011" s="6"/>
      <c r="AB2011" s="6"/>
      <c r="AC2011" s="6"/>
      <c r="AD2011" s="6"/>
      <c r="AE2011" s="6"/>
      <c r="AF2011" s="6"/>
      <c r="AG2011" s="6"/>
    </row>
    <row r="2012" ht="14.25" customHeight="1">
      <c r="A2012" s="6"/>
      <c r="B2012" s="6"/>
      <c r="C2012" s="6"/>
      <c r="D2012" s="6"/>
      <c r="E2012" s="6"/>
      <c r="F2012" s="6"/>
      <c r="G2012" s="6"/>
      <c r="H2012" s="6"/>
      <c r="I2012" s="6"/>
      <c r="J2012" s="6"/>
      <c r="K2012" s="6"/>
      <c r="L2012" s="6"/>
      <c r="M2012" s="6"/>
      <c r="N2012" s="6" t="str">
        <f t="shared" ref="N2012:P2012" si="2015">IF(LEN($C2012)&gt;0,H2012-E2012,"")</f>
        <v/>
      </c>
      <c r="O2012" s="6" t="str">
        <f t="shared" si="2015"/>
        <v/>
      </c>
      <c r="P2012" s="6" t="str">
        <f t="shared" si="2015"/>
        <v/>
      </c>
      <c r="Q2012" s="6"/>
      <c r="R2012" s="6"/>
      <c r="S2012" s="6"/>
      <c r="T2012" s="6"/>
      <c r="U2012" s="6"/>
      <c r="V2012" s="6"/>
      <c r="W2012" s="6"/>
      <c r="X2012" s="6"/>
      <c r="Y2012" s="6"/>
      <c r="Z2012" s="6"/>
      <c r="AA2012" s="6"/>
      <c r="AB2012" s="6"/>
      <c r="AC2012" s="6"/>
      <c r="AD2012" s="6"/>
      <c r="AE2012" s="6"/>
      <c r="AF2012" s="6"/>
      <c r="AG2012" s="6"/>
    </row>
    <row r="2013" ht="14.25" customHeight="1">
      <c r="A2013" s="6"/>
      <c r="B2013" s="6"/>
      <c r="C2013" s="6"/>
      <c r="D2013" s="6"/>
      <c r="E2013" s="6"/>
      <c r="F2013" s="6"/>
      <c r="G2013" s="6"/>
      <c r="H2013" s="6"/>
      <c r="I2013" s="6"/>
      <c r="J2013" s="6"/>
      <c r="K2013" s="6"/>
      <c r="L2013" s="6"/>
      <c r="M2013" s="6"/>
      <c r="N2013" s="6" t="str">
        <f t="shared" ref="N2013:P2013" si="2016">IF(LEN($C2013)&gt;0,H2013-E2013,"")</f>
        <v/>
      </c>
      <c r="O2013" s="6" t="str">
        <f t="shared" si="2016"/>
        <v/>
      </c>
      <c r="P2013" s="6" t="str">
        <f t="shared" si="2016"/>
        <v/>
      </c>
      <c r="Q2013" s="6"/>
      <c r="R2013" s="6"/>
      <c r="S2013" s="6"/>
      <c r="T2013" s="6"/>
      <c r="U2013" s="6"/>
      <c r="V2013" s="6"/>
      <c r="W2013" s="6"/>
      <c r="X2013" s="6"/>
      <c r="Y2013" s="6"/>
      <c r="Z2013" s="6"/>
      <c r="AA2013" s="6"/>
      <c r="AB2013" s="6"/>
      <c r="AC2013" s="6"/>
      <c r="AD2013" s="6"/>
      <c r="AE2013" s="6"/>
      <c r="AF2013" s="6"/>
      <c r="AG2013" s="6"/>
    </row>
    <row r="2014" ht="14.25" customHeight="1">
      <c r="A2014" s="6"/>
      <c r="B2014" s="6"/>
      <c r="C2014" s="6"/>
      <c r="D2014" s="6"/>
      <c r="E2014" s="6"/>
      <c r="F2014" s="6"/>
      <c r="G2014" s="6"/>
      <c r="H2014" s="6"/>
      <c r="I2014" s="6"/>
      <c r="J2014" s="6"/>
      <c r="K2014" s="6"/>
      <c r="L2014" s="6"/>
      <c r="M2014" s="6"/>
      <c r="N2014" s="6" t="str">
        <f t="shared" ref="N2014:P2014" si="2017">IF(LEN($C2014)&gt;0,H2014-E2014,"")</f>
        <v/>
      </c>
      <c r="O2014" s="6" t="str">
        <f t="shared" si="2017"/>
        <v/>
      </c>
      <c r="P2014" s="6" t="str">
        <f t="shared" si="2017"/>
        <v/>
      </c>
      <c r="Q2014" s="6"/>
      <c r="R2014" s="6"/>
      <c r="S2014" s="6"/>
      <c r="T2014" s="6"/>
      <c r="U2014" s="6"/>
      <c r="V2014" s="6"/>
      <c r="W2014" s="6"/>
      <c r="X2014" s="6"/>
      <c r="Y2014" s="6"/>
      <c r="Z2014" s="6"/>
      <c r="AA2014" s="6"/>
      <c r="AB2014" s="6"/>
      <c r="AC2014" s="6"/>
      <c r="AD2014" s="6"/>
      <c r="AE2014" s="6"/>
      <c r="AF2014" s="6"/>
      <c r="AG2014" s="6"/>
    </row>
    <row r="2015" ht="14.25" customHeight="1">
      <c r="A2015" s="6"/>
      <c r="B2015" s="6"/>
      <c r="C2015" s="6"/>
      <c r="D2015" s="6"/>
      <c r="E2015" s="6"/>
      <c r="F2015" s="6"/>
      <c r="G2015" s="6"/>
      <c r="H2015" s="6"/>
      <c r="I2015" s="6"/>
      <c r="J2015" s="6"/>
      <c r="K2015" s="6"/>
      <c r="L2015" s="6"/>
      <c r="M2015" s="6"/>
      <c r="N2015" s="6" t="str">
        <f t="shared" ref="N2015:P2015" si="2018">IF(LEN($C2015)&gt;0,H2015-E2015,"")</f>
        <v/>
      </c>
      <c r="O2015" s="6" t="str">
        <f t="shared" si="2018"/>
        <v/>
      </c>
      <c r="P2015" s="6" t="str">
        <f t="shared" si="2018"/>
        <v/>
      </c>
      <c r="Q2015" s="6"/>
      <c r="R2015" s="6"/>
      <c r="S2015" s="6"/>
      <c r="T2015" s="6"/>
      <c r="U2015" s="6"/>
      <c r="V2015" s="6"/>
      <c r="W2015" s="6"/>
      <c r="X2015" s="6"/>
      <c r="Y2015" s="6"/>
      <c r="Z2015" s="6"/>
      <c r="AA2015" s="6"/>
      <c r="AB2015" s="6"/>
      <c r="AC2015" s="6"/>
      <c r="AD2015" s="6"/>
      <c r="AE2015" s="6"/>
      <c r="AF2015" s="6"/>
      <c r="AG2015" s="6"/>
    </row>
    <row r="2016" ht="14.25" customHeight="1">
      <c r="A2016" s="6"/>
      <c r="B2016" s="6"/>
      <c r="C2016" s="6"/>
      <c r="D2016" s="6"/>
      <c r="E2016" s="6"/>
      <c r="F2016" s="6"/>
      <c r="G2016" s="6"/>
      <c r="H2016" s="6"/>
      <c r="I2016" s="6"/>
      <c r="J2016" s="6"/>
      <c r="K2016" s="6"/>
      <c r="L2016" s="6"/>
      <c r="M2016" s="6"/>
      <c r="N2016" s="6" t="str">
        <f t="shared" ref="N2016:P2016" si="2019">IF(LEN($C2016)&gt;0,H2016-E2016,"")</f>
        <v/>
      </c>
      <c r="O2016" s="6" t="str">
        <f t="shared" si="2019"/>
        <v/>
      </c>
      <c r="P2016" s="6" t="str">
        <f t="shared" si="2019"/>
        <v/>
      </c>
      <c r="Q2016" s="6"/>
      <c r="R2016" s="6"/>
      <c r="S2016" s="6"/>
      <c r="T2016" s="6"/>
      <c r="U2016" s="6"/>
      <c r="V2016" s="6"/>
      <c r="W2016" s="6"/>
      <c r="X2016" s="6"/>
      <c r="Y2016" s="6"/>
      <c r="Z2016" s="6"/>
      <c r="AA2016" s="6"/>
      <c r="AB2016" s="6"/>
      <c r="AC2016" s="6"/>
      <c r="AD2016" s="6"/>
      <c r="AE2016" s="6"/>
      <c r="AF2016" s="6"/>
      <c r="AG2016" s="6"/>
    </row>
    <row r="2017" ht="14.25" customHeight="1">
      <c r="A2017" s="6"/>
      <c r="B2017" s="6"/>
      <c r="C2017" s="6"/>
      <c r="D2017" s="6"/>
      <c r="E2017" s="6"/>
      <c r="F2017" s="6"/>
      <c r="G2017" s="6"/>
      <c r="H2017" s="6"/>
      <c r="I2017" s="6"/>
      <c r="J2017" s="6"/>
      <c r="K2017" s="6"/>
      <c r="L2017" s="6"/>
      <c r="M2017" s="6"/>
      <c r="N2017" s="6" t="str">
        <f t="shared" ref="N2017:P2017" si="2020">IF(LEN($C2017)&gt;0,H2017-E2017,"")</f>
        <v/>
      </c>
      <c r="O2017" s="6" t="str">
        <f t="shared" si="2020"/>
        <v/>
      </c>
      <c r="P2017" s="6" t="str">
        <f t="shared" si="2020"/>
        <v/>
      </c>
      <c r="Q2017" s="6"/>
      <c r="R2017" s="6"/>
      <c r="S2017" s="6"/>
      <c r="T2017" s="6"/>
      <c r="U2017" s="6"/>
      <c r="V2017" s="6"/>
      <c r="W2017" s="6"/>
      <c r="X2017" s="6"/>
      <c r="Y2017" s="6"/>
      <c r="Z2017" s="6"/>
      <c r="AA2017" s="6"/>
      <c r="AB2017" s="6"/>
      <c r="AC2017" s="6"/>
      <c r="AD2017" s="6"/>
      <c r="AE2017" s="6"/>
      <c r="AF2017" s="6"/>
      <c r="AG2017" s="6"/>
    </row>
    <row r="2018" ht="14.25" customHeight="1">
      <c r="A2018" s="6"/>
      <c r="B2018" s="6"/>
      <c r="C2018" s="6"/>
      <c r="D2018" s="6"/>
      <c r="E2018" s="6"/>
      <c r="F2018" s="6"/>
      <c r="G2018" s="6"/>
      <c r="H2018" s="6"/>
      <c r="I2018" s="6"/>
      <c r="J2018" s="6"/>
      <c r="K2018" s="6"/>
      <c r="L2018" s="6"/>
      <c r="M2018" s="6"/>
      <c r="N2018" s="6" t="str">
        <f t="shared" ref="N2018:P2018" si="2021">IF(LEN($C2018)&gt;0,H2018-E2018,"")</f>
        <v/>
      </c>
      <c r="O2018" s="6" t="str">
        <f t="shared" si="2021"/>
        <v/>
      </c>
      <c r="P2018" s="6" t="str">
        <f t="shared" si="2021"/>
        <v/>
      </c>
      <c r="Q2018" s="6"/>
      <c r="R2018" s="6"/>
      <c r="S2018" s="6"/>
      <c r="T2018" s="6"/>
      <c r="U2018" s="6"/>
      <c r="V2018" s="6"/>
      <c r="W2018" s="6"/>
      <c r="X2018" s="6"/>
      <c r="Y2018" s="6"/>
      <c r="Z2018" s="6"/>
      <c r="AA2018" s="6"/>
      <c r="AB2018" s="6"/>
      <c r="AC2018" s="6"/>
      <c r="AD2018" s="6"/>
      <c r="AE2018" s="6"/>
      <c r="AF2018" s="6"/>
      <c r="AG2018" s="6"/>
    </row>
    <row r="2019" ht="14.25" customHeight="1">
      <c r="A2019" s="6"/>
      <c r="B2019" s="6"/>
      <c r="C2019" s="6"/>
      <c r="D2019" s="6"/>
      <c r="E2019" s="6"/>
      <c r="F2019" s="6"/>
      <c r="G2019" s="6"/>
      <c r="H2019" s="6"/>
      <c r="I2019" s="6"/>
      <c r="J2019" s="6"/>
      <c r="K2019" s="6"/>
      <c r="L2019" s="6"/>
      <c r="M2019" s="6"/>
      <c r="N2019" s="6" t="str">
        <f t="shared" ref="N2019:P2019" si="2022">IF(LEN($C2019)&gt;0,H2019-E2019,"")</f>
        <v/>
      </c>
      <c r="O2019" s="6" t="str">
        <f t="shared" si="2022"/>
        <v/>
      </c>
      <c r="P2019" s="6" t="str">
        <f t="shared" si="2022"/>
        <v/>
      </c>
      <c r="Q2019" s="6"/>
      <c r="R2019" s="6"/>
      <c r="S2019" s="6"/>
      <c r="T2019" s="6"/>
      <c r="U2019" s="6"/>
      <c r="V2019" s="6"/>
      <c r="W2019" s="6"/>
      <c r="X2019" s="6"/>
      <c r="Y2019" s="6"/>
      <c r="Z2019" s="6"/>
      <c r="AA2019" s="6"/>
      <c r="AB2019" s="6"/>
      <c r="AC2019" s="6"/>
      <c r="AD2019" s="6"/>
      <c r="AE2019" s="6"/>
      <c r="AF2019" s="6"/>
      <c r="AG2019" s="6"/>
    </row>
    <row r="2020" ht="14.25" customHeight="1">
      <c r="A2020" s="6"/>
      <c r="B2020" s="6"/>
      <c r="C2020" s="6"/>
      <c r="D2020" s="6"/>
      <c r="E2020" s="6"/>
      <c r="F2020" s="6"/>
      <c r="G2020" s="6"/>
      <c r="H2020" s="6"/>
      <c r="I2020" s="6"/>
      <c r="J2020" s="6"/>
      <c r="K2020" s="6"/>
      <c r="L2020" s="6"/>
      <c r="M2020" s="6"/>
      <c r="N2020" s="6" t="str">
        <f t="shared" ref="N2020:P2020" si="2023">IF(LEN($C2020)&gt;0,H2020-E2020,"")</f>
        <v/>
      </c>
      <c r="O2020" s="6" t="str">
        <f t="shared" si="2023"/>
        <v/>
      </c>
      <c r="P2020" s="6" t="str">
        <f t="shared" si="2023"/>
        <v/>
      </c>
      <c r="Q2020" s="6"/>
      <c r="R2020" s="6"/>
      <c r="S2020" s="6"/>
      <c r="T2020" s="6"/>
      <c r="U2020" s="6"/>
      <c r="V2020" s="6"/>
      <c r="W2020" s="6"/>
      <c r="X2020" s="6"/>
      <c r="Y2020" s="6"/>
      <c r="Z2020" s="6"/>
      <c r="AA2020" s="6"/>
      <c r="AB2020" s="6"/>
      <c r="AC2020" s="6"/>
      <c r="AD2020" s="6"/>
      <c r="AE2020" s="6"/>
      <c r="AF2020" s="6"/>
      <c r="AG2020" s="6"/>
    </row>
    <row r="2021" ht="14.25" customHeight="1">
      <c r="A2021" s="6"/>
      <c r="B2021" s="6"/>
      <c r="C2021" s="6"/>
      <c r="D2021" s="6"/>
      <c r="E2021" s="6"/>
      <c r="F2021" s="6"/>
      <c r="G2021" s="6"/>
      <c r="H2021" s="6"/>
      <c r="I2021" s="6"/>
      <c r="J2021" s="6"/>
      <c r="K2021" s="6"/>
      <c r="L2021" s="6"/>
      <c r="M2021" s="6"/>
      <c r="N2021" s="6" t="str">
        <f t="shared" ref="N2021:P2021" si="2024">IF(LEN($C2021)&gt;0,H2021-E2021,"")</f>
        <v/>
      </c>
      <c r="O2021" s="6" t="str">
        <f t="shared" si="2024"/>
        <v/>
      </c>
      <c r="P2021" s="6" t="str">
        <f t="shared" si="2024"/>
        <v/>
      </c>
      <c r="Q2021" s="6"/>
      <c r="R2021" s="6"/>
      <c r="S2021" s="6"/>
      <c r="T2021" s="6"/>
      <c r="U2021" s="6"/>
      <c r="V2021" s="6"/>
      <c r="W2021" s="6"/>
      <c r="X2021" s="6"/>
      <c r="Y2021" s="6"/>
      <c r="Z2021" s="6"/>
      <c r="AA2021" s="6"/>
      <c r="AB2021" s="6"/>
      <c r="AC2021" s="6"/>
      <c r="AD2021" s="6"/>
      <c r="AE2021" s="6"/>
      <c r="AF2021" s="6"/>
      <c r="AG2021" s="6"/>
    </row>
    <row r="2022" ht="14.25" customHeight="1">
      <c r="A2022" s="6"/>
      <c r="B2022" s="6"/>
      <c r="C2022" s="6"/>
      <c r="D2022" s="6"/>
      <c r="E2022" s="6"/>
      <c r="F2022" s="6"/>
      <c r="G2022" s="6"/>
      <c r="H2022" s="6"/>
      <c r="I2022" s="6"/>
      <c r="J2022" s="6"/>
      <c r="K2022" s="6"/>
      <c r="L2022" s="6"/>
      <c r="M2022" s="6"/>
      <c r="N2022" s="6" t="str">
        <f t="shared" ref="N2022:P2022" si="2025">IF(LEN($C2022)&gt;0,H2022-E2022,"")</f>
        <v/>
      </c>
      <c r="O2022" s="6" t="str">
        <f t="shared" si="2025"/>
        <v/>
      </c>
      <c r="P2022" s="6" t="str">
        <f t="shared" si="2025"/>
        <v/>
      </c>
      <c r="Q2022" s="6"/>
      <c r="R2022" s="6"/>
      <c r="S2022" s="6"/>
      <c r="T2022" s="6"/>
      <c r="U2022" s="6"/>
      <c r="V2022" s="6"/>
      <c r="W2022" s="6"/>
      <c r="X2022" s="6"/>
      <c r="Y2022" s="6"/>
      <c r="Z2022" s="6"/>
      <c r="AA2022" s="6"/>
      <c r="AB2022" s="6"/>
      <c r="AC2022" s="6"/>
      <c r="AD2022" s="6"/>
      <c r="AE2022" s="6"/>
      <c r="AF2022" s="6"/>
      <c r="AG2022" s="6"/>
    </row>
    <row r="2023" ht="14.25" customHeight="1">
      <c r="A2023" s="6"/>
      <c r="B2023" s="6"/>
      <c r="C2023" s="6"/>
      <c r="D2023" s="6"/>
      <c r="E2023" s="6"/>
      <c r="F2023" s="6"/>
      <c r="G2023" s="6"/>
      <c r="H2023" s="6"/>
      <c r="I2023" s="6"/>
      <c r="J2023" s="6"/>
      <c r="K2023" s="6"/>
      <c r="L2023" s="6"/>
      <c r="M2023" s="6"/>
      <c r="N2023" s="6" t="str">
        <f t="shared" ref="N2023:P2023" si="2026">IF(LEN($C2023)&gt;0,H2023-E2023,"")</f>
        <v/>
      </c>
      <c r="O2023" s="6" t="str">
        <f t="shared" si="2026"/>
        <v/>
      </c>
      <c r="P2023" s="6" t="str">
        <f t="shared" si="2026"/>
        <v/>
      </c>
      <c r="Q2023" s="6"/>
      <c r="R2023" s="6"/>
      <c r="S2023" s="6"/>
      <c r="T2023" s="6"/>
      <c r="U2023" s="6"/>
      <c r="V2023" s="6"/>
      <c r="W2023" s="6"/>
      <c r="X2023" s="6"/>
      <c r="Y2023" s="6"/>
      <c r="Z2023" s="6"/>
      <c r="AA2023" s="6"/>
      <c r="AB2023" s="6"/>
      <c r="AC2023" s="6"/>
      <c r="AD2023" s="6"/>
      <c r="AE2023" s="6"/>
      <c r="AF2023" s="6"/>
      <c r="AG2023" s="6"/>
    </row>
    <row r="2024" ht="14.25" customHeight="1">
      <c r="A2024" s="6"/>
      <c r="B2024" s="6"/>
      <c r="C2024" s="6"/>
      <c r="D2024" s="6"/>
      <c r="E2024" s="6"/>
      <c r="F2024" s="6"/>
      <c r="G2024" s="6"/>
      <c r="H2024" s="6"/>
      <c r="I2024" s="6"/>
      <c r="J2024" s="6"/>
      <c r="K2024" s="6"/>
      <c r="L2024" s="6"/>
      <c r="M2024" s="6"/>
      <c r="N2024" s="6" t="str">
        <f t="shared" ref="N2024:P2024" si="2027">IF(LEN($C2024)&gt;0,H2024-E2024,"")</f>
        <v/>
      </c>
      <c r="O2024" s="6" t="str">
        <f t="shared" si="2027"/>
        <v/>
      </c>
      <c r="P2024" s="6" t="str">
        <f t="shared" si="2027"/>
        <v/>
      </c>
      <c r="Q2024" s="6"/>
      <c r="R2024" s="6"/>
      <c r="S2024" s="6"/>
      <c r="T2024" s="6"/>
      <c r="U2024" s="6"/>
      <c r="V2024" s="6"/>
      <c r="W2024" s="6"/>
      <c r="X2024" s="6"/>
      <c r="Y2024" s="6"/>
      <c r="Z2024" s="6"/>
      <c r="AA2024" s="6"/>
      <c r="AB2024" s="6"/>
      <c r="AC2024" s="6"/>
      <c r="AD2024" s="6"/>
      <c r="AE2024" s="6"/>
      <c r="AF2024" s="6"/>
      <c r="AG2024" s="6"/>
    </row>
    <row r="2025" ht="14.25" customHeight="1">
      <c r="A2025" s="6"/>
      <c r="B2025" s="6"/>
      <c r="C2025" s="6"/>
      <c r="D2025" s="6"/>
      <c r="E2025" s="6"/>
      <c r="F2025" s="6"/>
      <c r="G2025" s="6"/>
      <c r="H2025" s="6"/>
      <c r="I2025" s="6"/>
      <c r="J2025" s="6"/>
      <c r="K2025" s="6"/>
      <c r="L2025" s="6"/>
      <c r="M2025" s="6"/>
      <c r="N2025" s="6" t="str">
        <f t="shared" ref="N2025:P2025" si="2028">IF(LEN($C2025)&gt;0,H2025-E2025,"")</f>
        <v/>
      </c>
      <c r="O2025" s="6" t="str">
        <f t="shared" si="2028"/>
        <v/>
      </c>
      <c r="P2025" s="6" t="str">
        <f t="shared" si="2028"/>
        <v/>
      </c>
      <c r="Q2025" s="6"/>
      <c r="R2025" s="6"/>
      <c r="S2025" s="6"/>
      <c r="T2025" s="6"/>
      <c r="U2025" s="6"/>
      <c r="V2025" s="6"/>
      <c r="W2025" s="6"/>
      <c r="X2025" s="6"/>
      <c r="Y2025" s="6"/>
      <c r="Z2025" s="6"/>
      <c r="AA2025" s="6"/>
      <c r="AB2025" s="6"/>
      <c r="AC2025" s="6"/>
      <c r="AD2025" s="6"/>
      <c r="AE2025" s="6"/>
      <c r="AF2025" s="6"/>
      <c r="AG2025" s="6"/>
    </row>
    <row r="2026" ht="14.25" customHeight="1">
      <c r="A2026" s="6"/>
      <c r="B2026" s="6"/>
      <c r="C2026" s="6"/>
      <c r="D2026" s="6"/>
      <c r="E2026" s="6"/>
      <c r="F2026" s="6"/>
      <c r="G2026" s="6"/>
      <c r="H2026" s="6"/>
      <c r="I2026" s="6"/>
      <c r="J2026" s="6"/>
      <c r="K2026" s="6"/>
      <c r="L2026" s="6"/>
      <c r="M2026" s="6"/>
      <c r="N2026" s="6" t="str">
        <f t="shared" ref="N2026:P2026" si="2029">IF(LEN($C2026)&gt;0,H2026-E2026,"")</f>
        <v/>
      </c>
      <c r="O2026" s="6" t="str">
        <f t="shared" si="2029"/>
        <v/>
      </c>
      <c r="P2026" s="6" t="str">
        <f t="shared" si="2029"/>
        <v/>
      </c>
      <c r="Q2026" s="6"/>
      <c r="R2026" s="6"/>
      <c r="S2026" s="6"/>
      <c r="T2026" s="6"/>
      <c r="U2026" s="6"/>
      <c r="V2026" s="6"/>
      <c r="W2026" s="6"/>
      <c r="X2026" s="6"/>
      <c r="Y2026" s="6"/>
      <c r="Z2026" s="6"/>
      <c r="AA2026" s="6"/>
      <c r="AB2026" s="6"/>
      <c r="AC2026" s="6"/>
      <c r="AD2026" s="6"/>
      <c r="AE2026" s="6"/>
      <c r="AF2026" s="6"/>
      <c r="AG2026" s="6"/>
    </row>
    <row r="2027" ht="14.25" customHeight="1">
      <c r="A2027" s="6"/>
      <c r="B2027" s="6"/>
      <c r="C2027" s="6"/>
      <c r="D2027" s="6"/>
      <c r="E2027" s="6"/>
      <c r="F2027" s="6"/>
      <c r="G2027" s="6"/>
      <c r="H2027" s="6"/>
      <c r="I2027" s="6"/>
      <c r="J2027" s="6"/>
      <c r="K2027" s="6"/>
      <c r="L2027" s="6"/>
      <c r="M2027" s="6"/>
      <c r="N2027" s="6" t="str">
        <f t="shared" ref="N2027:P2027" si="2030">IF(LEN($C2027)&gt;0,H2027-E2027,"")</f>
        <v/>
      </c>
      <c r="O2027" s="6" t="str">
        <f t="shared" si="2030"/>
        <v/>
      </c>
      <c r="P2027" s="6" t="str">
        <f t="shared" si="2030"/>
        <v/>
      </c>
      <c r="Q2027" s="6"/>
      <c r="R2027" s="6"/>
      <c r="S2027" s="6"/>
      <c r="T2027" s="6"/>
      <c r="U2027" s="6"/>
      <c r="V2027" s="6"/>
      <c r="W2027" s="6"/>
      <c r="X2027" s="6"/>
      <c r="Y2027" s="6"/>
      <c r="Z2027" s="6"/>
      <c r="AA2027" s="6"/>
      <c r="AB2027" s="6"/>
      <c r="AC2027" s="6"/>
      <c r="AD2027" s="6"/>
      <c r="AE2027" s="6"/>
      <c r="AF2027" s="6"/>
      <c r="AG2027" s="6"/>
    </row>
    <row r="2028" ht="14.25" customHeight="1">
      <c r="A2028" s="6"/>
      <c r="B2028" s="6"/>
      <c r="C2028" s="6"/>
      <c r="D2028" s="6"/>
      <c r="E2028" s="6"/>
      <c r="F2028" s="6"/>
      <c r="G2028" s="6"/>
      <c r="H2028" s="6"/>
      <c r="I2028" s="6"/>
      <c r="J2028" s="6"/>
      <c r="K2028" s="6"/>
      <c r="L2028" s="6"/>
      <c r="M2028" s="6"/>
      <c r="N2028" s="6" t="str">
        <f t="shared" ref="N2028:P2028" si="2031">IF(LEN($C2028)&gt;0,H2028-E2028,"")</f>
        <v/>
      </c>
      <c r="O2028" s="6" t="str">
        <f t="shared" si="2031"/>
        <v/>
      </c>
      <c r="P2028" s="6" t="str">
        <f t="shared" si="2031"/>
        <v/>
      </c>
      <c r="Q2028" s="6"/>
      <c r="R2028" s="6"/>
      <c r="S2028" s="6"/>
      <c r="T2028" s="6"/>
      <c r="U2028" s="6"/>
      <c r="V2028" s="6"/>
      <c r="W2028" s="6"/>
      <c r="X2028" s="6"/>
      <c r="Y2028" s="6"/>
      <c r="Z2028" s="6"/>
      <c r="AA2028" s="6"/>
      <c r="AB2028" s="6"/>
      <c r="AC2028" s="6"/>
      <c r="AD2028" s="6"/>
      <c r="AE2028" s="6"/>
      <c r="AF2028" s="6"/>
      <c r="AG2028" s="6"/>
    </row>
    <row r="2029" ht="14.25" customHeight="1">
      <c r="A2029" s="6"/>
      <c r="B2029" s="6"/>
      <c r="C2029" s="6"/>
      <c r="D2029" s="6"/>
      <c r="E2029" s="6"/>
      <c r="F2029" s="6"/>
      <c r="G2029" s="6"/>
      <c r="H2029" s="6"/>
      <c r="I2029" s="6"/>
      <c r="J2029" s="6"/>
      <c r="K2029" s="6"/>
      <c r="L2029" s="6"/>
      <c r="M2029" s="6"/>
      <c r="N2029" s="6" t="str">
        <f t="shared" ref="N2029:P2029" si="2032">IF(LEN($C2029)&gt;0,H2029-E2029,"")</f>
        <v/>
      </c>
      <c r="O2029" s="6" t="str">
        <f t="shared" si="2032"/>
        <v/>
      </c>
      <c r="P2029" s="6" t="str">
        <f t="shared" si="2032"/>
        <v/>
      </c>
      <c r="Q2029" s="6"/>
      <c r="R2029" s="6"/>
      <c r="S2029" s="6"/>
      <c r="T2029" s="6"/>
      <c r="U2029" s="6"/>
      <c r="V2029" s="6"/>
      <c r="W2029" s="6"/>
      <c r="X2029" s="6"/>
      <c r="Y2029" s="6"/>
      <c r="Z2029" s="6"/>
      <c r="AA2029" s="6"/>
      <c r="AB2029" s="6"/>
      <c r="AC2029" s="6"/>
      <c r="AD2029" s="6"/>
      <c r="AE2029" s="6"/>
      <c r="AF2029" s="6"/>
      <c r="AG2029" s="6"/>
    </row>
    <row r="2030" ht="14.25" customHeight="1">
      <c r="A2030" s="6"/>
      <c r="B2030" s="6"/>
      <c r="C2030" s="6"/>
      <c r="D2030" s="6"/>
      <c r="E2030" s="6"/>
      <c r="F2030" s="6"/>
      <c r="G2030" s="6"/>
      <c r="H2030" s="6"/>
      <c r="I2030" s="6"/>
      <c r="J2030" s="6"/>
      <c r="K2030" s="6"/>
      <c r="L2030" s="6"/>
      <c r="M2030" s="6"/>
      <c r="N2030" s="6" t="str">
        <f t="shared" ref="N2030:P2030" si="2033">IF(LEN($C2030)&gt;0,H2030-E2030,"")</f>
        <v/>
      </c>
      <c r="O2030" s="6" t="str">
        <f t="shared" si="2033"/>
        <v/>
      </c>
      <c r="P2030" s="6" t="str">
        <f t="shared" si="2033"/>
        <v/>
      </c>
      <c r="Q2030" s="6"/>
      <c r="R2030" s="6"/>
      <c r="S2030" s="6"/>
      <c r="T2030" s="6"/>
      <c r="U2030" s="6"/>
      <c r="V2030" s="6"/>
      <c r="W2030" s="6"/>
      <c r="X2030" s="6"/>
      <c r="Y2030" s="6"/>
      <c r="Z2030" s="6"/>
      <c r="AA2030" s="6"/>
      <c r="AB2030" s="6"/>
      <c r="AC2030" s="6"/>
      <c r="AD2030" s="6"/>
      <c r="AE2030" s="6"/>
      <c r="AF2030" s="6"/>
      <c r="AG2030" s="6"/>
    </row>
    <row r="2031" ht="14.25" customHeight="1">
      <c r="A2031" s="6"/>
      <c r="B2031" s="6"/>
      <c r="C2031" s="6"/>
      <c r="D2031" s="6"/>
      <c r="E2031" s="6"/>
      <c r="F2031" s="6"/>
      <c r="G2031" s="6"/>
      <c r="H2031" s="6"/>
      <c r="I2031" s="6"/>
      <c r="J2031" s="6"/>
      <c r="K2031" s="6"/>
      <c r="L2031" s="6"/>
      <c r="M2031" s="6"/>
      <c r="N2031" s="6" t="str">
        <f t="shared" ref="N2031:P2031" si="2034">IF(LEN($C2031)&gt;0,H2031-E2031,"")</f>
        <v/>
      </c>
      <c r="O2031" s="6" t="str">
        <f t="shared" si="2034"/>
        <v/>
      </c>
      <c r="P2031" s="6" t="str">
        <f t="shared" si="2034"/>
        <v/>
      </c>
      <c r="Q2031" s="6"/>
      <c r="R2031" s="6"/>
      <c r="S2031" s="6"/>
      <c r="T2031" s="6"/>
      <c r="U2031" s="6"/>
      <c r="V2031" s="6"/>
      <c r="W2031" s="6"/>
      <c r="X2031" s="6"/>
      <c r="Y2031" s="6"/>
      <c r="Z2031" s="6"/>
      <c r="AA2031" s="6"/>
      <c r="AB2031" s="6"/>
      <c r="AC2031" s="6"/>
      <c r="AD2031" s="6"/>
      <c r="AE2031" s="6"/>
      <c r="AF2031" s="6"/>
      <c r="AG2031" s="6"/>
    </row>
    <row r="2032" ht="14.25" customHeight="1">
      <c r="A2032" s="6"/>
      <c r="B2032" s="6"/>
      <c r="C2032" s="6"/>
      <c r="D2032" s="6"/>
      <c r="E2032" s="6"/>
      <c r="F2032" s="6"/>
      <c r="G2032" s="6"/>
      <c r="H2032" s="6"/>
      <c r="I2032" s="6"/>
      <c r="J2032" s="6"/>
      <c r="K2032" s="6"/>
      <c r="L2032" s="6"/>
      <c r="M2032" s="6"/>
      <c r="N2032" s="6" t="str">
        <f t="shared" ref="N2032:P2032" si="2035">IF(LEN($C2032)&gt;0,H2032-E2032,"")</f>
        <v/>
      </c>
      <c r="O2032" s="6" t="str">
        <f t="shared" si="2035"/>
        <v/>
      </c>
      <c r="P2032" s="6" t="str">
        <f t="shared" si="2035"/>
        <v/>
      </c>
      <c r="Q2032" s="6"/>
      <c r="R2032" s="6"/>
      <c r="S2032" s="6"/>
      <c r="T2032" s="6"/>
      <c r="U2032" s="6"/>
      <c r="V2032" s="6"/>
      <c r="W2032" s="6"/>
      <c r="X2032" s="6"/>
      <c r="Y2032" s="6"/>
      <c r="Z2032" s="6"/>
      <c r="AA2032" s="6"/>
      <c r="AB2032" s="6"/>
      <c r="AC2032" s="6"/>
      <c r="AD2032" s="6"/>
      <c r="AE2032" s="6"/>
      <c r="AF2032" s="6"/>
      <c r="AG2032" s="6"/>
    </row>
    <row r="2033" ht="14.25" customHeight="1">
      <c r="A2033" s="6"/>
      <c r="B2033" s="6"/>
      <c r="C2033" s="6"/>
      <c r="D2033" s="6"/>
      <c r="E2033" s="6"/>
      <c r="F2033" s="6"/>
      <c r="G2033" s="6"/>
      <c r="H2033" s="6"/>
      <c r="I2033" s="6"/>
      <c r="J2033" s="6"/>
      <c r="K2033" s="6"/>
      <c r="L2033" s="6"/>
      <c r="M2033" s="6"/>
      <c r="N2033" s="6" t="str">
        <f t="shared" ref="N2033:P2033" si="2036">IF(LEN($C2033)&gt;0,H2033-E2033,"")</f>
        <v/>
      </c>
      <c r="O2033" s="6" t="str">
        <f t="shared" si="2036"/>
        <v/>
      </c>
      <c r="P2033" s="6" t="str">
        <f t="shared" si="2036"/>
        <v/>
      </c>
      <c r="Q2033" s="6"/>
      <c r="R2033" s="6"/>
      <c r="S2033" s="6"/>
      <c r="T2033" s="6"/>
      <c r="U2033" s="6"/>
      <c r="V2033" s="6"/>
      <c r="W2033" s="6"/>
      <c r="X2033" s="6"/>
      <c r="Y2033" s="6"/>
      <c r="Z2033" s="6"/>
      <c r="AA2033" s="6"/>
      <c r="AB2033" s="6"/>
      <c r="AC2033" s="6"/>
      <c r="AD2033" s="6"/>
      <c r="AE2033" s="6"/>
      <c r="AF2033" s="6"/>
      <c r="AG2033" s="6"/>
    </row>
    <row r="2034" ht="14.25" customHeight="1">
      <c r="A2034" s="6"/>
      <c r="B2034" s="6"/>
      <c r="C2034" s="6"/>
      <c r="D2034" s="6"/>
      <c r="E2034" s="6"/>
      <c r="F2034" s="6"/>
      <c r="G2034" s="6"/>
      <c r="H2034" s="6"/>
      <c r="I2034" s="6"/>
      <c r="J2034" s="6"/>
      <c r="K2034" s="6"/>
      <c r="L2034" s="6"/>
      <c r="M2034" s="6"/>
      <c r="N2034" s="6" t="str">
        <f t="shared" ref="N2034:P2034" si="2037">IF(LEN($C2034)&gt;0,H2034-E2034,"")</f>
        <v/>
      </c>
      <c r="O2034" s="6" t="str">
        <f t="shared" si="2037"/>
        <v/>
      </c>
      <c r="P2034" s="6" t="str">
        <f t="shared" si="2037"/>
        <v/>
      </c>
      <c r="Q2034" s="6"/>
      <c r="R2034" s="6"/>
      <c r="S2034" s="6"/>
      <c r="T2034" s="6"/>
      <c r="U2034" s="6"/>
      <c r="V2034" s="6"/>
      <c r="W2034" s="6"/>
      <c r="X2034" s="6"/>
      <c r="Y2034" s="6"/>
      <c r="Z2034" s="6"/>
      <c r="AA2034" s="6"/>
      <c r="AB2034" s="6"/>
      <c r="AC2034" s="6"/>
      <c r="AD2034" s="6"/>
      <c r="AE2034" s="6"/>
      <c r="AF2034" s="6"/>
      <c r="AG2034" s="6"/>
    </row>
    <row r="2035" ht="14.25" customHeight="1">
      <c r="A2035" s="6"/>
      <c r="B2035" s="6"/>
      <c r="C2035" s="6"/>
      <c r="D2035" s="6"/>
      <c r="E2035" s="6"/>
      <c r="F2035" s="6"/>
      <c r="G2035" s="6"/>
      <c r="H2035" s="6"/>
      <c r="I2035" s="6"/>
      <c r="J2035" s="6"/>
      <c r="K2035" s="6"/>
      <c r="L2035" s="6"/>
      <c r="M2035" s="6"/>
      <c r="N2035" s="6" t="str">
        <f t="shared" ref="N2035:P2035" si="2038">IF(LEN($C2035)&gt;0,H2035-E2035,"")</f>
        <v/>
      </c>
      <c r="O2035" s="6" t="str">
        <f t="shared" si="2038"/>
        <v/>
      </c>
      <c r="P2035" s="6" t="str">
        <f t="shared" si="2038"/>
        <v/>
      </c>
      <c r="Q2035" s="6"/>
      <c r="R2035" s="6"/>
      <c r="S2035" s="6"/>
      <c r="T2035" s="6"/>
      <c r="U2035" s="6"/>
      <c r="V2035" s="6"/>
      <c r="W2035" s="6"/>
      <c r="X2035" s="6"/>
      <c r="Y2035" s="6"/>
      <c r="Z2035" s="6"/>
      <c r="AA2035" s="6"/>
      <c r="AB2035" s="6"/>
      <c r="AC2035" s="6"/>
      <c r="AD2035" s="6"/>
      <c r="AE2035" s="6"/>
      <c r="AF2035" s="6"/>
      <c r="AG2035" s="6"/>
    </row>
    <row r="2036" ht="14.25" customHeight="1">
      <c r="A2036" s="6"/>
      <c r="B2036" s="6"/>
      <c r="C2036" s="6"/>
      <c r="D2036" s="6"/>
      <c r="E2036" s="6"/>
      <c r="F2036" s="6"/>
      <c r="G2036" s="6"/>
      <c r="H2036" s="6"/>
      <c r="I2036" s="6"/>
      <c r="J2036" s="6"/>
      <c r="K2036" s="6"/>
      <c r="L2036" s="6"/>
      <c r="M2036" s="6"/>
      <c r="N2036" s="6" t="str">
        <f t="shared" ref="N2036:P2036" si="2039">IF(LEN($C2036)&gt;0,H2036-E2036,"")</f>
        <v/>
      </c>
      <c r="O2036" s="6" t="str">
        <f t="shared" si="2039"/>
        <v/>
      </c>
      <c r="P2036" s="6" t="str">
        <f t="shared" si="2039"/>
        <v/>
      </c>
      <c r="Q2036" s="6"/>
      <c r="R2036" s="6"/>
      <c r="S2036" s="6"/>
      <c r="T2036" s="6"/>
      <c r="U2036" s="6"/>
      <c r="V2036" s="6"/>
      <c r="W2036" s="6"/>
      <c r="X2036" s="6"/>
      <c r="Y2036" s="6"/>
      <c r="Z2036" s="6"/>
      <c r="AA2036" s="6"/>
      <c r="AB2036" s="6"/>
      <c r="AC2036" s="6"/>
      <c r="AD2036" s="6"/>
      <c r="AE2036" s="6"/>
      <c r="AF2036" s="6"/>
      <c r="AG2036" s="6"/>
    </row>
    <row r="2037" ht="14.25" customHeight="1">
      <c r="A2037" s="6"/>
      <c r="B2037" s="6"/>
      <c r="C2037" s="6"/>
      <c r="D2037" s="6"/>
      <c r="E2037" s="6"/>
      <c r="F2037" s="6"/>
      <c r="G2037" s="6"/>
      <c r="H2037" s="6"/>
      <c r="I2037" s="6"/>
      <c r="J2037" s="6"/>
      <c r="K2037" s="6"/>
      <c r="L2037" s="6"/>
      <c r="M2037" s="6"/>
      <c r="N2037" s="6" t="str">
        <f t="shared" ref="N2037:P2037" si="2040">IF(LEN($C2037)&gt;0,H2037-E2037,"")</f>
        <v/>
      </c>
      <c r="O2037" s="6" t="str">
        <f t="shared" si="2040"/>
        <v/>
      </c>
      <c r="P2037" s="6" t="str">
        <f t="shared" si="2040"/>
        <v/>
      </c>
      <c r="Q2037" s="6"/>
      <c r="R2037" s="6"/>
      <c r="S2037" s="6"/>
      <c r="T2037" s="6"/>
      <c r="U2037" s="6"/>
      <c r="V2037" s="6"/>
      <c r="W2037" s="6"/>
      <c r="X2037" s="6"/>
      <c r="Y2037" s="6"/>
      <c r="Z2037" s="6"/>
      <c r="AA2037" s="6"/>
      <c r="AB2037" s="6"/>
      <c r="AC2037" s="6"/>
      <c r="AD2037" s="6"/>
      <c r="AE2037" s="6"/>
      <c r="AF2037" s="6"/>
      <c r="AG2037" s="6"/>
    </row>
    <row r="2038" ht="14.25" customHeight="1">
      <c r="A2038" s="6"/>
      <c r="B2038" s="6"/>
      <c r="C2038" s="6"/>
      <c r="D2038" s="6"/>
      <c r="E2038" s="6"/>
      <c r="F2038" s="6"/>
      <c r="G2038" s="6"/>
      <c r="H2038" s="6"/>
      <c r="I2038" s="6"/>
      <c r="J2038" s="6"/>
      <c r="K2038" s="6"/>
      <c r="L2038" s="6"/>
      <c r="M2038" s="6"/>
      <c r="N2038" s="6" t="str">
        <f t="shared" ref="N2038:P2038" si="2041">IF(LEN($C2038)&gt;0,H2038-E2038,"")</f>
        <v/>
      </c>
      <c r="O2038" s="6" t="str">
        <f t="shared" si="2041"/>
        <v/>
      </c>
      <c r="P2038" s="6" t="str">
        <f t="shared" si="2041"/>
        <v/>
      </c>
      <c r="Q2038" s="6"/>
      <c r="R2038" s="6"/>
      <c r="S2038" s="6"/>
      <c r="T2038" s="6"/>
      <c r="U2038" s="6"/>
      <c r="V2038" s="6"/>
      <c r="W2038" s="6"/>
      <c r="X2038" s="6"/>
      <c r="Y2038" s="6"/>
      <c r="Z2038" s="6"/>
      <c r="AA2038" s="6"/>
      <c r="AB2038" s="6"/>
      <c r="AC2038" s="6"/>
      <c r="AD2038" s="6"/>
      <c r="AE2038" s="6"/>
      <c r="AF2038" s="6"/>
      <c r="AG2038" s="6"/>
    </row>
    <row r="2039" ht="14.25" customHeight="1">
      <c r="A2039" s="6"/>
      <c r="B2039" s="6"/>
      <c r="C2039" s="6"/>
      <c r="D2039" s="6"/>
      <c r="E2039" s="6"/>
      <c r="F2039" s="6"/>
      <c r="G2039" s="6"/>
      <c r="H2039" s="6"/>
      <c r="I2039" s="6"/>
      <c r="J2039" s="6"/>
      <c r="K2039" s="6"/>
      <c r="L2039" s="6"/>
      <c r="M2039" s="6"/>
      <c r="N2039" s="6" t="str">
        <f t="shared" ref="N2039:P2039" si="2042">IF(LEN($C2039)&gt;0,H2039-E2039,"")</f>
        <v/>
      </c>
      <c r="O2039" s="6" t="str">
        <f t="shared" si="2042"/>
        <v/>
      </c>
      <c r="P2039" s="6" t="str">
        <f t="shared" si="2042"/>
        <v/>
      </c>
      <c r="Q2039" s="6"/>
      <c r="R2039" s="6"/>
      <c r="S2039" s="6"/>
      <c r="T2039" s="6"/>
      <c r="U2039" s="6"/>
      <c r="V2039" s="6"/>
      <c r="W2039" s="6"/>
      <c r="X2039" s="6"/>
      <c r="Y2039" s="6"/>
      <c r="Z2039" s="6"/>
      <c r="AA2039" s="6"/>
      <c r="AB2039" s="6"/>
      <c r="AC2039" s="6"/>
      <c r="AD2039" s="6"/>
      <c r="AE2039" s="6"/>
      <c r="AF2039" s="6"/>
      <c r="AG2039" s="6"/>
    </row>
    <row r="2040" ht="14.25" customHeight="1">
      <c r="A2040" s="6"/>
      <c r="B2040" s="6"/>
      <c r="C2040" s="6"/>
      <c r="D2040" s="6"/>
      <c r="E2040" s="6"/>
      <c r="F2040" s="6"/>
      <c r="G2040" s="6"/>
      <c r="H2040" s="6"/>
      <c r="I2040" s="6"/>
      <c r="J2040" s="6"/>
      <c r="K2040" s="6"/>
      <c r="L2040" s="6"/>
      <c r="M2040" s="6"/>
      <c r="N2040" s="6" t="str">
        <f t="shared" ref="N2040:P2040" si="2043">IF(LEN($C2040)&gt;0,H2040-E2040,"")</f>
        <v/>
      </c>
      <c r="O2040" s="6" t="str">
        <f t="shared" si="2043"/>
        <v/>
      </c>
      <c r="P2040" s="6" t="str">
        <f t="shared" si="2043"/>
        <v/>
      </c>
      <c r="Q2040" s="6"/>
      <c r="R2040" s="6"/>
      <c r="S2040" s="6"/>
      <c r="T2040" s="6"/>
      <c r="U2040" s="6"/>
      <c r="V2040" s="6"/>
      <c r="W2040" s="6"/>
      <c r="X2040" s="6"/>
      <c r="Y2040" s="6"/>
      <c r="Z2040" s="6"/>
      <c r="AA2040" s="6"/>
      <c r="AB2040" s="6"/>
      <c r="AC2040" s="6"/>
      <c r="AD2040" s="6"/>
      <c r="AE2040" s="6"/>
      <c r="AF2040" s="6"/>
      <c r="AG2040" s="6"/>
    </row>
    <row r="2041" ht="14.25" customHeight="1">
      <c r="A2041" s="6"/>
      <c r="B2041" s="6"/>
      <c r="C2041" s="6"/>
      <c r="D2041" s="6"/>
      <c r="E2041" s="6"/>
      <c r="F2041" s="6"/>
      <c r="G2041" s="6"/>
      <c r="H2041" s="6"/>
      <c r="I2041" s="6"/>
      <c r="J2041" s="6"/>
      <c r="K2041" s="6"/>
      <c r="L2041" s="6"/>
      <c r="M2041" s="6"/>
      <c r="N2041" s="6" t="str">
        <f t="shared" ref="N2041:P2041" si="2044">IF(LEN($C2041)&gt;0,H2041-E2041,"")</f>
        <v/>
      </c>
      <c r="O2041" s="6" t="str">
        <f t="shared" si="2044"/>
        <v/>
      </c>
      <c r="P2041" s="6" t="str">
        <f t="shared" si="2044"/>
        <v/>
      </c>
      <c r="Q2041" s="6"/>
      <c r="R2041" s="6"/>
      <c r="S2041" s="6"/>
      <c r="T2041" s="6"/>
      <c r="U2041" s="6"/>
      <c r="V2041" s="6"/>
      <c r="W2041" s="6"/>
      <c r="X2041" s="6"/>
      <c r="Y2041" s="6"/>
      <c r="Z2041" s="6"/>
      <c r="AA2041" s="6"/>
      <c r="AB2041" s="6"/>
      <c r="AC2041" s="6"/>
      <c r="AD2041" s="6"/>
      <c r="AE2041" s="6"/>
      <c r="AF2041" s="6"/>
      <c r="AG2041" s="6"/>
    </row>
    <row r="2042" ht="14.25" customHeight="1">
      <c r="A2042" s="6"/>
      <c r="B2042" s="6"/>
      <c r="C2042" s="6"/>
      <c r="D2042" s="6"/>
      <c r="E2042" s="6"/>
      <c r="F2042" s="6"/>
      <c r="G2042" s="6"/>
      <c r="H2042" s="6"/>
      <c r="I2042" s="6"/>
      <c r="J2042" s="6"/>
      <c r="K2042" s="6"/>
      <c r="L2042" s="6"/>
      <c r="M2042" s="6"/>
      <c r="N2042" s="6" t="str">
        <f t="shared" ref="N2042:P2042" si="2045">IF(LEN($C2042)&gt;0,H2042-E2042,"")</f>
        <v/>
      </c>
      <c r="O2042" s="6" t="str">
        <f t="shared" si="2045"/>
        <v/>
      </c>
      <c r="P2042" s="6" t="str">
        <f t="shared" si="2045"/>
        <v/>
      </c>
      <c r="Q2042" s="6"/>
      <c r="R2042" s="6"/>
      <c r="S2042" s="6"/>
      <c r="T2042" s="6"/>
      <c r="U2042" s="6"/>
      <c r="V2042" s="6"/>
      <c r="W2042" s="6"/>
      <c r="X2042" s="6"/>
      <c r="Y2042" s="6"/>
      <c r="Z2042" s="6"/>
      <c r="AA2042" s="6"/>
      <c r="AB2042" s="6"/>
      <c r="AC2042" s="6"/>
      <c r="AD2042" s="6"/>
      <c r="AE2042" s="6"/>
      <c r="AF2042" s="6"/>
      <c r="AG2042" s="6"/>
    </row>
    <row r="2043" ht="14.25" customHeight="1">
      <c r="A2043" s="6"/>
      <c r="B2043" s="6"/>
      <c r="C2043" s="6"/>
      <c r="D2043" s="6"/>
      <c r="E2043" s="6"/>
      <c r="F2043" s="6"/>
      <c r="G2043" s="6"/>
      <c r="H2043" s="6"/>
      <c r="I2043" s="6"/>
      <c r="J2043" s="6"/>
      <c r="K2043" s="6"/>
      <c r="L2043" s="6"/>
      <c r="M2043" s="6"/>
      <c r="N2043" s="6" t="str">
        <f t="shared" ref="N2043:P2043" si="2046">IF(LEN($C2043)&gt;0,H2043-E2043,"")</f>
        <v/>
      </c>
      <c r="O2043" s="6" t="str">
        <f t="shared" si="2046"/>
        <v/>
      </c>
      <c r="P2043" s="6" t="str">
        <f t="shared" si="2046"/>
        <v/>
      </c>
      <c r="Q2043" s="6"/>
      <c r="R2043" s="6"/>
      <c r="S2043" s="6"/>
      <c r="T2043" s="6"/>
      <c r="U2043" s="6"/>
      <c r="V2043" s="6"/>
      <c r="W2043" s="6"/>
      <c r="X2043" s="6"/>
      <c r="Y2043" s="6"/>
      <c r="Z2043" s="6"/>
      <c r="AA2043" s="6"/>
      <c r="AB2043" s="6"/>
      <c r="AC2043" s="6"/>
      <c r="AD2043" s="6"/>
      <c r="AE2043" s="6"/>
      <c r="AF2043" s="6"/>
      <c r="AG2043" s="6"/>
    </row>
    <row r="2044" ht="14.25" customHeight="1">
      <c r="A2044" s="6"/>
      <c r="B2044" s="6"/>
      <c r="C2044" s="6"/>
      <c r="D2044" s="6"/>
      <c r="E2044" s="6"/>
      <c r="F2044" s="6"/>
      <c r="G2044" s="6"/>
      <c r="H2044" s="6"/>
      <c r="I2044" s="6"/>
      <c r="J2044" s="6"/>
      <c r="K2044" s="6"/>
      <c r="L2044" s="6"/>
      <c r="M2044" s="6"/>
      <c r="N2044" s="6" t="str">
        <f t="shared" ref="N2044:P2044" si="2047">IF(LEN($C2044)&gt;0,H2044-E2044,"")</f>
        <v/>
      </c>
      <c r="O2044" s="6" t="str">
        <f t="shared" si="2047"/>
        <v/>
      </c>
      <c r="P2044" s="6" t="str">
        <f t="shared" si="2047"/>
        <v/>
      </c>
      <c r="Q2044" s="6"/>
      <c r="R2044" s="6"/>
      <c r="S2044" s="6"/>
      <c r="T2044" s="6"/>
      <c r="U2044" s="6"/>
      <c r="V2044" s="6"/>
      <c r="W2044" s="6"/>
      <c r="X2044" s="6"/>
      <c r="Y2044" s="6"/>
      <c r="Z2044" s="6"/>
      <c r="AA2044" s="6"/>
      <c r="AB2044" s="6"/>
      <c r="AC2044" s="6"/>
      <c r="AD2044" s="6"/>
      <c r="AE2044" s="6"/>
      <c r="AF2044" s="6"/>
      <c r="AG2044" s="6"/>
    </row>
    <row r="2045" ht="14.25" customHeight="1">
      <c r="A2045" s="6"/>
      <c r="B2045" s="6"/>
      <c r="C2045" s="6"/>
      <c r="D2045" s="6"/>
      <c r="E2045" s="6"/>
      <c r="F2045" s="6"/>
      <c r="G2045" s="6"/>
      <c r="H2045" s="6"/>
      <c r="I2045" s="6"/>
      <c r="J2045" s="6"/>
      <c r="K2045" s="6"/>
      <c r="L2045" s="6"/>
      <c r="M2045" s="6"/>
      <c r="N2045" s="6" t="str">
        <f t="shared" ref="N2045:P2045" si="2048">IF(LEN($C2045)&gt;0,H2045-E2045,"")</f>
        <v/>
      </c>
      <c r="O2045" s="6" t="str">
        <f t="shared" si="2048"/>
        <v/>
      </c>
      <c r="P2045" s="6" t="str">
        <f t="shared" si="2048"/>
        <v/>
      </c>
      <c r="Q2045" s="6"/>
      <c r="R2045" s="6"/>
      <c r="S2045" s="6"/>
      <c r="T2045" s="6"/>
      <c r="U2045" s="6"/>
      <c r="V2045" s="6"/>
      <c r="W2045" s="6"/>
      <c r="X2045" s="6"/>
      <c r="Y2045" s="6"/>
      <c r="Z2045" s="6"/>
      <c r="AA2045" s="6"/>
      <c r="AB2045" s="6"/>
      <c r="AC2045" s="6"/>
      <c r="AD2045" s="6"/>
      <c r="AE2045" s="6"/>
      <c r="AF2045" s="6"/>
      <c r="AG2045" s="6"/>
    </row>
    <row r="2046" ht="14.25" customHeight="1">
      <c r="A2046" s="6"/>
      <c r="B2046" s="6"/>
      <c r="C2046" s="6"/>
      <c r="D2046" s="6"/>
      <c r="E2046" s="6"/>
      <c r="F2046" s="6"/>
      <c r="G2046" s="6"/>
      <c r="H2046" s="6"/>
      <c r="I2046" s="6"/>
      <c r="J2046" s="6"/>
      <c r="K2046" s="6"/>
      <c r="L2046" s="6"/>
      <c r="M2046" s="6"/>
      <c r="N2046" s="6" t="str">
        <f t="shared" ref="N2046:P2046" si="2049">IF(LEN($C2046)&gt;0,H2046-E2046,"")</f>
        <v/>
      </c>
      <c r="O2046" s="6" t="str">
        <f t="shared" si="2049"/>
        <v/>
      </c>
      <c r="P2046" s="6" t="str">
        <f t="shared" si="2049"/>
        <v/>
      </c>
      <c r="Q2046" s="6"/>
      <c r="R2046" s="6"/>
      <c r="S2046" s="6"/>
      <c r="T2046" s="6"/>
      <c r="U2046" s="6"/>
      <c r="V2046" s="6"/>
      <c r="W2046" s="6"/>
      <c r="X2046" s="6"/>
      <c r="Y2046" s="6"/>
      <c r="Z2046" s="6"/>
      <c r="AA2046" s="6"/>
      <c r="AB2046" s="6"/>
      <c r="AC2046" s="6"/>
      <c r="AD2046" s="6"/>
      <c r="AE2046" s="6"/>
      <c r="AF2046" s="6"/>
      <c r="AG2046" s="6"/>
    </row>
    <row r="2047" ht="14.25" customHeight="1">
      <c r="A2047" s="6"/>
      <c r="B2047" s="6"/>
      <c r="C2047" s="6"/>
      <c r="D2047" s="6"/>
      <c r="E2047" s="6"/>
      <c r="F2047" s="6"/>
      <c r="G2047" s="6"/>
      <c r="H2047" s="6"/>
      <c r="I2047" s="6"/>
      <c r="J2047" s="6"/>
      <c r="K2047" s="6"/>
      <c r="L2047" s="6"/>
      <c r="M2047" s="6"/>
      <c r="N2047" s="6" t="str">
        <f t="shared" ref="N2047:P2047" si="2050">IF(LEN($C2047)&gt;0,H2047-E2047,"")</f>
        <v/>
      </c>
      <c r="O2047" s="6" t="str">
        <f t="shared" si="2050"/>
        <v/>
      </c>
      <c r="P2047" s="6" t="str">
        <f t="shared" si="2050"/>
        <v/>
      </c>
      <c r="Q2047" s="6"/>
      <c r="R2047" s="6"/>
      <c r="S2047" s="6"/>
      <c r="T2047" s="6"/>
      <c r="U2047" s="6"/>
      <c r="V2047" s="6"/>
      <c r="W2047" s="6"/>
      <c r="X2047" s="6"/>
      <c r="Y2047" s="6"/>
      <c r="Z2047" s="6"/>
      <c r="AA2047" s="6"/>
      <c r="AB2047" s="6"/>
      <c r="AC2047" s="6"/>
      <c r="AD2047" s="6"/>
      <c r="AE2047" s="6"/>
      <c r="AF2047" s="6"/>
      <c r="AG2047" s="6"/>
    </row>
    <row r="2048" ht="14.25" customHeight="1">
      <c r="A2048" s="6"/>
      <c r="B2048" s="6"/>
      <c r="C2048" s="6"/>
      <c r="D2048" s="6"/>
      <c r="E2048" s="6"/>
      <c r="F2048" s="6"/>
      <c r="G2048" s="6"/>
      <c r="H2048" s="6"/>
      <c r="I2048" s="6"/>
      <c r="J2048" s="6"/>
      <c r="K2048" s="6"/>
      <c r="L2048" s="6"/>
      <c r="M2048" s="6"/>
      <c r="N2048" s="6" t="str">
        <f t="shared" ref="N2048:P2048" si="2051">IF(LEN($C2048)&gt;0,H2048-E2048,"")</f>
        <v/>
      </c>
      <c r="O2048" s="6" t="str">
        <f t="shared" si="2051"/>
        <v/>
      </c>
      <c r="P2048" s="6" t="str">
        <f t="shared" si="2051"/>
        <v/>
      </c>
      <c r="Q2048" s="6"/>
      <c r="R2048" s="6"/>
      <c r="S2048" s="6"/>
      <c r="T2048" s="6"/>
      <c r="U2048" s="6"/>
      <c r="V2048" s="6"/>
      <c r="W2048" s="6"/>
      <c r="X2048" s="6"/>
      <c r="Y2048" s="6"/>
      <c r="Z2048" s="6"/>
      <c r="AA2048" s="6"/>
      <c r="AB2048" s="6"/>
      <c r="AC2048" s="6"/>
      <c r="AD2048" s="6"/>
      <c r="AE2048" s="6"/>
      <c r="AF2048" s="6"/>
      <c r="AG2048" s="6"/>
    </row>
    <row r="2049" ht="14.25" customHeight="1">
      <c r="A2049" s="6"/>
      <c r="B2049" s="6"/>
      <c r="C2049" s="6"/>
      <c r="D2049" s="6"/>
      <c r="E2049" s="6"/>
      <c r="F2049" s="6"/>
      <c r="G2049" s="6"/>
      <c r="H2049" s="6"/>
      <c r="I2049" s="6"/>
      <c r="J2049" s="6"/>
      <c r="K2049" s="6"/>
      <c r="L2049" s="6"/>
      <c r="M2049" s="6"/>
      <c r="N2049" s="6" t="str">
        <f t="shared" ref="N2049:P2049" si="2052">IF(LEN($C2049)&gt;0,H2049-E2049,"")</f>
        <v/>
      </c>
      <c r="O2049" s="6" t="str">
        <f t="shared" si="2052"/>
        <v/>
      </c>
      <c r="P2049" s="6" t="str">
        <f t="shared" si="2052"/>
        <v/>
      </c>
      <c r="Q2049" s="6"/>
      <c r="R2049" s="6"/>
      <c r="S2049" s="6"/>
      <c r="T2049" s="6"/>
      <c r="U2049" s="6"/>
      <c r="V2049" s="6"/>
      <c r="W2049" s="6"/>
      <c r="X2049" s="6"/>
      <c r="Y2049" s="6"/>
      <c r="Z2049" s="6"/>
      <c r="AA2049" s="6"/>
      <c r="AB2049" s="6"/>
      <c r="AC2049" s="6"/>
      <c r="AD2049" s="6"/>
      <c r="AE2049" s="6"/>
      <c r="AF2049" s="6"/>
      <c r="AG2049" s="6"/>
    </row>
    <row r="2050" ht="14.25" customHeight="1">
      <c r="A2050" s="6"/>
      <c r="B2050" s="6"/>
      <c r="C2050" s="6"/>
      <c r="D2050" s="6"/>
      <c r="E2050" s="6"/>
      <c r="F2050" s="6"/>
      <c r="G2050" s="6"/>
      <c r="H2050" s="6"/>
      <c r="I2050" s="6"/>
      <c r="J2050" s="6"/>
      <c r="K2050" s="6"/>
      <c r="L2050" s="6"/>
      <c r="M2050" s="6"/>
      <c r="N2050" s="6" t="str">
        <f t="shared" ref="N2050:P2050" si="2053">IF(LEN($C2050)&gt;0,H2050-E2050,"")</f>
        <v/>
      </c>
      <c r="O2050" s="6" t="str">
        <f t="shared" si="2053"/>
        <v/>
      </c>
      <c r="P2050" s="6" t="str">
        <f t="shared" si="2053"/>
        <v/>
      </c>
      <c r="Q2050" s="6"/>
      <c r="R2050" s="6"/>
      <c r="S2050" s="6"/>
      <c r="T2050" s="6"/>
      <c r="U2050" s="6"/>
      <c r="V2050" s="6"/>
      <c r="W2050" s="6"/>
      <c r="X2050" s="6"/>
      <c r="Y2050" s="6"/>
      <c r="Z2050" s="6"/>
      <c r="AA2050" s="6"/>
      <c r="AB2050" s="6"/>
      <c r="AC2050" s="6"/>
      <c r="AD2050" s="6"/>
      <c r="AE2050" s="6"/>
      <c r="AF2050" s="6"/>
      <c r="AG2050" s="6"/>
    </row>
    <row r="2051" ht="14.25" customHeight="1">
      <c r="A2051" s="6"/>
      <c r="B2051" s="6"/>
      <c r="C2051" s="6"/>
      <c r="D2051" s="6"/>
      <c r="E2051" s="6"/>
      <c r="F2051" s="6"/>
      <c r="G2051" s="6"/>
      <c r="H2051" s="6"/>
      <c r="I2051" s="6"/>
      <c r="J2051" s="6"/>
      <c r="K2051" s="6"/>
      <c r="L2051" s="6"/>
      <c r="M2051" s="6"/>
      <c r="N2051" s="6" t="str">
        <f t="shared" ref="N2051:P2051" si="2054">IF(LEN($C2051)&gt;0,H2051-E2051,"")</f>
        <v/>
      </c>
      <c r="O2051" s="6" t="str">
        <f t="shared" si="2054"/>
        <v/>
      </c>
      <c r="P2051" s="6" t="str">
        <f t="shared" si="2054"/>
        <v/>
      </c>
      <c r="Q2051" s="6"/>
      <c r="R2051" s="6"/>
      <c r="S2051" s="6"/>
      <c r="T2051" s="6"/>
      <c r="U2051" s="6"/>
      <c r="V2051" s="6"/>
      <c r="W2051" s="6"/>
      <c r="X2051" s="6"/>
      <c r="Y2051" s="6"/>
      <c r="Z2051" s="6"/>
      <c r="AA2051" s="6"/>
      <c r="AB2051" s="6"/>
      <c r="AC2051" s="6"/>
      <c r="AD2051" s="6"/>
      <c r="AE2051" s="6"/>
      <c r="AF2051" s="6"/>
      <c r="AG2051" s="6"/>
    </row>
    <row r="2052" ht="14.25" customHeight="1">
      <c r="A2052" s="6"/>
      <c r="B2052" s="6"/>
      <c r="C2052" s="6"/>
      <c r="D2052" s="6"/>
      <c r="E2052" s="6"/>
      <c r="F2052" s="6"/>
      <c r="G2052" s="6"/>
      <c r="H2052" s="6"/>
      <c r="I2052" s="6"/>
      <c r="J2052" s="6"/>
      <c r="K2052" s="6"/>
      <c r="L2052" s="6"/>
      <c r="M2052" s="6"/>
      <c r="N2052" s="6" t="str">
        <f t="shared" ref="N2052:P2052" si="2055">IF(LEN($C2052)&gt;0,H2052-E2052,"")</f>
        <v/>
      </c>
      <c r="O2052" s="6" t="str">
        <f t="shared" si="2055"/>
        <v/>
      </c>
      <c r="P2052" s="6" t="str">
        <f t="shared" si="2055"/>
        <v/>
      </c>
      <c r="Q2052" s="6"/>
      <c r="R2052" s="6"/>
      <c r="S2052" s="6"/>
      <c r="T2052" s="6"/>
      <c r="U2052" s="6"/>
      <c r="V2052" s="6"/>
      <c r="W2052" s="6"/>
      <c r="X2052" s="6"/>
      <c r="Y2052" s="6"/>
      <c r="Z2052" s="6"/>
      <c r="AA2052" s="6"/>
      <c r="AB2052" s="6"/>
      <c r="AC2052" s="6"/>
      <c r="AD2052" s="6"/>
      <c r="AE2052" s="6"/>
      <c r="AF2052" s="6"/>
      <c r="AG2052" s="6"/>
    </row>
    <row r="2053" ht="14.25" customHeight="1">
      <c r="A2053" s="6"/>
      <c r="B2053" s="6"/>
      <c r="C2053" s="6"/>
      <c r="D2053" s="6"/>
      <c r="E2053" s="6"/>
      <c r="F2053" s="6"/>
      <c r="G2053" s="6"/>
      <c r="H2053" s="6"/>
      <c r="I2053" s="6"/>
      <c r="J2053" s="6"/>
      <c r="K2053" s="6"/>
      <c r="L2053" s="6"/>
      <c r="M2053" s="6"/>
      <c r="N2053" s="6" t="str">
        <f t="shared" ref="N2053:P2053" si="2056">IF(LEN($C2053)&gt;0,H2053-E2053,"")</f>
        <v/>
      </c>
      <c r="O2053" s="6" t="str">
        <f t="shared" si="2056"/>
        <v/>
      </c>
      <c r="P2053" s="6" t="str">
        <f t="shared" si="2056"/>
        <v/>
      </c>
      <c r="Q2053" s="6"/>
      <c r="R2053" s="6"/>
      <c r="S2053" s="6"/>
      <c r="T2053" s="6"/>
      <c r="U2053" s="6"/>
      <c r="V2053" s="6"/>
      <c r="W2053" s="6"/>
      <c r="X2053" s="6"/>
      <c r="Y2053" s="6"/>
      <c r="Z2053" s="6"/>
      <c r="AA2053" s="6"/>
      <c r="AB2053" s="6"/>
      <c r="AC2053" s="6"/>
      <c r="AD2053" s="6"/>
      <c r="AE2053" s="6"/>
      <c r="AF2053" s="6"/>
      <c r="AG2053" s="6"/>
    </row>
    <row r="2054" ht="14.25" customHeight="1">
      <c r="A2054" s="6"/>
      <c r="B2054" s="6"/>
      <c r="C2054" s="6"/>
      <c r="D2054" s="6"/>
      <c r="E2054" s="6"/>
      <c r="F2054" s="6"/>
      <c r="G2054" s="6"/>
      <c r="H2054" s="6"/>
      <c r="I2054" s="6"/>
      <c r="J2054" s="6"/>
      <c r="K2054" s="6"/>
      <c r="L2054" s="6"/>
      <c r="M2054" s="6"/>
      <c r="N2054" s="6" t="str">
        <f t="shared" ref="N2054:P2054" si="2057">IF(LEN($C2054)&gt;0,H2054-E2054,"")</f>
        <v/>
      </c>
      <c r="O2054" s="6" t="str">
        <f t="shared" si="2057"/>
        <v/>
      </c>
      <c r="P2054" s="6" t="str">
        <f t="shared" si="2057"/>
        <v/>
      </c>
      <c r="Q2054" s="6"/>
      <c r="R2054" s="6"/>
      <c r="S2054" s="6"/>
      <c r="T2054" s="6"/>
      <c r="U2054" s="6"/>
      <c r="V2054" s="6"/>
      <c r="W2054" s="6"/>
      <c r="X2054" s="6"/>
      <c r="Y2054" s="6"/>
      <c r="Z2054" s="6"/>
      <c r="AA2054" s="6"/>
      <c r="AB2054" s="6"/>
      <c r="AC2054" s="6"/>
      <c r="AD2054" s="6"/>
      <c r="AE2054" s="6"/>
      <c r="AF2054" s="6"/>
      <c r="AG2054" s="6"/>
    </row>
    <row r="2055" ht="14.25" customHeight="1">
      <c r="A2055" s="6"/>
      <c r="B2055" s="6"/>
      <c r="C2055" s="6"/>
      <c r="D2055" s="6"/>
      <c r="E2055" s="6"/>
      <c r="F2055" s="6"/>
      <c r="G2055" s="6"/>
      <c r="H2055" s="6"/>
      <c r="I2055" s="6"/>
      <c r="J2055" s="6"/>
      <c r="K2055" s="6"/>
      <c r="L2055" s="6"/>
      <c r="M2055" s="6"/>
      <c r="N2055" s="6" t="str">
        <f t="shared" ref="N2055:P2055" si="2058">IF(LEN($C2055)&gt;0,H2055-E2055,"")</f>
        <v/>
      </c>
      <c r="O2055" s="6" t="str">
        <f t="shared" si="2058"/>
        <v/>
      </c>
      <c r="P2055" s="6" t="str">
        <f t="shared" si="2058"/>
        <v/>
      </c>
      <c r="Q2055" s="6"/>
      <c r="R2055" s="6"/>
      <c r="S2055" s="6"/>
      <c r="T2055" s="6"/>
      <c r="U2055" s="6"/>
      <c r="V2055" s="6"/>
      <c r="W2055" s="6"/>
      <c r="X2055" s="6"/>
      <c r="Y2055" s="6"/>
      <c r="Z2055" s="6"/>
      <c r="AA2055" s="6"/>
      <c r="AB2055" s="6"/>
      <c r="AC2055" s="6"/>
      <c r="AD2055" s="6"/>
      <c r="AE2055" s="6"/>
      <c r="AF2055" s="6"/>
      <c r="AG2055" s="6"/>
    </row>
    <row r="2056" ht="14.25" customHeight="1">
      <c r="A2056" s="6"/>
      <c r="B2056" s="6"/>
      <c r="C2056" s="6"/>
      <c r="D2056" s="6"/>
      <c r="E2056" s="6"/>
      <c r="F2056" s="6"/>
      <c r="G2056" s="6"/>
      <c r="H2056" s="6"/>
      <c r="I2056" s="6"/>
      <c r="J2056" s="6"/>
      <c r="K2056" s="6"/>
      <c r="L2056" s="6"/>
      <c r="M2056" s="6"/>
      <c r="N2056" s="6" t="str">
        <f t="shared" ref="N2056:P2056" si="2059">IF(LEN($C2056)&gt;0,H2056-E2056,"")</f>
        <v/>
      </c>
      <c r="O2056" s="6" t="str">
        <f t="shared" si="2059"/>
        <v/>
      </c>
      <c r="P2056" s="6" t="str">
        <f t="shared" si="2059"/>
        <v/>
      </c>
      <c r="Q2056" s="6"/>
      <c r="R2056" s="6"/>
      <c r="S2056" s="6"/>
      <c r="T2056" s="6"/>
      <c r="U2056" s="6"/>
      <c r="V2056" s="6"/>
      <c r="W2056" s="6"/>
      <c r="X2056" s="6"/>
      <c r="Y2056" s="6"/>
      <c r="Z2056" s="6"/>
      <c r="AA2056" s="6"/>
      <c r="AB2056" s="6"/>
      <c r="AC2056" s="6"/>
      <c r="AD2056" s="6"/>
      <c r="AE2056" s="6"/>
      <c r="AF2056" s="6"/>
      <c r="AG2056" s="6"/>
    </row>
    <row r="2057" ht="14.25" customHeight="1">
      <c r="A2057" s="6"/>
      <c r="B2057" s="6"/>
      <c r="C2057" s="6"/>
      <c r="D2057" s="6"/>
      <c r="E2057" s="6"/>
      <c r="F2057" s="6"/>
      <c r="G2057" s="6"/>
      <c r="H2057" s="6"/>
      <c r="I2057" s="6"/>
      <c r="J2057" s="6"/>
      <c r="K2057" s="6"/>
      <c r="L2057" s="6"/>
      <c r="M2057" s="6"/>
      <c r="N2057" s="6" t="str">
        <f t="shared" ref="N2057:P2057" si="2060">IF(LEN($C2057)&gt;0,H2057-E2057,"")</f>
        <v/>
      </c>
      <c r="O2057" s="6" t="str">
        <f t="shared" si="2060"/>
        <v/>
      </c>
      <c r="P2057" s="6" t="str">
        <f t="shared" si="2060"/>
        <v/>
      </c>
      <c r="Q2057" s="6"/>
      <c r="R2057" s="6"/>
      <c r="S2057" s="6"/>
      <c r="T2057" s="6"/>
      <c r="U2057" s="6"/>
      <c r="V2057" s="6"/>
      <c r="W2057" s="6"/>
      <c r="X2057" s="6"/>
      <c r="Y2057" s="6"/>
      <c r="Z2057" s="6"/>
      <c r="AA2057" s="6"/>
      <c r="AB2057" s="6"/>
      <c r="AC2057" s="6"/>
      <c r="AD2057" s="6"/>
      <c r="AE2057" s="6"/>
      <c r="AF2057" s="6"/>
      <c r="AG2057" s="6"/>
    </row>
    <row r="2058" ht="14.25" customHeight="1">
      <c r="A2058" s="6"/>
      <c r="B2058" s="6"/>
      <c r="C2058" s="6"/>
      <c r="D2058" s="6"/>
      <c r="E2058" s="6"/>
      <c r="F2058" s="6"/>
      <c r="G2058" s="6"/>
      <c r="H2058" s="6"/>
      <c r="I2058" s="6"/>
      <c r="J2058" s="6"/>
      <c r="K2058" s="6"/>
      <c r="L2058" s="6"/>
      <c r="M2058" s="6"/>
      <c r="N2058" s="6" t="str">
        <f t="shared" ref="N2058:P2058" si="2061">IF(LEN($C2058)&gt;0,H2058-E2058,"")</f>
        <v/>
      </c>
      <c r="O2058" s="6" t="str">
        <f t="shared" si="2061"/>
        <v/>
      </c>
      <c r="P2058" s="6" t="str">
        <f t="shared" si="2061"/>
        <v/>
      </c>
      <c r="Q2058" s="6"/>
      <c r="R2058" s="6"/>
      <c r="S2058" s="6"/>
      <c r="T2058" s="6"/>
      <c r="U2058" s="6"/>
      <c r="V2058" s="6"/>
      <c r="W2058" s="6"/>
      <c r="X2058" s="6"/>
      <c r="Y2058" s="6"/>
      <c r="Z2058" s="6"/>
      <c r="AA2058" s="6"/>
      <c r="AB2058" s="6"/>
      <c r="AC2058" s="6"/>
      <c r="AD2058" s="6"/>
      <c r="AE2058" s="6"/>
      <c r="AF2058" s="6"/>
      <c r="AG2058" s="6"/>
    </row>
    <row r="2059" ht="14.25" customHeight="1">
      <c r="A2059" s="6"/>
      <c r="B2059" s="6"/>
      <c r="C2059" s="6"/>
      <c r="D2059" s="6"/>
      <c r="E2059" s="6"/>
      <c r="F2059" s="6"/>
      <c r="G2059" s="6"/>
      <c r="H2059" s="6"/>
      <c r="I2059" s="6"/>
      <c r="J2059" s="6"/>
      <c r="K2059" s="6"/>
      <c r="L2059" s="6"/>
      <c r="M2059" s="6"/>
      <c r="N2059" s="6" t="str">
        <f t="shared" ref="N2059:P2059" si="2062">IF(LEN($C2059)&gt;0,H2059-E2059,"")</f>
        <v/>
      </c>
      <c r="O2059" s="6" t="str">
        <f t="shared" si="2062"/>
        <v/>
      </c>
      <c r="P2059" s="6" t="str">
        <f t="shared" si="2062"/>
        <v/>
      </c>
      <c r="Q2059" s="6"/>
      <c r="R2059" s="6"/>
      <c r="S2059" s="6"/>
      <c r="T2059" s="6"/>
      <c r="U2059" s="6"/>
      <c r="V2059" s="6"/>
      <c r="W2059" s="6"/>
      <c r="X2059" s="6"/>
      <c r="Y2059" s="6"/>
      <c r="Z2059" s="6"/>
      <c r="AA2059" s="6"/>
      <c r="AB2059" s="6"/>
      <c r="AC2059" s="6"/>
      <c r="AD2059" s="6"/>
      <c r="AE2059" s="6"/>
      <c r="AF2059" s="6"/>
      <c r="AG2059" s="6"/>
    </row>
    <row r="2060" ht="14.25" customHeight="1">
      <c r="A2060" s="6"/>
      <c r="B2060" s="6"/>
      <c r="C2060" s="6"/>
      <c r="D2060" s="6"/>
      <c r="E2060" s="6"/>
      <c r="F2060" s="6"/>
      <c r="G2060" s="6"/>
      <c r="H2060" s="6"/>
      <c r="I2060" s="6"/>
      <c r="J2060" s="6"/>
      <c r="K2060" s="6"/>
      <c r="L2060" s="6"/>
      <c r="M2060" s="6"/>
      <c r="N2060" s="6" t="str">
        <f t="shared" ref="N2060:P2060" si="2063">IF(LEN($C2060)&gt;0,H2060-E2060,"")</f>
        <v/>
      </c>
      <c r="O2060" s="6" t="str">
        <f t="shared" si="2063"/>
        <v/>
      </c>
      <c r="P2060" s="6" t="str">
        <f t="shared" si="2063"/>
        <v/>
      </c>
      <c r="Q2060" s="6"/>
      <c r="R2060" s="6"/>
      <c r="S2060" s="6"/>
      <c r="T2060" s="6"/>
      <c r="U2060" s="6"/>
      <c r="V2060" s="6"/>
      <c r="W2060" s="6"/>
      <c r="X2060" s="6"/>
      <c r="Y2060" s="6"/>
      <c r="Z2060" s="6"/>
      <c r="AA2060" s="6"/>
      <c r="AB2060" s="6"/>
      <c r="AC2060" s="6"/>
      <c r="AD2060" s="6"/>
      <c r="AE2060" s="6"/>
      <c r="AF2060" s="6"/>
      <c r="AG2060" s="6"/>
    </row>
    <row r="2061" ht="14.25" customHeight="1">
      <c r="A2061" s="6"/>
      <c r="B2061" s="6"/>
      <c r="C2061" s="6"/>
      <c r="D2061" s="6"/>
      <c r="E2061" s="6"/>
      <c r="F2061" s="6"/>
      <c r="G2061" s="6"/>
      <c r="H2061" s="6"/>
      <c r="I2061" s="6"/>
      <c r="J2061" s="6"/>
      <c r="K2061" s="6"/>
      <c r="L2061" s="6"/>
      <c r="M2061" s="6"/>
      <c r="N2061" s="6" t="str">
        <f t="shared" ref="N2061:P2061" si="2064">IF(LEN($C2061)&gt;0,H2061-E2061,"")</f>
        <v/>
      </c>
      <c r="O2061" s="6" t="str">
        <f t="shared" si="2064"/>
        <v/>
      </c>
      <c r="P2061" s="6" t="str">
        <f t="shared" si="2064"/>
        <v/>
      </c>
      <c r="Q2061" s="6"/>
      <c r="R2061" s="6"/>
      <c r="S2061" s="6"/>
      <c r="T2061" s="6"/>
      <c r="U2061" s="6"/>
      <c r="V2061" s="6"/>
      <c r="W2061" s="6"/>
      <c r="X2061" s="6"/>
      <c r="Y2061" s="6"/>
      <c r="Z2061" s="6"/>
      <c r="AA2061" s="6"/>
      <c r="AB2061" s="6"/>
      <c r="AC2061" s="6"/>
      <c r="AD2061" s="6"/>
      <c r="AE2061" s="6"/>
      <c r="AF2061" s="6"/>
      <c r="AG2061" s="6"/>
    </row>
    <row r="2062" ht="14.25" customHeight="1">
      <c r="A2062" s="6"/>
      <c r="B2062" s="6"/>
      <c r="C2062" s="6"/>
      <c r="D2062" s="6"/>
      <c r="E2062" s="6"/>
      <c r="F2062" s="6"/>
      <c r="G2062" s="6"/>
      <c r="H2062" s="6"/>
      <c r="I2062" s="6"/>
      <c r="J2062" s="6"/>
      <c r="K2062" s="6"/>
      <c r="L2062" s="6"/>
      <c r="M2062" s="6"/>
      <c r="N2062" s="6" t="str">
        <f t="shared" ref="N2062:P2062" si="2065">IF(LEN($C2062)&gt;0,H2062-E2062,"")</f>
        <v/>
      </c>
      <c r="O2062" s="6" t="str">
        <f t="shared" si="2065"/>
        <v/>
      </c>
      <c r="P2062" s="6" t="str">
        <f t="shared" si="2065"/>
        <v/>
      </c>
      <c r="Q2062" s="6"/>
      <c r="R2062" s="6"/>
      <c r="S2062" s="6"/>
      <c r="T2062" s="6"/>
      <c r="U2062" s="6"/>
      <c r="V2062" s="6"/>
      <c r="W2062" s="6"/>
      <c r="X2062" s="6"/>
      <c r="Y2062" s="6"/>
      <c r="Z2062" s="6"/>
      <c r="AA2062" s="6"/>
      <c r="AB2062" s="6"/>
      <c r="AC2062" s="6"/>
      <c r="AD2062" s="6"/>
      <c r="AE2062" s="6"/>
      <c r="AF2062" s="6"/>
      <c r="AG2062" s="6"/>
    </row>
    <row r="2063" ht="14.25" customHeight="1">
      <c r="A2063" s="6"/>
      <c r="B2063" s="6"/>
      <c r="C2063" s="6"/>
      <c r="D2063" s="6"/>
      <c r="E2063" s="6"/>
      <c r="F2063" s="6"/>
      <c r="G2063" s="6"/>
      <c r="H2063" s="6"/>
      <c r="I2063" s="6"/>
      <c r="J2063" s="6"/>
      <c r="K2063" s="6"/>
      <c r="L2063" s="6"/>
      <c r="M2063" s="6"/>
      <c r="N2063" s="6" t="str">
        <f t="shared" ref="N2063:P2063" si="2066">IF(LEN($C2063)&gt;0,H2063-E2063,"")</f>
        <v/>
      </c>
      <c r="O2063" s="6" t="str">
        <f t="shared" si="2066"/>
        <v/>
      </c>
      <c r="P2063" s="6" t="str">
        <f t="shared" si="2066"/>
        <v/>
      </c>
      <c r="Q2063" s="6"/>
      <c r="R2063" s="6"/>
      <c r="S2063" s="6"/>
      <c r="T2063" s="6"/>
      <c r="U2063" s="6"/>
      <c r="V2063" s="6"/>
      <c r="W2063" s="6"/>
      <c r="X2063" s="6"/>
      <c r="Y2063" s="6"/>
      <c r="Z2063" s="6"/>
      <c r="AA2063" s="6"/>
      <c r="AB2063" s="6"/>
      <c r="AC2063" s="6"/>
      <c r="AD2063" s="6"/>
      <c r="AE2063" s="6"/>
      <c r="AF2063" s="6"/>
      <c r="AG2063" s="6"/>
    </row>
    <row r="2064" ht="14.25" customHeight="1">
      <c r="A2064" s="6"/>
      <c r="B2064" s="6"/>
      <c r="C2064" s="6"/>
      <c r="D2064" s="6"/>
      <c r="E2064" s="6"/>
      <c r="F2064" s="6"/>
      <c r="G2064" s="6"/>
      <c r="H2064" s="6"/>
      <c r="I2064" s="6"/>
      <c r="J2064" s="6"/>
      <c r="K2064" s="6"/>
      <c r="L2064" s="6"/>
      <c r="M2064" s="6"/>
      <c r="N2064" s="6" t="str">
        <f t="shared" ref="N2064:P2064" si="2067">IF(LEN($C2064)&gt;0,H2064-E2064,"")</f>
        <v/>
      </c>
      <c r="O2064" s="6" t="str">
        <f t="shared" si="2067"/>
        <v/>
      </c>
      <c r="P2064" s="6" t="str">
        <f t="shared" si="2067"/>
        <v/>
      </c>
      <c r="Q2064" s="6"/>
      <c r="R2064" s="6"/>
      <c r="S2064" s="6"/>
      <c r="T2064" s="6"/>
      <c r="U2064" s="6"/>
      <c r="V2064" s="6"/>
      <c r="W2064" s="6"/>
      <c r="X2064" s="6"/>
      <c r="Y2064" s="6"/>
      <c r="Z2064" s="6"/>
      <c r="AA2064" s="6"/>
      <c r="AB2064" s="6"/>
      <c r="AC2064" s="6"/>
      <c r="AD2064" s="6"/>
      <c r="AE2064" s="6"/>
      <c r="AF2064" s="6"/>
      <c r="AG2064" s="6"/>
    </row>
    <row r="2065" ht="14.25" customHeight="1">
      <c r="A2065" s="6"/>
      <c r="B2065" s="6"/>
      <c r="C2065" s="6"/>
      <c r="D2065" s="6"/>
      <c r="E2065" s="6"/>
      <c r="F2065" s="6"/>
      <c r="G2065" s="6"/>
      <c r="H2065" s="6"/>
      <c r="I2065" s="6"/>
      <c r="J2065" s="6"/>
      <c r="K2065" s="6"/>
      <c r="L2065" s="6"/>
      <c r="M2065" s="6"/>
      <c r="N2065" s="6" t="str">
        <f t="shared" ref="N2065:P2065" si="2068">IF(LEN($C2065)&gt;0,H2065-E2065,"")</f>
        <v/>
      </c>
      <c r="O2065" s="6" t="str">
        <f t="shared" si="2068"/>
        <v/>
      </c>
      <c r="P2065" s="6" t="str">
        <f t="shared" si="2068"/>
        <v/>
      </c>
      <c r="Q2065" s="6"/>
      <c r="R2065" s="6"/>
      <c r="S2065" s="6"/>
      <c r="T2065" s="6"/>
      <c r="U2065" s="6"/>
      <c r="V2065" s="6"/>
      <c r="W2065" s="6"/>
      <c r="X2065" s="6"/>
      <c r="Y2065" s="6"/>
      <c r="Z2065" s="6"/>
      <c r="AA2065" s="6"/>
      <c r="AB2065" s="6"/>
      <c r="AC2065" s="6"/>
      <c r="AD2065" s="6"/>
      <c r="AE2065" s="6"/>
      <c r="AF2065" s="6"/>
      <c r="AG2065" s="6"/>
    </row>
    <row r="2066" ht="14.25" customHeight="1">
      <c r="A2066" s="6"/>
      <c r="B2066" s="6"/>
      <c r="C2066" s="6"/>
      <c r="D2066" s="6"/>
      <c r="E2066" s="6"/>
      <c r="F2066" s="6"/>
      <c r="G2066" s="6"/>
      <c r="H2066" s="6"/>
      <c r="I2066" s="6"/>
      <c r="J2066" s="6"/>
      <c r="K2066" s="6"/>
      <c r="L2066" s="6"/>
      <c r="M2066" s="6"/>
      <c r="N2066" s="6" t="str">
        <f t="shared" ref="N2066:P2066" si="2069">IF(LEN($C2066)&gt;0,H2066-E2066,"")</f>
        <v/>
      </c>
      <c r="O2066" s="6" t="str">
        <f t="shared" si="2069"/>
        <v/>
      </c>
      <c r="P2066" s="6" t="str">
        <f t="shared" si="2069"/>
        <v/>
      </c>
      <c r="Q2066" s="6"/>
      <c r="R2066" s="6"/>
      <c r="S2066" s="6"/>
      <c r="T2066" s="6"/>
      <c r="U2066" s="6"/>
      <c r="V2066" s="6"/>
      <c r="W2066" s="6"/>
      <c r="X2066" s="6"/>
      <c r="Y2066" s="6"/>
      <c r="Z2066" s="6"/>
      <c r="AA2066" s="6"/>
      <c r="AB2066" s="6"/>
      <c r="AC2066" s="6"/>
      <c r="AD2066" s="6"/>
      <c r="AE2066" s="6"/>
      <c r="AF2066" s="6"/>
      <c r="AG2066" s="6"/>
    </row>
    <row r="2067" ht="14.25" customHeight="1">
      <c r="A2067" s="6"/>
      <c r="B2067" s="6"/>
      <c r="C2067" s="6"/>
      <c r="D2067" s="6"/>
      <c r="E2067" s="6"/>
      <c r="F2067" s="6"/>
      <c r="G2067" s="6"/>
      <c r="H2067" s="6"/>
      <c r="I2067" s="6"/>
      <c r="J2067" s="6"/>
      <c r="K2067" s="6"/>
      <c r="L2067" s="6"/>
      <c r="M2067" s="6"/>
      <c r="N2067" s="6" t="str">
        <f t="shared" ref="N2067:P2067" si="2070">IF(LEN($C2067)&gt;0,H2067-E2067,"")</f>
        <v/>
      </c>
      <c r="O2067" s="6" t="str">
        <f t="shared" si="2070"/>
        <v/>
      </c>
      <c r="P2067" s="6" t="str">
        <f t="shared" si="2070"/>
        <v/>
      </c>
      <c r="Q2067" s="6"/>
      <c r="R2067" s="6"/>
      <c r="S2067" s="6"/>
      <c r="T2067" s="6"/>
      <c r="U2067" s="6"/>
      <c r="V2067" s="6"/>
      <c r="W2067" s="6"/>
      <c r="X2067" s="6"/>
      <c r="Y2067" s="6"/>
      <c r="Z2067" s="6"/>
      <c r="AA2067" s="6"/>
      <c r="AB2067" s="6"/>
      <c r="AC2067" s="6"/>
      <c r="AD2067" s="6"/>
      <c r="AE2067" s="6"/>
      <c r="AF2067" s="6"/>
      <c r="AG2067" s="6"/>
    </row>
    <row r="2068" ht="14.25" customHeight="1">
      <c r="A2068" s="6"/>
      <c r="B2068" s="6"/>
      <c r="C2068" s="6"/>
      <c r="D2068" s="6"/>
      <c r="E2068" s="6"/>
      <c r="F2068" s="6"/>
      <c r="G2068" s="6"/>
      <c r="H2068" s="6"/>
      <c r="I2068" s="6"/>
      <c r="J2068" s="6"/>
      <c r="K2068" s="6"/>
      <c r="L2068" s="6"/>
      <c r="M2068" s="6"/>
      <c r="N2068" s="6" t="str">
        <f t="shared" ref="N2068:P2068" si="2071">IF(LEN($C2068)&gt;0,H2068-E2068,"")</f>
        <v/>
      </c>
      <c r="O2068" s="6" t="str">
        <f t="shared" si="2071"/>
        <v/>
      </c>
      <c r="P2068" s="6" t="str">
        <f t="shared" si="2071"/>
        <v/>
      </c>
      <c r="Q2068" s="6"/>
      <c r="R2068" s="6"/>
      <c r="S2068" s="6"/>
      <c r="T2068" s="6"/>
      <c r="U2068" s="6"/>
      <c r="V2068" s="6"/>
      <c r="W2068" s="6"/>
      <c r="X2068" s="6"/>
      <c r="Y2068" s="6"/>
      <c r="Z2068" s="6"/>
      <c r="AA2068" s="6"/>
      <c r="AB2068" s="6"/>
      <c r="AC2068" s="6"/>
      <c r="AD2068" s="6"/>
      <c r="AE2068" s="6"/>
      <c r="AF2068" s="6"/>
      <c r="AG2068" s="6"/>
    </row>
    <row r="2069" ht="14.25" customHeight="1">
      <c r="A2069" s="6"/>
      <c r="B2069" s="6"/>
      <c r="C2069" s="6"/>
      <c r="D2069" s="6"/>
      <c r="E2069" s="6"/>
      <c r="F2069" s="6"/>
      <c r="G2069" s="6"/>
      <c r="H2069" s="6"/>
      <c r="I2069" s="6"/>
      <c r="J2069" s="6"/>
      <c r="K2069" s="6"/>
      <c r="L2069" s="6"/>
      <c r="M2069" s="6"/>
      <c r="N2069" s="6" t="str">
        <f t="shared" ref="N2069:P2069" si="2072">IF(LEN($C2069)&gt;0,H2069-E2069,"")</f>
        <v/>
      </c>
      <c r="O2069" s="6" t="str">
        <f t="shared" si="2072"/>
        <v/>
      </c>
      <c r="P2069" s="6" t="str">
        <f t="shared" si="2072"/>
        <v/>
      </c>
      <c r="Q2069" s="6"/>
      <c r="R2069" s="6"/>
      <c r="S2069" s="6"/>
      <c r="T2069" s="6"/>
      <c r="U2069" s="6"/>
      <c r="V2069" s="6"/>
      <c r="W2069" s="6"/>
      <c r="X2069" s="6"/>
      <c r="Y2069" s="6"/>
      <c r="Z2069" s="6"/>
      <c r="AA2069" s="6"/>
      <c r="AB2069" s="6"/>
      <c r="AC2069" s="6"/>
      <c r="AD2069" s="6"/>
      <c r="AE2069" s="6"/>
      <c r="AF2069" s="6"/>
      <c r="AG2069" s="6"/>
    </row>
    <row r="2070" ht="14.25" customHeight="1">
      <c r="A2070" s="6"/>
      <c r="B2070" s="6"/>
      <c r="C2070" s="6"/>
      <c r="D2070" s="6"/>
      <c r="E2070" s="6"/>
      <c r="F2070" s="6"/>
      <c r="G2070" s="6"/>
      <c r="H2070" s="6"/>
      <c r="I2070" s="6"/>
      <c r="J2070" s="6"/>
      <c r="K2070" s="6"/>
      <c r="L2070" s="6"/>
      <c r="M2070" s="6"/>
      <c r="N2070" s="6" t="str">
        <f t="shared" ref="N2070:P2070" si="2073">IF(LEN($C2070)&gt;0,H2070-E2070,"")</f>
        <v/>
      </c>
      <c r="O2070" s="6" t="str">
        <f t="shared" si="2073"/>
        <v/>
      </c>
      <c r="P2070" s="6" t="str">
        <f t="shared" si="2073"/>
        <v/>
      </c>
      <c r="Q2070" s="6"/>
      <c r="R2070" s="6"/>
      <c r="S2070" s="6"/>
      <c r="T2070" s="6"/>
      <c r="U2070" s="6"/>
      <c r="V2070" s="6"/>
      <c r="W2070" s="6"/>
      <c r="X2070" s="6"/>
      <c r="Y2070" s="6"/>
      <c r="Z2070" s="6"/>
      <c r="AA2070" s="6"/>
      <c r="AB2070" s="6"/>
      <c r="AC2070" s="6"/>
      <c r="AD2070" s="6"/>
      <c r="AE2070" s="6"/>
      <c r="AF2070" s="6"/>
      <c r="AG2070" s="6"/>
    </row>
    <row r="2071" ht="14.25" customHeight="1">
      <c r="A2071" s="6"/>
      <c r="B2071" s="6"/>
      <c r="C2071" s="6"/>
      <c r="D2071" s="6"/>
      <c r="E2071" s="6"/>
      <c r="F2071" s="6"/>
      <c r="G2071" s="6"/>
      <c r="H2071" s="6"/>
      <c r="I2071" s="6"/>
      <c r="J2071" s="6"/>
      <c r="K2071" s="6"/>
      <c r="L2071" s="6"/>
      <c r="M2071" s="6"/>
      <c r="N2071" s="6" t="str">
        <f t="shared" ref="N2071:P2071" si="2074">IF(LEN($C2071)&gt;0,H2071-E2071,"")</f>
        <v/>
      </c>
      <c r="O2071" s="6" t="str">
        <f t="shared" si="2074"/>
        <v/>
      </c>
      <c r="P2071" s="6" t="str">
        <f t="shared" si="2074"/>
        <v/>
      </c>
      <c r="Q2071" s="6"/>
      <c r="R2071" s="6"/>
      <c r="S2071" s="6"/>
      <c r="T2071" s="6"/>
      <c r="U2071" s="6"/>
      <c r="V2071" s="6"/>
      <c r="W2071" s="6"/>
      <c r="X2071" s="6"/>
      <c r="Y2071" s="6"/>
      <c r="Z2071" s="6"/>
      <c r="AA2071" s="6"/>
      <c r="AB2071" s="6"/>
      <c r="AC2071" s="6"/>
      <c r="AD2071" s="6"/>
      <c r="AE2071" s="6"/>
      <c r="AF2071" s="6"/>
      <c r="AG2071" s="6"/>
    </row>
    <row r="2072" ht="14.25" customHeight="1">
      <c r="A2072" s="6"/>
      <c r="B2072" s="6"/>
      <c r="C2072" s="6"/>
      <c r="D2072" s="6"/>
      <c r="E2072" s="6"/>
      <c r="F2072" s="6"/>
      <c r="G2072" s="6"/>
      <c r="H2072" s="6"/>
      <c r="I2072" s="6"/>
      <c r="J2072" s="6"/>
      <c r="K2072" s="6"/>
      <c r="L2072" s="6"/>
      <c r="M2072" s="6"/>
      <c r="N2072" s="6" t="str">
        <f t="shared" ref="N2072:P2072" si="2075">IF(LEN($C2072)&gt;0,H2072-E2072,"")</f>
        <v/>
      </c>
      <c r="O2072" s="6" t="str">
        <f t="shared" si="2075"/>
        <v/>
      </c>
      <c r="P2072" s="6" t="str">
        <f t="shared" si="2075"/>
        <v/>
      </c>
      <c r="Q2072" s="6"/>
      <c r="R2072" s="6"/>
      <c r="S2072" s="6"/>
      <c r="T2072" s="6"/>
      <c r="U2072" s="6"/>
      <c r="V2072" s="6"/>
      <c r="W2072" s="6"/>
      <c r="X2072" s="6"/>
      <c r="Y2072" s="6"/>
      <c r="Z2072" s="6"/>
      <c r="AA2072" s="6"/>
      <c r="AB2072" s="6"/>
      <c r="AC2072" s="6"/>
      <c r="AD2072" s="6"/>
      <c r="AE2072" s="6"/>
      <c r="AF2072" s="6"/>
      <c r="AG2072" s="6"/>
    </row>
    <row r="2073" ht="14.25" customHeight="1">
      <c r="A2073" s="6"/>
      <c r="B2073" s="6"/>
      <c r="C2073" s="6"/>
      <c r="D2073" s="6"/>
      <c r="E2073" s="6"/>
      <c r="F2073" s="6"/>
      <c r="G2073" s="6"/>
      <c r="H2073" s="6"/>
      <c r="I2073" s="6"/>
      <c r="J2073" s="6"/>
      <c r="K2073" s="6"/>
      <c r="L2073" s="6"/>
      <c r="M2073" s="6"/>
      <c r="N2073" s="6" t="str">
        <f t="shared" ref="N2073:P2073" si="2076">IF(LEN($C2073)&gt;0,H2073-E2073,"")</f>
        <v/>
      </c>
      <c r="O2073" s="6" t="str">
        <f t="shared" si="2076"/>
        <v/>
      </c>
      <c r="P2073" s="6" t="str">
        <f t="shared" si="2076"/>
        <v/>
      </c>
      <c r="Q2073" s="6"/>
      <c r="R2073" s="6"/>
      <c r="S2073" s="6"/>
      <c r="T2073" s="6"/>
      <c r="U2073" s="6"/>
      <c r="V2073" s="6"/>
      <c r="W2073" s="6"/>
      <c r="X2073" s="6"/>
      <c r="Y2073" s="6"/>
      <c r="Z2073" s="6"/>
      <c r="AA2073" s="6"/>
      <c r="AB2073" s="6"/>
      <c r="AC2073" s="6"/>
      <c r="AD2073" s="6"/>
      <c r="AE2073" s="6"/>
      <c r="AF2073" s="6"/>
      <c r="AG2073" s="6"/>
    </row>
    <row r="2074" ht="14.25" customHeight="1">
      <c r="A2074" s="6"/>
      <c r="B2074" s="6"/>
      <c r="C2074" s="6"/>
      <c r="D2074" s="6"/>
      <c r="E2074" s="6"/>
      <c r="F2074" s="6"/>
      <c r="G2074" s="6"/>
      <c r="H2074" s="6"/>
      <c r="I2074" s="6"/>
      <c r="J2074" s="6"/>
      <c r="K2074" s="6"/>
      <c r="L2074" s="6"/>
      <c r="M2074" s="6"/>
      <c r="N2074" s="6" t="str">
        <f t="shared" ref="N2074:P2074" si="2077">IF(LEN($C2074)&gt;0,H2074-E2074,"")</f>
        <v/>
      </c>
      <c r="O2074" s="6" t="str">
        <f t="shared" si="2077"/>
        <v/>
      </c>
      <c r="P2074" s="6" t="str">
        <f t="shared" si="2077"/>
        <v/>
      </c>
      <c r="Q2074" s="6"/>
      <c r="R2074" s="6"/>
      <c r="S2074" s="6"/>
      <c r="T2074" s="6"/>
      <c r="U2074" s="6"/>
      <c r="V2074" s="6"/>
      <c r="W2074" s="6"/>
      <c r="X2074" s="6"/>
      <c r="Y2074" s="6"/>
      <c r="Z2074" s="6"/>
      <c r="AA2074" s="6"/>
      <c r="AB2074" s="6"/>
      <c r="AC2074" s="6"/>
      <c r="AD2074" s="6"/>
      <c r="AE2074" s="6"/>
      <c r="AF2074" s="6"/>
      <c r="AG2074" s="6"/>
    </row>
    <row r="2075" ht="14.25" customHeight="1">
      <c r="A2075" s="6"/>
      <c r="B2075" s="6"/>
      <c r="C2075" s="6"/>
      <c r="D2075" s="6"/>
      <c r="E2075" s="6"/>
      <c r="F2075" s="6"/>
      <c r="G2075" s="6"/>
      <c r="H2075" s="6"/>
      <c r="I2075" s="6"/>
      <c r="J2075" s="6"/>
      <c r="K2075" s="6"/>
      <c r="L2075" s="6"/>
      <c r="M2075" s="6"/>
      <c r="N2075" s="6" t="str">
        <f t="shared" ref="N2075:P2075" si="2078">IF(LEN($C2075)&gt;0,H2075-E2075,"")</f>
        <v/>
      </c>
      <c r="O2075" s="6" t="str">
        <f t="shared" si="2078"/>
        <v/>
      </c>
      <c r="P2075" s="6" t="str">
        <f t="shared" si="2078"/>
        <v/>
      </c>
      <c r="Q2075" s="6"/>
      <c r="R2075" s="6"/>
      <c r="S2075" s="6"/>
      <c r="T2075" s="6"/>
      <c r="U2075" s="6"/>
      <c r="V2075" s="6"/>
      <c r="W2075" s="6"/>
      <c r="X2075" s="6"/>
      <c r="Y2075" s="6"/>
      <c r="Z2075" s="6"/>
      <c r="AA2075" s="6"/>
      <c r="AB2075" s="6"/>
      <c r="AC2075" s="6"/>
      <c r="AD2075" s="6"/>
      <c r="AE2075" s="6"/>
      <c r="AF2075" s="6"/>
      <c r="AG2075" s="6"/>
    </row>
    <row r="2076" ht="14.25" customHeight="1">
      <c r="A2076" s="6"/>
      <c r="B2076" s="6"/>
      <c r="C2076" s="6"/>
      <c r="D2076" s="6"/>
      <c r="E2076" s="6"/>
      <c r="F2076" s="6"/>
      <c r="G2076" s="6"/>
      <c r="H2076" s="6"/>
      <c r="I2076" s="6"/>
      <c r="J2076" s="6"/>
      <c r="K2076" s="6"/>
      <c r="L2076" s="6"/>
      <c r="M2076" s="6"/>
      <c r="N2076" s="6" t="str">
        <f t="shared" ref="N2076:P2076" si="2079">IF(LEN($C2076)&gt;0,H2076-E2076,"")</f>
        <v/>
      </c>
      <c r="O2076" s="6" t="str">
        <f t="shared" si="2079"/>
        <v/>
      </c>
      <c r="P2076" s="6" t="str">
        <f t="shared" si="2079"/>
        <v/>
      </c>
      <c r="Q2076" s="6"/>
      <c r="R2076" s="6"/>
      <c r="S2076" s="6"/>
      <c r="T2076" s="6"/>
      <c r="U2076" s="6"/>
      <c r="V2076" s="6"/>
      <c r="W2076" s="6"/>
      <c r="X2076" s="6"/>
      <c r="Y2076" s="6"/>
      <c r="Z2076" s="6"/>
      <c r="AA2076" s="6"/>
      <c r="AB2076" s="6"/>
      <c r="AC2076" s="6"/>
      <c r="AD2076" s="6"/>
      <c r="AE2076" s="6"/>
      <c r="AF2076" s="6"/>
      <c r="AG2076" s="6"/>
    </row>
    <row r="2077" ht="14.25" customHeight="1">
      <c r="A2077" s="6"/>
      <c r="B2077" s="6"/>
      <c r="C2077" s="6"/>
      <c r="D2077" s="6"/>
      <c r="E2077" s="6"/>
      <c r="F2077" s="6"/>
      <c r="G2077" s="6"/>
      <c r="H2077" s="6"/>
      <c r="I2077" s="6"/>
      <c r="J2077" s="6"/>
      <c r="K2077" s="6"/>
      <c r="L2077" s="6"/>
      <c r="M2077" s="6"/>
      <c r="N2077" s="6" t="str">
        <f t="shared" ref="N2077:P2077" si="2080">IF(LEN($C2077)&gt;0,H2077-E2077,"")</f>
        <v/>
      </c>
      <c r="O2077" s="6" t="str">
        <f t="shared" si="2080"/>
        <v/>
      </c>
      <c r="P2077" s="6" t="str">
        <f t="shared" si="2080"/>
        <v/>
      </c>
      <c r="Q2077" s="6"/>
      <c r="R2077" s="6"/>
      <c r="S2077" s="6"/>
      <c r="T2077" s="6"/>
      <c r="U2077" s="6"/>
      <c r="V2077" s="6"/>
      <c r="W2077" s="6"/>
      <c r="X2077" s="6"/>
      <c r="Y2077" s="6"/>
      <c r="Z2077" s="6"/>
      <c r="AA2077" s="6"/>
      <c r="AB2077" s="6"/>
      <c r="AC2077" s="6"/>
      <c r="AD2077" s="6"/>
      <c r="AE2077" s="6"/>
      <c r="AF2077" s="6"/>
      <c r="AG2077" s="6"/>
    </row>
    <row r="2078" ht="14.25" customHeight="1">
      <c r="A2078" s="6"/>
      <c r="B2078" s="6"/>
      <c r="C2078" s="6"/>
      <c r="D2078" s="6"/>
      <c r="E2078" s="6"/>
      <c r="F2078" s="6"/>
      <c r="G2078" s="6"/>
      <c r="H2078" s="6"/>
      <c r="I2078" s="6"/>
      <c r="J2078" s="6"/>
      <c r="K2078" s="6"/>
      <c r="L2078" s="6"/>
      <c r="M2078" s="6"/>
      <c r="N2078" s="6" t="str">
        <f t="shared" ref="N2078:P2078" si="2081">IF(LEN($C2078)&gt;0,H2078-E2078,"")</f>
        <v/>
      </c>
      <c r="O2078" s="6" t="str">
        <f t="shared" si="2081"/>
        <v/>
      </c>
      <c r="P2078" s="6" t="str">
        <f t="shared" si="2081"/>
        <v/>
      </c>
      <c r="Q2078" s="6"/>
      <c r="R2078" s="6"/>
      <c r="S2078" s="6"/>
      <c r="T2078" s="6"/>
      <c r="U2078" s="6"/>
      <c r="V2078" s="6"/>
      <c r="W2078" s="6"/>
      <c r="X2078" s="6"/>
      <c r="Y2078" s="6"/>
      <c r="Z2078" s="6"/>
      <c r="AA2078" s="6"/>
      <c r="AB2078" s="6"/>
      <c r="AC2078" s="6"/>
      <c r="AD2078" s="6"/>
      <c r="AE2078" s="6"/>
      <c r="AF2078" s="6"/>
      <c r="AG2078" s="6"/>
    </row>
    <row r="2079" ht="14.25" customHeight="1">
      <c r="A2079" s="6"/>
      <c r="B2079" s="6"/>
      <c r="C2079" s="6"/>
      <c r="D2079" s="6"/>
      <c r="E2079" s="6"/>
      <c r="F2079" s="6"/>
      <c r="G2079" s="6"/>
      <c r="H2079" s="6"/>
      <c r="I2079" s="6"/>
      <c r="J2079" s="6"/>
      <c r="K2079" s="6"/>
      <c r="L2079" s="6"/>
      <c r="M2079" s="6"/>
      <c r="N2079" s="6" t="str">
        <f t="shared" ref="N2079:P2079" si="2082">IF(LEN($C2079)&gt;0,H2079-E2079,"")</f>
        <v/>
      </c>
      <c r="O2079" s="6" t="str">
        <f t="shared" si="2082"/>
        <v/>
      </c>
      <c r="P2079" s="6" t="str">
        <f t="shared" si="2082"/>
        <v/>
      </c>
      <c r="Q2079" s="6"/>
      <c r="R2079" s="6"/>
      <c r="S2079" s="6"/>
      <c r="T2079" s="6"/>
      <c r="U2079" s="6"/>
      <c r="V2079" s="6"/>
      <c r="W2079" s="6"/>
      <c r="X2079" s="6"/>
      <c r="Y2079" s="6"/>
      <c r="Z2079" s="6"/>
      <c r="AA2079" s="6"/>
      <c r="AB2079" s="6"/>
      <c r="AC2079" s="6"/>
      <c r="AD2079" s="6"/>
      <c r="AE2079" s="6"/>
      <c r="AF2079" s="6"/>
      <c r="AG2079" s="6"/>
    </row>
    <row r="2080" ht="14.25" customHeight="1">
      <c r="A2080" s="6"/>
      <c r="B2080" s="6"/>
      <c r="C2080" s="6"/>
      <c r="D2080" s="6"/>
      <c r="E2080" s="6"/>
      <c r="F2080" s="6"/>
      <c r="G2080" s="6"/>
      <c r="H2080" s="6"/>
      <c r="I2080" s="6"/>
      <c r="J2080" s="6"/>
      <c r="K2080" s="6"/>
      <c r="L2080" s="6"/>
      <c r="M2080" s="6"/>
      <c r="N2080" s="6" t="str">
        <f t="shared" ref="N2080:P2080" si="2083">IF(LEN($C2080)&gt;0,H2080-E2080,"")</f>
        <v/>
      </c>
      <c r="O2080" s="6" t="str">
        <f t="shared" si="2083"/>
        <v/>
      </c>
      <c r="P2080" s="6" t="str">
        <f t="shared" si="2083"/>
        <v/>
      </c>
      <c r="Q2080" s="6"/>
      <c r="R2080" s="6"/>
      <c r="S2080" s="6"/>
      <c r="T2080" s="6"/>
      <c r="U2080" s="6"/>
      <c r="V2080" s="6"/>
      <c r="W2080" s="6"/>
      <c r="X2080" s="6"/>
      <c r="Y2080" s="6"/>
      <c r="Z2080" s="6"/>
      <c r="AA2080" s="6"/>
      <c r="AB2080" s="6"/>
      <c r="AC2080" s="6"/>
      <c r="AD2080" s="6"/>
      <c r="AE2080" s="6"/>
      <c r="AF2080" s="6"/>
      <c r="AG2080" s="6"/>
    </row>
    <row r="2081" ht="14.25" customHeight="1">
      <c r="A2081" s="6"/>
      <c r="B2081" s="6"/>
      <c r="C2081" s="6"/>
      <c r="D2081" s="6"/>
      <c r="E2081" s="6"/>
      <c r="F2081" s="6"/>
      <c r="G2081" s="6"/>
      <c r="H2081" s="6"/>
      <c r="I2081" s="6"/>
      <c r="J2081" s="6"/>
      <c r="K2081" s="6"/>
      <c r="L2081" s="6"/>
      <c r="M2081" s="6"/>
      <c r="N2081" s="6" t="str">
        <f t="shared" ref="N2081:P2081" si="2084">IF(LEN($C2081)&gt;0,H2081-E2081,"")</f>
        <v/>
      </c>
      <c r="O2081" s="6" t="str">
        <f t="shared" si="2084"/>
        <v/>
      </c>
      <c r="P2081" s="6" t="str">
        <f t="shared" si="2084"/>
        <v/>
      </c>
      <c r="Q2081" s="6"/>
      <c r="R2081" s="6"/>
      <c r="S2081" s="6"/>
      <c r="T2081" s="6"/>
      <c r="U2081" s="6"/>
      <c r="V2081" s="6"/>
      <c r="W2081" s="6"/>
      <c r="X2081" s="6"/>
      <c r="Y2081" s="6"/>
      <c r="Z2081" s="6"/>
      <c r="AA2081" s="6"/>
      <c r="AB2081" s="6"/>
      <c r="AC2081" s="6"/>
      <c r="AD2081" s="6"/>
      <c r="AE2081" s="6"/>
      <c r="AF2081" s="6"/>
      <c r="AG2081" s="6"/>
    </row>
    <row r="2082" ht="14.25" customHeight="1">
      <c r="A2082" s="6"/>
      <c r="B2082" s="6"/>
      <c r="C2082" s="6"/>
      <c r="D2082" s="6"/>
      <c r="E2082" s="6"/>
      <c r="F2082" s="6"/>
      <c r="G2082" s="6"/>
      <c r="H2082" s="6"/>
      <c r="I2082" s="6"/>
      <c r="J2082" s="6"/>
      <c r="K2082" s="6"/>
      <c r="L2082" s="6"/>
      <c r="M2082" s="6"/>
      <c r="N2082" s="6" t="str">
        <f t="shared" ref="N2082:P2082" si="2085">IF(LEN($C2082)&gt;0,H2082-E2082,"")</f>
        <v/>
      </c>
      <c r="O2082" s="6" t="str">
        <f t="shared" si="2085"/>
        <v/>
      </c>
      <c r="P2082" s="6" t="str">
        <f t="shared" si="2085"/>
        <v/>
      </c>
      <c r="Q2082" s="6"/>
      <c r="R2082" s="6"/>
      <c r="S2082" s="6"/>
      <c r="T2082" s="6"/>
      <c r="U2082" s="6"/>
      <c r="V2082" s="6"/>
      <c r="W2082" s="6"/>
      <c r="X2082" s="6"/>
      <c r="Y2082" s="6"/>
      <c r="Z2082" s="6"/>
      <c r="AA2082" s="6"/>
      <c r="AB2082" s="6"/>
      <c r="AC2082" s="6"/>
      <c r="AD2082" s="6"/>
      <c r="AE2082" s="6"/>
      <c r="AF2082" s="6"/>
      <c r="AG2082" s="6"/>
    </row>
    <row r="2083" ht="14.25" customHeight="1">
      <c r="A2083" s="6"/>
      <c r="B2083" s="6"/>
      <c r="C2083" s="6"/>
      <c r="D2083" s="6"/>
      <c r="E2083" s="6"/>
      <c r="F2083" s="6"/>
      <c r="G2083" s="6"/>
      <c r="H2083" s="6"/>
      <c r="I2083" s="6"/>
      <c r="J2083" s="6"/>
      <c r="K2083" s="6"/>
      <c r="L2083" s="6"/>
      <c r="M2083" s="6"/>
      <c r="N2083" s="6" t="str">
        <f t="shared" ref="N2083:P2083" si="2086">IF(LEN($C2083)&gt;0,H2083-E2083,"")</f>
        <v/>
      </c>
      <c r="O2083" s="6" t="str">
        <f t="shared" si="2086"/>
        <v/>
      </c>
      <c r="P2083" s="6" t="str">
        <f t="shared" si="2086"/>
        <v/>
      </c>
      <c r="Q2083" s="6"/>
      <c r="R2083" s="6"/>
      <c r="S2083" s="6"/>
      <c r="T2083" s="6"/>
      <c r="U2083" s="6"/>
      <c r="V2083" s="6"/>
      <c r="W2083" s="6"/>
      <c r="X2083" s="6"/>
      <c r="Y2083" s="6"/>
      <c r="Z2083" s="6"/>
      <c r="AA2083" s="6"/>
      <c r="AB2083" s="6"/>
      <c r="AC2083" s="6"/>
      <c r="AD2083" s="6"/>
      <c r="AE2083" s="6"/>
      <c r="AF2083" s="6"/>
      <c r="AG2083" s="6"/>
    </row>
    <row r="2084" ht="14.25" customHeight="1">
      <c r="A2084" s="6"/>
      <c r="B2084" s="6"/>
      <c r="C2084" s="6"/>
      <c r="D2084" s="6"/>
      <c r="E2084" s="6"/>
      <c r="F2084" s="6"/>
      <c r="G2084" s="6"/>
      <c r="H2084" s="6"/>
      <c r="I2084" s="6"/>
      <c r="J2084" s="6"/>
      <c r="K2084" s="6"/>
      <c r="L2084" s="6"/>
      <c r="M2084" s="6"/>
      <c r="N2084" s="6" t="str">
        <f t="shared" ref="N2084:P2084" si="2087">IF(LEN($C2084)&gt;0,H2084-E2084,"")</f>
        <v/>
      </c>
      <c r="O2084" s="6" t="str">
        <f t="shared" si="2087"/>
        <v/>
      </c>
      <c r="P2084" s="6" t="str">
        <f t="shared" si="2087"/>
        <v/>
      </c>
      <c r="Q2084" s="6"/>
      <c r="R2084" s="6"/>
      <c r="S2084" s="6"/>
      <c r="T2084" s="6"/>
      <c r="U2084" s="6"/>
      <c r="V2084" s="6"/>
      <c r="W2084" s="6"/>
      <c r="X2084" s="6"/>
      <c r="Y2084" s="6"/>
      <c r="Z2084" s="6"/>
      <c r="AA2084" s="6"/>
      <c r="AB2084" s="6"/>
      <c r="AC2084" s="6"/>
      <c r="AD2084" s="6"/>
      <c r="AE2084" s="6"/>
      <c r="AF2084" s="6"/>
      <c r="AG2084" s="6"/>
    </row>
    <row r="2085" ht="14.25" customHeight="1">
      <c r="A2085" s="6"/>
      <c r="B2085" s="6"/>
      <c r="C2085" s="6"/>
      <c r="D2085" s="6"/>
      <c r="E2085" s="6"/>
      <c r="F2085" s="6"/>
      <c r="G2085" s="6"/>
      <c r="H2085" s="6"/>
      <c r="I2085" s="6"/>
      <c r="J2085" s="6"/>
      <c r="K2085" s="6"/>
      <c r="L2085" s="6"/>
      <c r="M2085" s="6"/>
      <c r="N2085" s="6" t="str">
        <f t="shared" ref="N2085:P2085" si="2088">IF(LEN($C2085)&gt;0,H2085-E2085,"")</f>
        <v/>
      </c>
      <c r="O2085" s="6" t="str">
        <f t="shared" si="2088"/>
        <v/>
      </c>
      <c r="P2085" s="6" t="str">
        <f t="shared" si="2088"/>
        <v/>
      </c>
      <c r="Q2085" s="6"/>
      <c r="R2085" s="6"/>
      <c r="S2085" s="6"/>
      <c r="T2085" s="6"/>
      <c r="U2085" s="6"/>
      <c r="V2085" s="6"/>
      <c r="W2085" s="6"/>
      <c r="X2085" s="6"/>
      <c r="Y2085" s="6"/>
      <c r="Z2085" s="6"/>
      <c r="AA2085" s="6"/>
      <c r="AB2085" s="6"/>
      <c r="AC2085" s="6"/>
      <c r="AD2085" s="6"/>
      <c r="AE2085" s="6"/>
      <c r="AF2085" s="6"/>
      <c r="AG2085" s="6"/>
    </row>
    <row r="2086" ht="14.25" customHeight="1">
      <c r="A2086" s="6"/>
      <c r="B2086" s="6"/>
      <c r="C2086" s="6"/>
      <c r="D2086" s="6"/>
      <c r="E2086" s="6"/>
      <c r="F2086" s="6"/>
      <c r="G2086" s="6"/>
      <c r="H2086" s="6"/>
      <c r="I2086" s="6"/>
      <c r="J2086" s="6"/>
      <c r="K2086" s="6"/>
      <c r="L2086" s="6"/>
      <c r="M2086" s="6"/>
      <c r="N2086" s="6" t="str">
        <f t="shared" ref="N2086:P2086" si="2089">IF(LEN($C2086)&gt;0,H2086-E2086,"")</f>
        <v/>
      </c>
      <c r="O2086" s="6" t="str">
        <f t="shared" si="2089"/>
        <v/>
      </c>
      <c r="P2086" s="6" t="str">
        <f t="shared" si="2089"/>
        <v/>
      </c>
      <c r="Q2086" s="6"/>
      <c r="R2086" s="6"/>
      <c r="S2086" s="6"/>
      <c r="T2086" s="6"/>
      <c r="U2086" s="6"/>
      <c r="V2086" s="6"/>
      <c r="W2086" s="6"/>
      <c r="X2086" s="6"/>
      <c r="Y2086" s="6"/>
      <c r="Z2086" s="6"/>
      <c r="AA2086" s="6"/>
      <c r="AB2086" s="6"/>
      <c r="AC2086" s="6"/>
      <c r="AD2086" s="6"/>
      <c r="AE2086" s="6"/>
      <c r="AF2086" s="6"/>
      <c r="AG2086" s="6"/>
    </row>
    <row r="2087" ht="14.25" customHeight="1">
      <c r="A2087" s="6"/>
      <c r="B2087" s="6"/>
      <c r="C2087" s="6"/>
      <c r="D2087" s="6"/>
      <c r="E2087" s="6"/>
      <c r="F2087" s="6"/>
      <c r="G2087" s="6"/>
      <c r="H2087" s="6"/>
      <c r="I2087" s="6"/>
      <c r="J2087" s="6"/>
      <c r="K2087" s="6"/>
      <c r="L2087" s="6"/>
      <c r="M2087" s="6"/>
      <c r="N2087" s="6" t="str">
        <f t="shared" ref="N2087:P2087" si="2090">IF(LEN($C2087)&gt;0,H2087-E2087,"")</f>
        <v/>
      </c>
      <c r="O2087" s="6" t="str">
        <f t="shared" si="2090"/>
        <v/>
      </c>
      <c r="P2087" s="6" t="str">
        <f t="shared" si="2090"/>
        <v/>
      </c>
      <c r="Q2087" s="6"/>
      <c r="R2087" s="6"/>
      <c r="S2087" s="6"/>
      <c r="T2087" s="6"/>
      <c r="U2087" s="6"/>
      <c r="V2087" s="6"/>
      <c r="W2087" s="6"/>
      <c r="X2087" s="6"/>
      <c r="Y2087" s="6"/>
      <c r="Z2087" s="6"/>
      <c r="AA2087" s="6"/>
      <c r="AB2087" s="6"/>
      <c r="AC2087" s="6"/>
      <c r="AD2087" s="6"/>
      <c r="AE2087" s="6"/>
      <c r="AF2087" s="6"/>
      <c r="AG2087" s="6"/>
    </row>
    <row r="2088" ht="14.25" customHeight="1">
      <c r="A2088" s="6"/>
      <c r="B2088" s="6"/>
      <c r="C2088" s="6"/>
      <c r="D2088" s="6"/>
      <c r="E2088" s="6"/>
      <c r="F2088" s="6"/>
      <c r="G2088" s="6"/>
      <c r="H2088" s="6"/>
      <c r="I2088" s="6"/>
      <c r="J2088" s="6"/>
      <c r="K2088" s="6"/>
      <c r="L2088" s="6"/>
      <c r="M2088" s="6"/>
      <c r="N2088" s="6" t="str">
        <f t="shared" ref="N2088:P2088" si="2091">IF(LEN($C2088)&gt;0,H2088-E2088,"")</f>
        <v/>
      </c>
      <c r="O2088" s="6" t="str">
        <f t="shared" si="2091"/>
        <v/>
      </c>
      <c r="P2088" s="6" t="str">
        <f t="shared" si="2091"/>
        <v/>
      </c>
      <c r="Q2088" s="6"/>
      <c r="R2088" s="6"/>
      <c r="S2088" s="6"/>
      <c r="T2088" s="6"/>
      <c r="U2088" s="6"/>
      <c r="V2088" s="6"/>
      <c r="W2088" s="6"/>
      <c r="X2088" s="6"/>
      <c r="Y2088" s="6"/>
      <c r="Z2088" s="6"/>
      <c r="AA2088" s="6"/>
      <c r="AB2088" s="6"/>
      <c r="AC2088" s="6"/>
      <c r="AD2088" s="6"/>
      <c r="AE2088" s="6"/>
      <c r="AF2088" s="6"/>
      <c r="AG2088" s="6"/>
    </row>
    <row r="2089" ht="14.25" customHeight="1">
      <c r="A2089" s="6"/>
      <c r="B2089" s="6"/>
      <c r="C2089" s="6"/>
      <c r="D2089" s="6"/>
      <c r="E2089" s="6"/>
      <c r="F2089" s="6"/>
      <c r="G2089" s="6"/>
      <c r="H2089" s="6"/>
      <c r="I2089" s="6"/>
      <c r="J2089" s="6"/>
      <c r="K2089" s="6"/>
      <c r="L2089" s="6"/>
      <c r="M2089" s="6"/>
      <c r="N2089" s="6" t="str">
        <f t="shared" ref="N2089:P2089" si="2092">IF(LEN($C2089)&gt;0,H2089-E2089,"")</f>
        <v/>
      </c>
      <c r="O2089" s="6" t="str">
        <f t="shared" si="2092"/>
        <v/>
      </c>
      <c r="P2089" s="6" t="str">
        <f t="shared" si="2092"/>
        <v/>
      </c>
      <c r="Q2089" s="6"/>
      <c r="R2089" s="6"/>
      <c r="S2089" s="6"/>
      <c r="T2089" s="6"/>
      <c r="U2089" s="6"/>
      <c r="V2089" s="6"/>
      <c r="W2089" s="6"/>
      <c r="X2089" s="6"/>
      <c r="Y2089" s="6"/>
      <c r="Z2089" s="6"/>
      <c r="AA2089" s="6"/>
      <c r="AB2089" s="6"/>
      <c r="AC2089" s="6"/>
      <c r="AD2089" s="6"/>
      <c r="AE2089" s="6"/>
      <c r="AF2089" s="6"/>
      <c r="AG2089" s="6"/>
    </row>
    <row r="2090" ht="14.25" customHeight="1">
      <c r="A2090" s="6"/>
      <c r="B2090" s="6"/>
      <c r="C2090" s="6"/>
      <c r="D2090" s="6"/>
      <c r="E2090" s="6"/>
      <c r="F2090" s="6"/>
      <c r="G2090" s="6"/>
      <c r="H2090" s="6"/>
      <c r="I2090" s="6"/>
      <c r="J2090" s="6"/>
      <c r="K2090" s="6"/>
      <c r="L2090" s="6"/>
      <c r="M2090" s="6"/>
      <c r="N2090" s="6" t="str">
        <f t="shared" ref="N2090:P2090" si="2093">IF(LEN($C2090)&gt;0,H2090-E2090,"")</f>
        <v/>
      </c>
      <c r="O2090" s="6" t="str">
        <f t="shared" si="2093"/>
        <v/>
      </c>
      <c r="P2090" s="6" t="str">
        <f t="shared" si="2093"/>
        <v/>
      </c>
      <c r="Q2090" s="6"/>
      <c r="R2090" s="6"/>
      <c r="S2090" s="6"/>
      <c r="T2090" s="6"/>
      <c r="U2090" s="6"/>
      <c r="V2090" s="6"/>
      <c r="W2090" s="6"/>
      <c r="X2090" s="6"/>
      <c r="Y2090" s="6"/>
      <c r="Z2090" s="6"/>
      <c r="AA2090" s="6"/>
      <c r="AB2090" s="6"/>
      <c r="AC2090" s="6"/>
      <c r="AD2090" s="6"/>
      <c r="AE2090" s="6"/>
      <c r="AF2090" s="6"/>
      <c r="AG2090" s="6"/>
    </row>
    <row r="2091" ht="14.25" customHeight="1">
      <c r="A2091" s="6"/>
      <c r="B2091" s="6"/>
      <c r="C2091" s="6"/>
      <c r="D2091" s="6"/>
      <c r="E2091" s="6"/>
      <c r="F2091" s="6"/>
      <c r="G2091" s="6"/>
      <c r="H2091" s="6"/>
      <c r="I2091" s="6"/>
      <c r="J2091" s="6"/>
      <c r="K2091" s="6"/>
      <c r="L2091" s="6"/>
      <c r="M2091" s="6"/>
      <c r="N2091" s="6" t="str">
        <f t="shared" ref="N2091:P2091" si="2094">IF(LEN($C2091)&gt;0,H2091-E2091,"")</f>
        <v/>
      </c>
      <c r="O2091" s="6" t="str">
        <f t="shared" si="2094"/>
        <v/>
      </c>
      <c r="P2091" s="6" t="str">
        <f t="shared" si="2094"/>
        <v/>
      </c>
      <c r="Q2091" s="6"/>
      <c r="R2091" s="6"/>
      <c r="S2091" s="6"/>
      <c r="T2091" s="6"/>
      <c r="U2091" s="6"/>
      <c r="V2091" s="6"/>
      <c r="W2091" s="6"/>
      <c r="X2091" s="6"/>
      <c r="Y2091" s="6"/>
      <c r="Z2091" s="6"/>
      <c r="AA2091" s="6"/>
      <c r="AB2091" s="6"/>
      <c r="AC2091" s="6"/>
      <c r="AD2091" s="6"/>
      <c r="AE2091" s="6"/>
      <c r="AF2091" s="6"/>
      <c r="AG2091" s="6"/>
    </row>
    <row r="2092" ht="14.25" customHeight="1">
      <c r="A2092" s="6"/>
      <c r="B2092" s="6"/>
      <c r="C2092" s="6"/>
      <c r="D2092" s="6"/>
      <c r="E2092" s="6"/>
      <c r="F2092" s="6"/>
      <c r="G2092" s="6"/>
      <c r="H2092" s="6"/>
      <c r="I2092" s="6"/>
      <c r="J2092" s="6"/>
      <c r="K2092" s="6"/>
      <c r="L2092" s="6"/>
      <c r="M2092" s="6"/>
      <c r="N2092" s="6" t="str">
        <f t="shared" ref="N2092:P2092" si="2095">IF(LEN($C2092)&gt;0,H2092-E2092,"")</f>
        <v/>
      </c>
      <c r="O2092" s="6" t="str">
        <f t="shared" si="2095"/>
        <v/>
      </c>
      <c r="P2092" s="6" t="str">
        <f t="shared" si="2095"/>
        <v/>
      </c>
      <c r="Q2092" s="6"/>
      <c r="R2092" s="6"/>
      <c r="S2092" s="6"/>
      <c r="T2092" s="6"/>
      <c r="U2092" s="6"/>
      <c r="V2092" s="6"/>
      <c r="W2092" s="6"/>
      <c r="X2092" s="6"/>
      <c r="Y2092" s="6"/>
      <c r="Z2092" s="6"/>
      <c r="AA2092" s="6"/>
      <c r="AB2092" s="6"/>
      <c r="AC2092" s="6"/>
      <c r="AD2092" s="6"/>
      <c r="AE2092" s="6"/>
      <c r="AF2092" s="6"/>
      <c r="AG2092" s="6"/>
    </row>
    <row r="2093" ht="14.25" customHeight="1">
      <c r="A2093" s="6"/>
      <c r="B2093" s="6"/>
      <c r="C2093" s="6"/>
      <c r="D2093" s="6"/>
      <c r="E2093" s="6"/>
      <c r="F2093" s="6"/>
      <c r="G2093" s="6"/>
      <c r="H2093" s="6"/>
      <c r="I2093" s="6"/>
      <c r="J2093" s="6"/>
      <c r="K2093" s="6"/>
      <c r="L2093" s="6"/>
      <c r="M2093" s="6"/>
      <c r="N2093" s="6" t="str">
        <f t="shared" ref="N2093:P2093" si="2096">IF(LEN($C2093)&gt;0,H2093-E2093,"")</f>
        <v/>
      </c>
      <c r="O2093" s="6" t="str">
        <f t="shared" si="2096"/>
        <v/>
      </c>
      <c r="P2093" s="6" t="str">
        <f t="shared" si="2096"/>
        <v/>
      </c>
      <c r="Q2093" s="6"/>
      <c r="R2093" s="6"/>
      <c r="S2093" s="6"/>
      <c r="T2093" s="6"/>
      <c r="U2093" s="6"/>
      <c r="V2093" s="6"/>
      <c r="W2093" s="6"/>
      <c r="X2093" s="6"/>
      <c r="Y2093" s="6"/>
      <c r="Z2093" s="6"/>
      <c r="AA2093" s="6"/>
      <c r="AB2093" s="6"/>
      <c r="AC2093" s="6"/>
      <c r="AD2093" s="6"/>
      <c r="AE2093" s="6"/>
      <c r="AF2093" s="6"/>
      <c r="AG2093" s="6"/>
    </row>
    <row r="2094" ht="14.25" customHeight="1">
      <c r="A2094" s="6"/>
      <c r="B2094" s="6"/>
      <c r="C2094" s="6"/>
      <c r="D2094" s="6"/>
      <c r="E2094" s="6"/>
      <c r="F2094" s="6"/>
      <c r="G2094" s="6"/>
      <c r="H2094" s="6"/>
      <c r="I2094" s="6"/>
      <c r="J2094" s="6"/>
      <c r="K2094" s="6"/>
      <c r="L2094" s="6"/>
      <c r="M2094" s="6"/>
      <c r="N2094" s="6" t="str">
        <f t="shared" ref="N2094:P2094" si="2097">IF(LEN($C2094)&gt;0,H2094-E2094,"")</f>
        <v/>
      </c>
      <c r="O2094" s="6" t="str">
        <f t="shared" si="2097"/>
        <v/>
      </c>
      <c r="P2094" s="6" t="str">
        <f t="shared" si="2097"/>
        <v/>
      </c>
      <c r="Q2094" s="6"/>
      <c r="R2094" s="6"/>
      <c r="S2094" s="6"/>
      <c r="T2094" s="6"/>
      <c r="U2094" s="6"/>
      <c r="V2094" s="6"/>
      <c r="W2094" s="6"/>
      <c r="X2094" s="6"/>
      <c r="Y2094" s="6"/>
      <c r="Z2094" s="6"/>
      <c r="AA2094" s="6"/>
      <c r="AB2094" s="6"/>
      <c r="AC2094" s="6"/>
      <c r="AD2094" s="6"/>
      <c r="AE2094" s="6"/>
      <c r="AF2094" s="6"/>
      <c r="AG2094" s="6"/>
    </row>
    <row r="2095" ht="14.25" customHeight="1">
      <c r="A2095" s="6"/>
      <c r="B2095" s="6"/>
      <c r="C2095" s="6"/>
      <c r="D2095" s="6"/>
      <c r="E2095" s="6"/>
      <c r="F2095" s="6"/>
      <c r="G2095" s="6"/>
      <c r="H2095" s="6"/>
      <c r="I2095" s="6"/>
      <c r="J2095" s="6"/>
      <c r="K2095" s="6"/>
      <c r="L2095" s="6"/>
      <c r="M2095" s="6"/>
      <c r="N2095" s="6" t="str">
        <f t="shared" ref="N2095:P2095" si="2098">IF(LEN($C2095)&gt;0,H2095-E2095,"")</f>
        <v/>
      </c>
      <c r="O2095" s="6" t="str">
        <f t="shared" si="2098"/>
        <v/>
      </c>
      <c r="P2095" s="6" t="str">
        <f t="shared" si="2098"/>
        <v/>
      </c>
      <c r="Q2095" s="6"/>
      <c r="R2095" s="6"/>
      <c r="S2095" s="6"/>
      <c r="T2095" s="6"/>
      <c r="U2095" s="6"/>
      <c r="V2095" s="6"/>
      <c r="W2095" s="6"/>
      <c r="X2095" s="6"/>
      <c r="Y2095" s="6"/>
      <c r="Z2095" s="6"/>
      <c r="AA2095" s="6"/>
      <c r="AB2095" s="6"/>
      <c r="AC2095" s="6"/>
      <c r="AD2095" s="6"/>
      <c r="AE2095" s="6"/>
      <c r="AF2095" s="6"/>
      <c r="AG2095" s="6"/>
    </row>
    <row r="2096" ht="14.25" customHeight="1">
      <c r="A2096" s="6"/>
      <c r="B2096" s="6"/>
      <c r="C2096" s="6"/>
      <c r="D2096" s="6"/>
      <c r="E2096" s="6"/>
      <c r="F2096" s="6"/>
      <c r="G2096" s="6"/>
      <c r="H2096" s="6"/>
      <c r="I2096" s="6"/>
      <c r="J2096" s="6"/>
      <c r="K2096" s="6"/>
      <c r="L2096" s="6"/>
      <c r="M2096" s="6"/>
      <c r="N2096" s="6" t="str">
        <f t="shared" ref="N2096:P2096" si="2099">IF(LEN($C2096)&gt;0,H2096-E2096,"")</f>
        <v/>
      </c>
      <c r="O2096" s="6" t="str">
        <f t="shared" si="2099"/>
        <v/>
      </c>
      <c r="P2096" s="6" t="str">
        <f t="shared" si="2099"/>
        <v/>
      </c>
      <c r="Q2096" s="6"/>
      <c r="R2096" s="6"/>
      <c r="S2096" s="6"/>
      <c r="T2096" s="6"/>
      <c r="U2096" s="6"/>
      <c r="V2096" s="6"/>
      <c r="W2096" s="6"/>
      <c r="X2096" s="6"/>
      <c r="Y2096" s="6"/>
      <c r="Z2096" s="6"/>
      <c r="AA2096" s="6"/>
      <c r="AB2096" s="6"/>
      <c r="AC2096" s="6"/>
      <c r="AD2096" s="6"/>
      <c r="AE2096" s="6"/>
      <c r="AF2096" s="6"/>
      <c r="AG2096" s="6"/>
    </row>
    <row r="2097" ht="14.25" customHeight="1">
      <c r="A2097" s="6"/>
      <c r="B2097" s="6"/>
      <c r="C2097" s="6"/>
      <c r="D2097" s="6"/>
      <c r="E2097" s="6"/>
      <c r="F2097" s="6"/>
      <c r="G2097" s="6"/>
      <c r="H2097" s="6"/>
      <c r="I2097" s="6"/>
      <c r="J2097" s="6"/>
      <c r="K2097" s="6"/>
      <c r="L2097" s="6"/>
      <c r="M2097" s="6"/>
      <c r="N2097" s="6" t="str">
        <f t="shared" ref="N2097:P2097" si="2100">IF(LEN($C2097)&gt;0,H2097-E2097,"")</f>
        <v/>
      </c>
      <c r="O2097" s="6" t="str">
        <f t="shared" si="2100"/>
        <v/>
      </c>
      <c r="P2097" s="6" t="str">
        <f t="shared" si="2100"/>
        <v/>
      </c>
      <c r="Q2097" s="6"/>
      <c r="R2097" s="6"/>
      <c r="S2097" s="6"/>
      <c r="T2097" s="6"/>
      <c r="U2097" s="6"/>
      <c r="V2097" s="6"/>
      <c r="W2097" s="6"/>
      <c r="X2097" s="6"/>
      <c r="Y2097" s="6"/>
      <c r="Z2097" s="6"/>
      <c r="AA2097" s="6"/>
      <c r="AB2097" s="6"/>
      <c r="AC2097" s="6"/>
      <c r="AD2097" s="6"/>
      <c r="AE2097" s="6"/>
      <c r="AF2097" s="6"/>
      <c r="AG2097" s="6"/>
    </row>
    <row r="2098" ht="14.25" customHeight="1">
      <c r="A2098" s="6"/>
      <c r="B2098" s="6"/>
      <c r="C2098" s="6"/>
      <c r="D2098" s="6"/>
      <c r="E2098" s="6"/>
      <c r="F2098" s="6"/>
      <c r="G2098" s="6"/>
      <c r="H2098" s="6"/>
      <c r="I2098" s="6"/>
      <c r="J2098" s="6"/>
      <c r="K2098" s="6"/>
      <c r="L2098" s="6"/>
      <c r="M2098" s="6"/>
      <c r="N2098" s="6" t="str">
        <f t="shared" ref="N2098:P2098" si="2101">IF(LEN($C2098)&gt;0,H2098-E2098,"")</f>
        <v/>
      </c>
      <c r="O2098" s="6" t="str">
        <f t="shared" si="2101"/>
        <v/>
      </c>
      <c r="P2098" s="6" t="str">
        <f t="shared" si="2101"/>
        <v/>
      </c>
      <c r="Q2098" s="6"/>
      <c r="R2098" s="6"/>
      <c r="S2098" s="6"/>
      <c r="T2098" s="6"/>
      <c r="U2098" s="6"/>
      <c r="V2098" s="6"/>
      <c r="W2098" s="6"/>
      <c r="X2098" s="6"/>
      <c r="Y2098" s="6"/>
      <c r="Z2098" s="6"/>
      <c r="AA2098" s="6"/>
      <c r="AB2098" s="6"/>
      <c r="AC2098" s="6"/>
      <c r="AD2098" s="6"/>
      <c r="AE2098" s="6"/>
      <c r="AF2098" s="6"/>
      <c r="AG2098" s="6"/>
    </row>
    <row r="2099" ht="14.25" customHeight="1">
      <c r="A2099" s="6"/>
      <c r="B2099" s="6"/>
      <c r="C2099" s="6"/>
      <c r="D2099" s="6"/>
      <c r="E2099" s="6"/>
      <c r="F2099" s="6"/>
      <c r="G2099" s="6"/>
      <c r="H2099" s="6"/>
      <c r="I2099" s="6"/>
      <c r="J2099" s="6"/>
      <c r="K2099" s="6"/>
      <c r="L2099" s="6"/>
      <c r="M2099" s="6"/>
      <c r="N2099" s="6" t="str">
        <f t="shared" ref="N2099:P2099" si="2102">IF(LEN($C2099)&gt;0,H2099-E2099,"")</f>
        <v/>
      </c>
      <c r="O2099" s="6" t="str">
        <f t="shared" si="2102"/>
        <v/>
      </c>
      <c r="P2099" s="6" t="str">
        <f t="shared" si="2102"/>
        <v/>
      </c>
      <c r="Q2099" s="6"/>
      <c r="R2099" s="6"/>
      <c r="S2099" s="6"/>
      <c r="T2099" s="6"/>
      <c r="U2099" s="6"/>
      <c r="V2099" s="6"/>
      <c r="W2099" s="6"/>
      <c r="X2099" s="6"/>
      <c r="Y2099" s="6"/>
      <c r="Z2099" s="6"/>
      <c r="AA2099" s="6"/>
      <c r="AB2099" s="6"/>
      <c r="AC2099" s="6"/>
      <c r="AD2099" s="6"/>
      <c r="AE2099" s="6"/>
      <c r="AF2099" s="6"/>
      <c r="AG2099" s="6"/>
    </row>
    <row r="2100" ht="14.25" customHeight="1">
      <c r="A2100" s="6"/>
      <c r="B2100" s="6"/>
      <c r="C2100" s="6"/>
      <c r="D2100" s="6"/>
      <c r="E2100" s="6"/>
      <c r="F2100" s="6"/>
      <c r="G2100" s="6"/>
      <c r="H2100" s="6"/>
      <c r="I2100" s="6"/>
      <c r="J2100" s="6"/>
      <c r="K2100" s="6"/>
      <c r="L2100" s="6"/>
      <c r="M2100" s="6"/>
      <c r="N2100" s="6" t="str">
        <f t="shared" ref="N2100:P2100" si="2103">IF(LEN($C2100)&gt;0,H2100-E2100,"")</f>
        <v/>
      </c>
      <c r="O2100" s="6" t="str">
        <f t="shared" si="2103"/>
        <v/>
      </c>
      <c r="P2100" s="6" t="str">
        <f t="shared" si="2103"/>
        <v/>
      </c>
      <c r="Q2100" s="6"/>
      <c r="R2100" s="6"/>
      <c r="S2100" s="6"/>
      <c r="T2100" s="6"/>
      <c r="U2100" s="6"/>
      <c r="V2100" s="6"/>
      <c r="W2100" s="6"/>
      <c r="X2100" s="6"/>
      <c r="Y2100" s="6"/>
      <c r="Z2100" s="6"/>
      <c r="AA2100" s="6"/>
      <c r="AB2100" s="6"/>
      <c r="AC2100" s="6"/>
      <c r="AD2100" s="6"/>
      <c r="AE2100" s="6"/>
      <c r="AF2100" s="6"/>
      <c r="AG2100" s="6"/>
    </row>
    <row r="2101" ht="14.25" customHeight="1">
      <c r="A2101" s="6"/>
      <c r="B2101" s="6"/>
      <c r="C2101" s="6"/>
      <c r="D2101" s="6"/>
      <c r="E2101" s="6"/>
      <c r="F2101" s="6"/>
      <c r="G2101" s="6"/>
      <c r="H2101" s="6"/>
      <c r="I2101" s="6"/>
      <c r="J2101" s="6"/>
      <c r="K2101" s="6"/>
      <c r="L2101" s="6"/>
      <c r="M2101" s="6"/>
      <c r="N2101" s="6" t="str">
        <f t="shared" ref="N2101:P2101" si="2104">IF(LEN($C2101)&gt;0,H2101-E2101,"")</f>
        <v/>
      </c>
      <c r="O2101" s="6" t="str">
        <f t="shared" si="2104"/>
        <v/>
      </c>
      <c r="P2101" s="6" t="str">
        <f t="shared" si="2104"/>
        <v/>
      </c>
      <c r="Q2101" s="6"/>
      <c r="R2101" s="6"/>
      <c r="S2101" s="6"/>
      <c r="T2101" s="6"/>
      <c r="U2101" s="6"/>
      <c r="V2101" s="6"/>
      <c r="W2101" s="6"/>
      <c r="X2101" s="6"/>
      <c r="Y2101" s="6"/>
      <c r="Z2101" s="6"/>
      <c r="AA2101" s="6"/>
      <c r="AB2101" s="6"/>
      <c r="AC2101" s="6"/>
      <c r="AD2101" s="6"/>
      <c r="AE2101" s="6"/>
      <c r="AF2101" s="6"/>
      <c r="AG2101" s="6"/>
    </row>
    <row r="2102" ht="14.25" customHeight="1">
      <c r="A2102" s="6"/>
      <c r="B2102" s="6"/>
      <c r="C2102" s="6"/>
      <c r="D2102" s="6"/>
      <c r="E2102" s="6"/>
      <c r="F2102" s="6"/>
      <c r="G2102" s="6"/>
      <c r="H2102" s="6"/>
      <c r="I2102" s="6"/>
      <c r="J2102" s="6"/>
      <c r="K2102" s="6"/>
      <c r="L2102" s="6"/>
      <c r="M2102" s="6"/>
      <c r="N2102" s="6" t="str">
        <f t="shared" ref="N2102:P2102" si="2105">IF(LEN($C2102)&gt;0,H2102-E2102,"")</f>
        <v/>
      </c>
      <c r="O2102" s="6" t="str">
        <f t="shared" si="2105"/>
        <v/>
      </c>
      <c r="P2102" s="6" t="str">
        <f t="shared" si="2105"/>
        <v/>
      </c>
      <c r="Q2102" s="6"/>
      <c r="R2102" s="6"/>
      <c r="S2102" s="6"/>
      <c r="T2102" s="6"/>
      <c r="U2102" s="6"/>
      <c r="V2102" s="6"/>
      <c r="W2102" s="6"/>
      <c r="X2102" s="6"/>
      <c r="Y2102" s="6"/>
      <c r="Z2102" s="6"/>
      <c r="AA2102" s="6"/>
      <c r="AB2102" s="6"/>
      <c r="AC2102" s="6"/>
      <c r="AD2102" s="6"/>
      <c r="AE2102" s="6"/>
      <c r="AF2102" s="6"/>
      <c r="AG2102" s="6"/>
    </row>
    <row r="2103" ht="14.25" customHeight="1">
      <c r="A2103" s="6"/>
      <c r="B2103" s="6"/>
      <c r="C2103" s="6"/>
      <c r="D2103" s="6"/>
      <c r="E2103" s="6"/>
      <c r="F2103" s="6"/>
      <c r="G2103" s="6"/>
      <c r="H2103" s="6"/>
      <c r="I2103" s="6"/>
      <c r="J2103" s="6"/>
      <c r="K2103" s="6"/>
      <c r="L2103" s="6"/>
      <c r="M2103" s="6"/>
      <c r="N2103" s="6" t="str">
        <f t="shared" ref="N2103:P2103" si="2106">IF(LEN($C2103)&gt;0,H2103-E2103,"")</f>
        <v/>
      </c>
      <c r="O2103" s="6" t="str">
        <f t="shared" si="2106"/>
        <v/>
      </c>
      <c r="P2103" s="6" t="str">
        <f t="shared" si="2106"/>
        <v/>
      </c>
      <c r="Q2103" s="6"/>
      <c r="R2103" s="6"/>
      <c r="S2103" s="6"/>
      <c r="T2103" s="6"/>
      <c r="U2103" s="6"/>
      <c r="V2103" s="6"/>
      <c r="W2103" s="6"/>
      <c r="X2103" s="6"/>
      <c r="Y2103" s="6"/>
      <c r="Z2103" s="6"/>
      <c r="AA2103" s="6"/>
      <c r="AB2103" s="6"/>
      <c r="AC2103" s="6"/>
      <c r="AD2103" s="6"/>
      <c r="AE2103" s="6"/>
      <c r="AF2103" s="6"/>
      <c r="AG2103" s="6"/>
    </row>
    <row r="2104" ht="14.25" customHeight="1">
      <c r="A2104" s="6"/>
      <c r="B2104" s="6"/>
      <c r="C2104" s="6"/>
      <c r="D2104" s="6"/>
      <c r="E2104" s="6"/>
      <c r="F2104" s="6"/>
      <c r="G2104" s="6"/>
      <c r="H2104" s="6"/>
      <c r="I2104" s="6"/>
      <c r="J2104" s="6"/>
      <c r="K2104" s="6"/>
      <c r="L2104" s="6"/>
      <c r="M2104" s="6"/>
      <c r="N2104" s="6" t="str">
        <f t="shared" ref="N2104:P2104" si="2107">IF(LEN($C2104)&gt;0,H2104-E2104,"")</f>
        <v/>
      </c>
      <c r="O2104" s="6" t="str">
        <f t="shared" si="2107"/>
        <v/>
      </c>
      <c r="P2104" s="6" t="str">
        <f t="shared" si="2107"/>
        <v/>
      </c>
      <c r="Q2104" s="6"/>
      <c r="R2104" s="6"/>
      <c r="S2104" s="6"/>
      <c r="T2104" s="6"/>
      <c r="U2104" s="6"/>
      <c r="V2104" s="6"/>
      <c r="W2104" s="6"/>
      <c r="X2104" s="6"/>
      <c r="Y2104" s="6"/>
      <c r="Z2104" s="6"/>
      <c r="AA2104" s="6"/>
      <c r="AB2104" s="6"/>
      <c r="AC2104" s="6"/>
      <c r="AD2104" s="6"/>
      <c r="AE2104" s="6"/>
      <c r="AF2104" s="6"/>
      <c r="AG2104" s="6"/>
    </row>
    <row r="2105" ht="14.25" customHeight="1">
      <c r="A2105" s="6"/>
      <c r="B2105" s="6"/>
      <c r="C2105" s="6"/>
      <c r="D2105" s="6"/>
      <c r="E2105" s="6"/>
      <c r="F2105" s="6"/>
      <c r="G2105" s="6"/>
      <c r="H2105" s="6"/>
      <c r="I2105" s="6"/>
      <c r="J2105" s="6"/>
      <c r="K2105" s="6"/>
      <c r="L2105" s="6"/>
      <c r="M2105" s="6"/>
      <c r="N2105" s="6" t="str">
        <f t="shared" ref="N2105:P2105" si="2108">IF(LEN($C2105)&gt;0,H2105-E2105,"")</f>
        <v/>
      </c>
      <c r="O2105" s="6" t="str">
        <f t="shared" si="2108"/>
        <v/>
      </c>
      <c r="P2105" s="6" t="str">
        <f t="shared" si="2108"/>
        <v/>
      </c>
      <c r="Q2105" s="6"/>
      <c r="R2105" s="6"/>
      <c r="S2105" s="6"/>
      <c r="T2105" s="6"/>
      <c r="U2105" s="6"/>
      <c r="V2105" s="6"/>
      <c r="W2105" s="6"/>
      <c r="X2105" s="6"/>
      <c r="Y2105" s="6"/>
      <c r="Z2105" s="6"/>
      <c r="AA2105" s="6"/>
      <c r="AB2105" s="6"/>
      <c r="AC2105" s="6"/>
      <c r="AD2105" s="6"/>
      <c r="AE2105" s="6"/>
      <c r="AF2105" s="6"/>
      <c r="AG2105" s="6"/>
    </row>
    <row r="2106" ht="14.25" customHeight="1">
      <c r="A2106" s="6"/>
      <c r="B2106" s="6"/>
      <c r="C2106" s="6"/>
      <c r="D2106" s="6"/>
      <c r="E2106" s="6"/>
      <c r="F2106" s="6"/>
      <c r="G2106" s="6"/>
      <c r="H2106" s="6"/>
      <c r="I2106" s="6"/>
      <c r="J2106" s="6"/>
      <c r="K2106" s="6"/>
      <c r="L2106" s="6"/>
      <c r="M2106" s="6"/>
      <c r="N2106" s="6" t="str">
        <f t="shared" ref="N2106:P2106" si="2109">IF(LEN($C2106)&gt;0,H2106-E2106,"")</f>
        <v/>
      </c>
      <c r="O2106" s="6" t="str">
        <f t="shared" si="2109"/>
        <v/>
      </c>
      <c r="P2106" s="6" t="str">
        <f t="shared" si="2109"/>
        <v/>
      </c>
      <c r="Q2106" s="6"/>
      <c r="R2106" s="6"/>
      <c r="S2106" s="6"/>
      <c r="T2106" s="6"/>
      <c r="U2106" s="6"/>
      <c r="V2106" s="6"/>
      <c r="W2106" s="6"/>
      <c r="X2106" s="6"/>
      <c r="Y2106" s="6"/>
      <c r="Z2106" s="6"/>
      <c r="AA2106" s="6"/>
      <c r="AB2106" s="6"/>
      <c r="AC2106" s="6"/>
      <c r="AD2106" s="6"/>
      <c r="AE2106" s="6"/>
      <c r="AF2106" s="6"/>
      <c r="AG2106" s="6"/>
    </row>
    <row r="2107" ht="14.25" customHeight="1">
      <c r="A2107" s="6"/>
      <c r="B2107" s="6"/>
      <c r="C2107" s="6"/>
      <c r="D2107" s="6"/>
      <c r="E2107" s="6"/>
      <c r="F2107" s="6"/>
      <c r="G2107" s="6"/>
      <c r="H2107" s="6"/>
      <c r="I2107" s="6"/>
      <c r="J2107" s="6"/>
      <c r="K2107" s="6"/>
      <c r="L2107" s="6"/>
      <c r="M2107" s="6"/>
      <c r="N2107" s="6" t="str">
        <f t="shared" ref="N2107:P2107" si="2110">IF(LEN($C2107)&gt;0,H2107-E2107,"")</f>
        <v/>
      </c>
      <c r="O2107" s="6" t="str">
        <f t="shared" si="2110"/>
        <v/>
      </c>
      <c r="P2107" s="6" t="str">
        <f t="shared" si="2110"/>
        <v/>
      </c>
      <c r="Q2107" s="6"/>
      <c r="R2107" s="6"/>
      <c r="S2107" s="6"/>
      <c r="T2107" s="6"/>
      <c r="U2107" s="6"/>
      <c r="V2107" s="6"/>
      <c r="W2107" s="6"/>
      <c r="X2107" s="6"/>
      <c r="Y2107" s="6"/>
      <c r="Z2107" s="6"/>
      <c r="AA2107" s="6"/>
      <c r="AB2107" s="6"/>
      <c r="AC2107" s="6"/>
      <c r="AD2107" s="6"/>
      <c r="AE2107" s="6"/>
      <c r="AF2107" s="6"/>
      <c r="AG2107" s="6"/>
    </row>
    <row r="2108" ht="14.25" customHeight="1">
      <c r="A2108" s="6"/>
      <c r="B2108" s="6"/>
      <c r="C2108" s="6"/>
      <c r="D2108" s="6"/>
      <c r="E2108" s="6"/>
      <c r="F2108" s="6"/>
      <c r="G2108" s="6"/>
      <c r="H2108" s="6"/>
      <c r="I2108" s="6"/>
      <c r="J2108" s="6"/>
      <c r="K2108" s="6"/>
      <c r="L2108" s="6"/>
      <c r="M2108" s="6"/>
      <c r="N2108" s="6" t="str">
        <f t="shared" ref="N2108:P2108" si="2111">IF(LEN($C2108)&gt;0,H2108-E2108,"")</f>
        <v/>
      </c>
      <c r="O2108" s="6" t="str">
        <f t="shared" si="2111"/>
        <v/>
      </c>
      <c r="P2108" s="6" t="str">
        <f t="shared" si="2111"/>
        <v/>
      </c>
      <c r="Q2108" s="6"/>
      <c r="R2108" s="6"/>
      <c r="S2108" s="6"/>
      <c r="T2108" s="6"/>
      <c r="U2108" s="6"/>
      <c r="V2108" s="6"/>
      <c r="W2108" s="6"/>
      <c r="X2108" s="6"/>
      <c r="Y2108" s="6"/>
      <c r="Z2108" s="6"/>
      <c r="AA2108" s="6"/>
      <c r="AB2108" s="6"/>
      <c r="AC2108" s="6"/>
      <c r="AD2108" s="6"/>
      <c r="AE2108" s="6"/>
      <c r="AF2108" s="6"/>
      <c r="AG2108" s="6"/>
    </row>
    <row r="2109" ht="14.25" customHeight="1">
      <c r="A2109" s="6"/>
      <c r="B2109" s="6"/>
      <c r="C2109" s="6"/>
      <c r="D2109" s="6"/>
      <c r="E2109" s="6"/>
      <c r="F2109" s="6"/>
      <c r="G2109" s="6"/>
      <c r="H2109" s="6"/>
      <c r="I2109" s="6"/>
      <c r="J2109" s="6"/>
      <c r="K2109" s="6"/>
      <c r="L2109" s="6"/>
      <c r="M2109" s="6"/>
      <c r="N2109" s="6" t="str">
        <f t="shared" ref="N2109:P2109" si="2112">IF(LEN($C2109)&gt;0,H2109-E2109,"")</f>
        <v/>
      </c>
      <c r="O2109" s="6" t="str">
        <f t="shared" si="2112"/>
        <v/>
      </c>
      <c r="P2109" s="6" t="str">
        <f t="shared" si="2112"/>
        <v/>
      </c>
      <c r="Q2109" s="6"/>
      <c r="R2109" s="6"/>
      <c r="S2109" s="6"/>
      <c r="T2109" s="6"/>
      <c r="U2109" s="6"/>
      <c r="V2109" s="6"/>
      <c r="W2109" s="6"/>
      <c r="X2109" s="6"/>
      <c r="Y2109" s="6"/>
      <c r="Z2109" s="6"/>
      <c r="AA2109" s="6"/>
      <c r="AB2109" s="6"/>
      <c r="AC2109" s="6"/>
      <c r="AD2109" s="6"/>
      <c r="AE2109" s="6"/>
      <c r="AF2109" s="6"/>
      <c r="AG2109" s="6"/>
    </row>
    <row r="2110" ht="14.25" customHeight="1">
      <c r="A2110" s="6"/>
      <c r="B2110" s="6"/>
      <c r="C2110" s="6"/>
      <c r="D2110" s="6"/>
      <c r="E2110" s="6"/>
      <c r="F2110" s="6"/>
      <c r="G2110" s="6"/>
      <c r="H2110" s="6"/>
      <c r="I2110" s="6"/>
      <c r="J2110" s="6"/>
      <c r="K2110" s="6"/>
      <c r="L2110" s="6"/>
      <c r="M2110" s="6"/>
      <c r="N2110" s="6" t="str">
        <f t="shared" ref="N2110:P2110" si="2113">IF(LEN($C2110)&gt;0,H2110-E2110,"")</f>
        <v/>
      </c>
      <c r="O2110" s="6" t="str">
        <f t="shared" si="2113"/>
        <v/>
      </c>
      <c r="P2110" s="6" t="str">
        <f t="shared" si="2113"/>
        <v/>
      </c>
      <c r="Q2110" s="6"/>
      <c r="R2110" s="6"/>
      <c r="S2110" s="6"/>
      <c r="T2110" s="6"/>
      <c r="U2110" s="6"/>
      <c r="V2110" s="6"/>
      <c r="W2110" s="6"/>
      <c r="X2110" s="6"/>
      <c r="Y2110" s="6"/>
      <c r="Z2110" s="6"/>
      <c r="AA2110" s="6"/>
      <c r="AB2110" s="6"/>
      <c r="AC2110" s="6"/>
      <c r="AD2110" s="6"/>
      <c r="AE2110" s="6"/>
      <c r="AF2110" s="6"/>
      <c r="AG2110" s="6"/>
    </row>
    <row r="2111" ht="14.25" customHeight="1">
      <c r="A2111" s="6"/>
      <c r="B2111" s="6"/>
      <c r="C2111" s="6"/>
      <c r="D2111" s="6"/>
      <c r="E2111" s="6"/>
      <c r="F2111" s="6"/>
      <c r="G2111" s="6"/>
      <c r="H2111" s="6"/>
      <c r="I2111" s="6"/>
      <c r="J2111" s="6"/>
      <c r="K2111" s="6"/>
      <c r="L2111" s="6"/>
      <c r="M2111" s="6"/>
      <c r="N2111" s="6" t="str">
        <f t="shared" ref="N2111:P2111" si="2114">IF(LEN($C2111)&gt;0,H2111-E2111,"")</f>
        <v/>
      </c>
      <c r="O2111" s="6" t="str">
        <f t="shared" si="2114"/>
        <v/>
      </c>
      <c r="P2111" s="6" t="str">
        <f t="shared" si="2114"/>
        <v/>
      </c>
      <c r="Q2111" s="6"/>
      <c r="R2111" s="6"/>
      <c r="S2111" s="6"/>
      <c r="T2111" s="6"/>
      <c r="U2111" s="6"/>
      <c r="V2111" s="6"/>
      <c r="W2111" s="6"/>
      <c r="X2111" s="6"/>
      <c r="Y2111" s="6"/>
      <c r="Z2111" s="6"/>
      <c r="AA2111" s="6"/>
      <c r="AB2111" s="6"/>
      <c r="AC2111" s="6"/>
      <c r="AD2111" s="6"/>
      <c r="AE2111" s="6"/>
      <c r="AF2111" s="6"/>
      <c r="AG2111" s="6"/>
    </row>
    <row r="2112" ht="14.25" customHeight="1">
      <c r="A2112" s="6"/>
      <c r="B2112" s="6"/>
      <c r="C2112" s="6"/>
      <c r="D2112" s="6"/>
      <c r="E2112" s="6"/>
      <c r="F2112" s="6"/>
      <c r="G2112" s="6"/>
      <c r="H2112" s="6"/>
      <c r="I2112" s="6"/>
      <c r="J2112" s="6"/>
      <c r="K2112" s="6"/>
      <c r="L2112" s="6"/>
      <c r="M2112" s="6"/>
      <c r="N2112" s="6" t="str">
        <f t="shared" ref="N2112:P2112" si="2115">IF(LEN($C2112)&gt;0,H2112-E2112,"")</f>
        <v/>
      </c>
      <c r="O2112" s="6" t="str">
        <f t="shared" si="2115"/>
        <v/>
      </c>
      <c r="P2112" s="6" t="str">
        <f t="shared" si="2115"/>
        <v/>
      </c>
      <c r="Q2112" s="6"/>
      <c r="R2112" s="6"/>
      <c r="S2112" s="6"/>
      <c r="T2112" s="6"/>
      <c r="U2112" s="6"/>
      <c r="V2112" s="6"/>
      <c r="W2112" s="6"/>
      <c r="X2112" s="6"/>
      <c r="Y2112" s="6"/>
      <c r="Z2112" s="6"/>
      <c r="AA2112" s="6"/>
      <c r="AB2112" s="6"/>
      <c r="AC2112" s="6"/>
      <c r="AD2112" s="6"/>
      <c r="AE2112" s="6"/>
      <c r="AF2112" s="6"/>
      <c r="AG2112" s="6"/>
    </row>
    <row r="2113" ht="14.25" customHeight="1">
      <c r="A2113" s="6"/>
      <c r="B2113" s="6"/>
      <c r="C2113" s="6"/>
      <c r="D2113" s="6"/>
      <c r="E2113" s="6"/>
      <c r="F2113" s="6"/>
      <c r="G2113" s="6"/>
      <c r="H2113" s="6"/>
      <c r="I2113" s="6"/>
      <c r="J2113" s="6"/>
      <c r="K2113" s="6"/>
      <c r="L2113" s="6"/>
      <c r="M2113" s="6"/>
      <c r="N2113" s="6" t="str">
        <f t="shared" ref="N2113:P2113" si="2116">IF(LEN($C2113)&gt;0,H2113-E2113,"")</f>
        <v/>
      </c>
      <c r="O2113" s="6" t="str">
        <f t="shared" si="2116"/>
        <v/>
      </c>
      <c r="P2113" s="6" t="str">
        <f t="shared" si="2116"/>
        <v/>
      </c>
      <c r="Q2113" s="6"/>
      <c r="R2113" s="6"/>
      <c r="S2113" s="6"/>
      <c r="T2113" s="6"/>
      <c r="U2113" s="6"/>
      <c r="V2113" s="6"/>
      <c r="W2113" s="6"/>
      <c r="X2113" s="6"/>
      <c r="Y2113" s="6"/>
      <c r="Z2113" s="6"/>
      <c r="AA2113" s="6"/>
      <c r="AB2113" s="6"/>
      <c r="AC2113" s="6"/>
      <c r="AD2113" s="6"/>
      <c r="AE2113" s="6"/>
      <c r="AF2113" s="6"/>
      <c r="AG2113" s="6"/>
    </row>
    <row r="2114" ht="14.25" customHeight="1">
      <c r="A2114" s="6"/>
      <c r="B2114" s="6"/>
      <c r="C2114" s="6"/>
      <c r="D2114" s="6"/>
      <c r="E2114" s="6"/>
      <c r="F2114" s="6"/>
      <c r="G2114" s="6"/>
      <c r="H2114" s="6"/>
      <c r="I2114" s="6"/>
      <c r="J2114" s="6"/>
      <c r="K2114" s="6"/>
      <c r="L2114" s="6"/>
      <c r="M2114" s="6"/>
      <c r="N2114" s="6" t="str">
        <f t="shared" ref="N2114:P2114" si="2117">IF(LEN($C2114)&gt;0,H2114-E2114,"")</f>
        <v/>
      </c>
      <c r="O2114" s="6" t="str">
        <f t="shared" si="2117"/>
        <v/>
      </c>
      <c r="P2114" s="6" t="str">
        <f t="shared" si="2117"/>
        <v/>
      </c>
      <c r="Q2114" s="6"/>
      <c r="R2114" s="6"/>
      <c r="S2114" s="6"/>
      <c r="T2114" s="6"/>
      <c r="U2114" s="6"/>
      <c r="V2114" s="6"/>
      <c r="W2114" s="6"/>
      <c r="X2114" s="6"/>
      <c r="Y2114" s="6"/>
      <c r="Z2114" s="6"/>
      <c r="AA2114" s="6"/>
      <c r="AB2114" s="6"/>
      <c r="AC2114" s="6"/>
      <c r="AD2114" s="6"/>
      <c r="AE2114" s="6"/>
      <c r="AF2114" s="6"/>
      <c r="AG2114" s="6"/>
    </row>
    <row r="2115" ht="14.25" customHeight="1">
      <c r="A2115" s="6"/>
      <c r="B2115" s="6"/>
      <c r="C2115" s="6"/>
      <c r="D2115" s="6"/>
      <c r="E2115" s="6"/>
      <c r="F2115" s="6"/>
      <c r="G2115" s="6"/>
      <c r="H2115" s="6"/>
      <c r="I2115" s="6"/>
      <c r="J2115" s="6"/>
      <c r="K2115" s="6"/>
      <c r="L2115" s="6"/>
      <c r="M2115" s="6"/>
      <c r="N2115" s="6" t="str">
        <f t="shared" ref="N2115:P2115" si="2118">IF(LEN($C2115)&gt;0,H2115-E2115,"")</f>
        <v/>
      </c>
      <c r="O2115" s="6" t="str">
        <f t="shared" si="2118"/>
        <v/>
      </c>
      <c r="P2115" s="6" t="str">
        <f t="shared" si="2118"/>
        <v/>
      </c>
      <c r="Q2115" s="6"/>
      <c r="R2115" s="6"/>
      <c r="S2115" s="6"/>
      <c r="T2115" s="6"/>
      <c r="U2115" s="6"/>
      <c r="V2115" s="6"/>
      <c r="W2115" s="6"/>
      <c r="X2115" s="6"/>
      <c r="Y2115" s="6"/>
      <c r="Z2115" s="6"/>
      <c r="AA2115" s="6"/>
      <c r="AB2115" s="6"/>
      <c r="AC2115" s="6"/>
      <c r="AD2115" s="6"/>
      <c r="AE2115" s="6"/>
      <c r="AF2115" s="6"/>
      <c r="AG2115" s="6"/>
    </row>
    <row r="2116" ht="14.25" customHeight="1">
      <c r="A2116" s="6"/>
      <c r="B2116" s="6"/>
      <c r="C2116" s="6"/>
      <c r="D2116" s="6"/>
      <c r="E2116" s="6"/>
      <c r="F2116" s="6"/>
      <c r="G2116" s="6"/>
      <c r="H2116" s="6"/>
      <c r="I2116" s="6"/>
      <c r="J2116" s="6"/>
      <c r="K2116" s="6"/>
      <c r="L2116" s="6"/>
      <c r="M2116" s="6"/>
      <c r="N2116" s="6" t="str">
        <f t="shared" ref="N2116:P2116" si="2119">IF(LEN($C2116)&gt;0,H2116-E2116,"")</f>
        <v/>
      </c>
      <c r="O2116" s="6" t="str">
        <f t="shared" si="2119"/>
        <v/>
      </c>
      <c r="P2116" s="6" t="str">
        <f t="shared" si="2119"/>
        <v/>
      </c>
      <c r="Q2116" s="6"/>
      <c r="R2116" s="6"/>
      <c r="S2116" s="6"/>
      <c r="T2116" s="6"/>
      <c r="U2116" s="6"/>
      <c r="V2116" s="6"/>
      <c r="W2116" s="6"/>
      <c r="X2116" s="6"/>
      <c r="Y2116" s="6"/>
      <c r="Z2116" s="6"/>
      <c r="AA2116" s="6"/>
      <c r="AB2116" s="6"/>
      <c r="AC2116" s="6"/>
      <c r="AD2116" s="6"/>
      <c r="AE2116" s="6"/>
      <c r="AF2116" s="6"/>
      <c r="AG2116" s="6"/>
    </row>
    <row r="2117" ht="14.25" customHeight="1">
      <c r="A2117" s="6"/>
      <c r="B2117" s="6"/>
      <c r="C2117" s="6"/>
      <c r="D2117" s="6"/>
      <c r="E2117" s="6"/>
      <c r="F2117" s="6"/>
      <c r="G2117" s="6"/>
      <c r="H2117" s="6"/>
      <c r="I2117" s="6"/>
      <c r="J2117" s="6"/>
      <c r="K2117" s="6"/>
      <c r="L2117" s="6"/>
      <c r="M2117" s="6"/>
      <c r="N2117" s="6" t="str">
        <f t="shared" ref="N2117:P2117" si="2120">IF(LEN($C2117)&gt;0,H2117-E2117,"")</f>
        <v/>
      </c>
      <c r="O2117" s="6" t="str">
        <f t="shared" si="2120"/>
        <v/>
      </c>
      <c r="P2117" s="6" t="str">
        <f t="shared" si="2120"/>
        <v/>
      </c>
      <c r="Q2117" s="6"/>
      <c r="R2117" s="6"/>
      <c r="S2117" s="6"/>
      <c r="T2117" s="6"/>
      <c r="U2117" s="6"/>
      <c r="V2117" s="6"/>
      <c r="W2117" s="6"/>
      <c r="X2117" s="6"/>
      <c r="Y2117" s="6"/>
      <c r="Z2117" s="6"/>
      <c r="AA2117" s="6"/>
      <c r="AB2117" s="6"/>
      <c r="AC2117" s="6"/>
      <c r="AD2117" s="6"/>
      <c r="AE2117" s="6"/>
      <c r="AF2117" s="6"/>
      <c r="AG2117" s="6"/>
    </row>
    <row r="2118" ht="14.25" customHeight="1">
      <c r="A2118" s="6"/>
      <c r="B2118" s="6"/>
      <c r="C2118" s="6"/>
      <c r="D2118" s="6"/>
      <c r="E2118" s="6"/>
      <c r="F2118" s="6"/>
      <c r="G2118" s="6"/>
      <c r="H2118" s="6"/>
      <c r="I2118" s="6"/>
      <c r="J2118" s="6"/>
      <c r="K2118" s="6"/>
      <c r="L2118" s="6"/>
      <c r="M2118" s="6"/>
      <c r="N2118" s="6" t="str">
        <f t="shared" ref="N2118:P2118" si="2121">IF(LEN($C2118)&gt;0,H2118-E2118,"")</f>
        <v/>
      </c>
      <c r="O2118" s="6" t="str">
        <f t="shared" si="2121"/>
        <v/>
      </c>
      <c r="P2118" s="6" t="str">
        <f t="shared" si="2121"/>
        <v/>
      </c>
      <c r="Q2118" s="6"/>
      <c r="R2118" s="6"/>
      <c r="S2118" s="6"/>
      <c r="T2118" s="6"/>
      <c r="U2118" s="6"/>
      <c r="V2118" s="6"/>
      <c r="W2118" s="6"/>
      <c r="X2118" s="6"/>
      <c r="Y2118" s="6"/>
      <c r="Z2118" s="6"/>
      <c r="AA2118" s="6"/>
      <c r="AB2118" s="6"/>
      <c r="AC2118" s="6"/>
      <c r="AD2118" s="6"/>
      <c r="AE2118" s="6"/>
      <c r="AF2118" s="6"/>
      <c r="AG2118" s="6"/>
    </row>
    <row r="2119" ht="14.25" customHeight="1">
      <c r="A2119" s="6"/>
      <c r="B2119" s="6"/>
      <c r="C2119" s="6"/>
      <c r="D2119" s="6"/>
      <c r="E2119" s="6"/>
      <c r="F2119" s="6"/>
      <c r="G2119" s="6"/>
      <c r="H2119" s="6"/>
      <c r="I2119" s="6"/>
      <c r="J2119" s="6"/>
      <c r="K2119" s="6"/>
      <c r="L2119" s="6"/>
      <c r="M2119" s="6"/>
      <c r="N2119" s="6" t="str">
        <f t="shared" ref="N2119:P2119" si="2122">IF(LEN($C2119)&gt;0,H2119-E2119,"")</f>
        <v/>
      </c>
      <c r="O2119" s="6" t="str">
        <f t="shared" si="2122"/>
        <v/>
      </c>
      <c r="P2119" s="6" t="str">
        <f t="shared" si="2122"/>
        <v/>
      </c>
      <c r="Q2119" s="6"/>
      <c r="R2119" s="6"/>
      <c r="S2119" s="6"/>
      <c r="T2119" s="6"/>
      <c r="U2119" s="6"/>
      <c r="V2119" s="6"/>
      <c r="W2119" s="6"/>
      <c r="X2119" s="6"/>
      <c r="Y2119" s="6"/>
      <c r="Z2119" s="6"/>
      <c r="AA2119" s="6"/>
      <c r="AB2119" s="6"/>
      <c r="AC2119" s="6"/>
      <c r="AD2119" s="6"/>
      <c r="AE2119" s="6"/>
      <c r="AF2119" s="6"/>
      <c r="AG2119" s="6"/>
    </row>
    <row r="2120" ht="14.25" customHeight="1">
      <c r="A2120" s="6"/>
      <c r="B2120" s="6"/>
      <c r="C2120" s="6"/>
      <c r="D2120" s="6"/>
      <c r="E2120" s="6"/>
      <c r="F2120" s="6"/>
      <c r="G2120" s="6"/>
      <c r="H2120" s="6"/>
      <c r="I2120" s="6"/>
      <c r="J2120" s="6"/>
      <c r="K2120" s="6"/>
      <c r="L2120" s="6"/>
      <c r="M2120" s="6"/>
      <c r="N2120" s="6" t="str">
        <f t="shared" ref="N2120:P2120" si="2123">IF(LEN($C2120)&gt;0,H2120-E2120,"")</f>
        <v/>
      </c>
      <c r="O2120" s="6" t="str">
        <f t="shared" si="2123"/>
        <v/>
      </c>
      <c r="P2120" s="6" t="str">
        <f t="shared" si="2123"/>
        <v/>
      </c>
      <c r="Q2120" s="6"/>
      <c r="R2120" s="6"/>
      <c r="S2120" s="6"/>
      <c r="T2120" s="6"/>
      <c r="U2120" s="6"/>
      <c r="V2120" s="6"/>
      <c r="W2120" s="6"/>
      <c r="X2120" s="6"/>
      <c r="Y2120" s="6"/>
      <c r="Z2120" s="6"/>
      <c r="AA2120" s="6"/>
      <c r="AB2120" s="6"/>
      <c r="AC2120" s="6"/>
      <c r="AD2120" s="6"/>
      <c r="AE2120" s="6"/>
      <c r="AF2120" s="6"/>
      <c r="AG2120" s="6"/>
    </row>
    <row r="2121" ht="14.25" customHeight="1">
      <c r="A2121" s="6"/>
      <c r="B2121" s="6"/>
      <c r="C2121" s="6"/>
      <c r="D2121" s="6"/>
      <c r="E2121" s="6"/>
      <c r="F2121" s="6"/>
      <c r="G2121" s="6"/>
      <c r="H2121" s="6"/>
      <c r="I2121" s="6"/>
      <c r="J2121" s="6"/>
      <c r="K2121" s="6"/>
      <c r="L2121" s="6"/>
      <c r="M2121" s="6"/>
      <c r="N2121" s="6" t="str">
        <f t="shared" ref="N2121:P2121" si="2124">IF(LEN($C2121)&gt;0,H2121-E2121,"")</f>
        <v/>
      </c>
      <c r="O2121" s="6" t="str">
        <f t="shared" si="2124"/>
        <v/>
      </c>
      <c r="P2121" s="6" t="str">
        <f t="shared" si="2124"/>
        <v/>
      </c>
      <c r="Q2121" s="6"/>
      <c r="R2121" s="6"/>
      <c r="S2121" s="6"/>
      <c r="T2121" s="6"/>
      <c r="U2121" s="6"/>
      <c r="V2121" s="6"/>
      <c r="W2121" s="6"/>
      <c r="X2121" s="6"/>
      <c r="Y2121" s="6"/>
      <c r="Z2121" s="6"/>
      <c r="AA2121" s="6"/>
      <c r="AB2121" s="6"/>
      <c r="AC2121" s="6"/>
      <c r="AD2121" s="6"/>
      <c r="AE2121" s="6"/>
      <c r="AF2121" s="6"/>
      <c r="AG2121" s="6"/>
    </row>
    <row r="2122" ht="14.25" customHeight="1">
      <c r="A2122" s="6"/>
      <c r="B2122" s="6"/>
      <c r="C2122" s="6"/>
      <c r="D2122" s="6"/>
      <c r="E2122" s="6"/>
      <c r="F2122" s="6"/>
      <c r="G2122" s="6"/>
      <c r="H2122" s="6"/>
      <c r="I2122" s="6"/>
      <c r="J2122" s="6"/>
      <c r="K2122" s="6"/>
      <c r="L2122" s="6"/>
      <c r="M2122" s="6"/>
      <c r="N2122" s="6" t="str">
        <f t="shared" ref="N2122:P2122" si="2125">IF(LEN($C2122)&gt;0,H2122-E2122,"")</f>
        <v/>
      </c>
      <c r="O2122" s="6" t="str">
        <f t="shared" si="2125"/>
        <v/>
      </c>
      <c r="P2122" s="6" t="str">
        <f t="shared" si="2125"/>
        <v/>
      </c>
      <c r="Q2122" s="6"/>
      <c r="R2122" s="6"/>
      <c r="S2122" s="6"/>
      <c r="T2122" s="6"/>
      <c r="U2122" s="6"/>
      <c r="V2122" s="6"/>
      <c r="W2122" s="6"/>
      <c r="X2122" s="6"/>
      <c r="Y2122" s="6"/>
      <c r="Z2122" s="6"/>
      <c r="AA2122" s="6"/>
      <c r="AB2122" s="6"/>
      <c r="AC2122" s="6"/>
      <c r="AD2122" s="6"/>
      <c r="AE2122" s="6"/>
      <c r="AF2122" s="6"/>
      <c r="AG2122" s="6"/>
    </row>
    <row r="2123" ht="14.25" customHeight="1">
      <c r="A2123" s="6"/>
      <c r="B2123" s="6"/>
      <c r="C2123" s="6"/>
      <c r="D2123" s="6"/>
      <c r="E2123" s="6"/>
      <c r="F2123" s="6"/>
      <c r="G2123" s="6"/>
      <c r="H2123" s="6"/>
      <c r="I2123" s="6"/>
      <c r="J2123" s="6"/>
      <c r="K2123" s="6"/>
      <c r="L2123" s="6"/>
      <c r="M2123" s="6"/>
      <c r="N2123" s="6" t="str">
        <f t="shared" ref="N2123:P2123" si="2126">IF(LEN($C2123)&gt;0,H2123-E2123,"")</f>
        <v/>
      </c>
      <c r="O2123" s="6" t="str">
        <f t="shared" si="2126"/>
        <v/>
      </c>
      <c r="P2123" s="6" t="str">
        <f t="shared" si="2126"/>
        <v/>
      </c>
      <c r="Q2123" s="6"/>
      <c r="R2123" s="6"/>
      <c r="S2123" s="6"/>
      <c r="T2123" s="6"/>
      <c r="U2123" s="6"/>
      <c r="V2123" s="6"/>
      <c r="W2123" s="6"/>
      <c r="X2123" s="6"/>
      <c r="Y2123" s="6"/>
      <c r="Z2123" s="6"/>
      <c r="AA2123" s="6"/>
      <c r="AB2123" s="6"/>
      <c r="AC2123" s="6"/>
      <c r="AD2123" s="6"/>
      <c r="AE2123" s="6"/>
      <c r="AF2123" s="6"/>
      <c r="AG2123" s="6"/>
    </row>
    <row r="2124" ht="14.25" customHeight="1">
      <c r="A2124" s="6"/>
      <c r="B2124" s="6"/>
      <c r="C2124" s="6"/>
      <c r="D2124" s="6"/>
      <c r="E2124" s="6"/>
      <c r="F2124" s="6"/>
      <c r="G2124" s="6"/>
      <c r="H2124" s="6"/>
      <c r="I2124" s="6"/>
      <c r="J2124" s="6"/>
      <c r="K2124" s="6"/>
      <c r="L2124" s="6"/>
      <c r="M2124" s="6"/>
      <c r="N2124" s="6" t="str">
        <f t="shared" ref="N2124:P2124" si="2127">IF(LEN($C2124)&gt;0,H2124-E2124,"")</f>
        <v/>
      </c>
      <c r="O2124" s="6" t="str">
        <f t="shared" si="2127"/>
        <v/>
      </c>
      <c r="P2124" s="6" t="str">
        <f t="shared" si="2127"/>
        <v/>
      </c>
      <c r="Q2124" s="6"/>
      <c r="R2124" s="6"/>
      <c r="S2124" s="6"/>
      <c r="T2124" s="6"/>
      <c r="U2124" s="6"/>
      <c r="V2124" s="6"/>
      <c r="W2124" s="6"/>
      <c r="X2124" s="6"/>
      <c r="Y2124" s="6"/>
      <c r="Z2124" s="6"/>
      <c r="AA2124" s="6"/>
      <c r="AB2124" s="6"/>
      <c r="AC2124" s="6"/>
      <c r="AD2124" s="6"/>
      <c r="AE2124" s="6"/>
      <c r="AF2124" s="6"/>
      <c r="AG2124" s="6"/>
    </row>
    <row r="2125" ht="14.25" customHeight="1">
      <c r="A2125" s="6"/>
      <c r="B2125" s="6"/>
      <c r="C2125" s="6"/>
      <c r="D2125" s="6"/>
      <c r="E2125" s="6"/>
      <c r="F2125" s="6"/>
      <c r="G2125" s="6"/>
      <c r="H2125" s="6"/>
      <c r="I2125" s="6"/>
      <c r="J2125" s="6"/>
      <c r="K2125" s="6"/>
      <c r="L2125" s="6"/>
      <c r="M2125" s="6"/>
      <c r="N2125" s="6" t="str">
        <f t="shared" ref="N2125:P2125" si="2128">IF(LEN($C2125)&gt;0,H2125-E2125,"")</f>
        <v/>
      </c>
      <c r="O2125" s="6" t="str">
        <f t="shared" si="2128"/>
        <v/>
      </c>
      <c r="P2125" s="6" t="str">
        <f t="shared" si="2128"/>
        <v/>
      </c>
      <c r="Q2125" s="6"/>
      <c r="R2125" s="6"/>
      <c r="S2125" s="6"/>
      <c r="T2125" s="6"/>
      <c r="U2125" s="6"/>
      <c r="V2125" s="6"/>
      <c r="W2125" s="6"/>
      <c r="X2125" s="6"/>
      <c r="Y2125" s="6"/>
      <c r="Z2125" s="6"/>
      <c r="AA2125" s="6"/>
      <c r="AB2125" s="6"/>
      <c r="AC2125" s="6"/>
      <c r="AD2125" s="6"/>
      <c r="AE2125" s="6"/>
      <c r="AF2125" s="6"/>
      <c r="AG2125" s="6"/>
    </row>
    <row r="2126" ht="14.25" customHeight="1">
      <c r="A2126" s="6"/>
      <c r="B2126" s="6"/>
      <c r="C2126" s="6"/>
      <c r="D2126" s="6"/>
      <c r="E2126" s="6"/>
      <c r="F2126" s="6"/>
      <c r="G2126" s="6"/>
      <c r="H2126" s="6"/>
      <c r="I2126" s="6"/>
      <c r="J2126" s="6"/>
      <c r="K2126" s="6"/>
      <c r="L2126" s="6"/>
      <c r="M2126" s="6"/>
      <c r="N2126" s="6" t="str">
        <f t="shared" ref="N2126:P2126" si="2129">IF(LEN($C2126)&gt;0,H2126-E2126,"")</f>
        <v/>
      </c>
      <c r="O2126" s="6" t="str">
        <f t="shared" si="2129"/>
        <v/>
      </c>
      <c r="P2126" s="6" t="str">
        <f t="shared" si="2129"/>
        <v/>
      </c>
      <c r="Q2126" s="6"/>
      <c r="R2126" s="6"/>
      <c r="S2126" s="6"/>
      <c r="T2126" s="6"/>
      <c r="U2126" s="6"/>
      <c r="V2126" s="6"/>
      <c r="W2126" s="6"/>
      <c r="X2126" s="6"/>
      <c r="Y2126" s="6"/>
      <c r="Z2126" s="6"/>
      <c r="AA2126" s="6"/>
      <c r="AB2126" s="6"/>
      <c r="AC2126" s="6"/>
      <c r="AD2126" s="6"/>
      <c r="AE2126" s="6"/>
      <c r="AF2126" s="6"/>
      <c r="AG2126" s="6"/>
    </row>
    <row r="2127" ht="14.25" customHeight="1">
      <c r="A2127" s="6"/>
      <c r="B2127" s="6"/>
      <c r="C2127" s="6"/>
      <c r="D2127" s="6"/>
      <c r="E2127" s="6"/>
      <c r="F2127" s="6"/>
      <c r="G2127" s="6"/>
      <c r="H2127" s="6"/>
      <c r="I2127" s="6"/>
      <c r="J2127" s="6"/>
      <c r="K2127" s="6"/>
      <c r="L2127" s="6"/>
      <c r="M2127" s="6"/>
      <c r="N2127" s="6" t="str">
        <f t="shared" ref="N2127:P2127" si="2130">IF(LEN($C2127)&gt;0,H2127-E2127,"")</f>
        <v/>
      </c>
      <c r="O2127" s="6" t="str">
        <f t="shared" si="2130"/>
        <v/>
      </c>
      <c r="P2127" s="6" t="str">
        <f t="shared" si="2130"/>
        <v/>
      </c>
      <c r="Q2127" s="6"/>
      <c r="R2127" s="6"/>
      <c r="S2127" s="6"/>
      <c r="T2127" s="6"/>
      <c r="U2127" s="6"/>
      <c r="V2127" s="6"/>
      <c r="W2127" s="6"/>
      <c r="X2127" s="6"/>
      <c r="Y2127" s="6"/>
      <c r="Z2127" s="6"/>
      <c r="AA2127" s="6"/>
      <c r="AB2127" s="6"/>
      <c r="AC2127" s="6"/>
      <c r="AD2127" s="6"/>
      <c r="AE2127" s="6"/>
      <c r="AF2127" s="6"/>
      <c r="AG2127" s="6"/>
    </row>
    <row r="2128" ht="14.25" customHeight="1">
      <c r="A2128" s="6"/>
      <c r="B2128" s="6"/>
      <c r="C2128" s="6"/>
      <c r="D2128" s="6"/>
      <c r="E2128" s="6"/>
      <c r="F2128" s="6"/>
      <c r="G2128" s="6"/>
      <c r="H2128" s="6"/>
      <c r="I2128" s="6"/>
      <c r="J2128" s="6"/>
      <c r="K2128" s="6"/>
      <c r="L2128" s="6"/>
      <c r="M2128" s="6"/>
      <c r="N2128" s="6" t="str">
        <f t="shared" ref="N2128:P2128" si="2131">IF(LEN($C2128)&gt;0,H2128-E2128,"")</f>
        <v/>
      </c>
      <c r="O2128" s="6" t="str">
        <f t="shared" si="2131"/>
        <v/>
      </c>
      <c r="P2128" s="6" t="str">
        <f t="shared" si="2131"/>
        <v/>
      </c>
      <c r="Q2128" s="6"/>
      <c r="R2128" s="6"/>
      <c r="S2128" s="6"/>
      <c r="T2128" s="6"/>
      <c r="U2128" s="6"/>
      <c r="V2128" s="6"/>
      <c r="W2128" s="6"/>
      <c r="X2128" s="6"/>
      <c r="Y2128" s="6"/>
      <c r="Z2128" s="6"/>
      <c r="AA2128" s="6"/>
      <c r="AB2128" s="6"/>
      <c r="AC2128" s="6"/>
      <c r="AD2128" s="6"/>
      <c r="AE2128" s="6"/>
      <c r="AF2128" s="6"/>
      <c r="AG2128" s="6"/>
    </row>
    <row r="2129" ht="14.25" customHeight="1">
      <c r="A2129" s="6"/>
      <c r="B2129" s="6"/>
      <c r="C2129" s="6"/>
      <c r="D2129" s="6"/>
      <c r="E2129" s="6"/>
      <c r="F2129" s="6"/>
      <c r="G2129" s="6"/>
      <c r="H2129" s="6"/>
      <c r="I2129" s="6"/>
      <c r="J2129" s="6"/>
      <c r="K2129" s="6"/>
      <c r="L2129" s="6"/>
      <c r="M2129" s="6"/>
      <c r="N2129" s="6" t="str">
        <f t="shared" ref="N2129:P2129" si="2132">IF(LEN($C2129)&gt;0,H2129-E2129,"")</f>
        <v/>
      </c>
      <c r="O2129" s="6" t="str">
        <f t="shared" si="2132"/>
        <v/>
      </c>
      <c r="P2129" s="6" t="str">
        <f t="shared" si="2132"/>
        <v/>
      </c>
      <c r="Q2129" s="6"/>
      <c r="R2129" s="6"/>
      <c r="S2129" s="6"/>
      <c r="T2129" s="6"/>
      <c r="U2129" s="6"/>
      <c r="V2129" s="6"/>
      <c r="W2129" s="6"/>
      <c r="X2129" s="6"/>
      <c r="Y2129" s="6"/>
      <c r="Z2129" s="6"/>
      <c r="AA2129" s="6"/>
      <c r="AB2129" s="6"/>
      <c r="AC2129" s="6"/>
      <c r="AD2129" s="6"/>
      <c r="AE2129" s="6"/>
      <c r="AF2129" s="6"/>
      <c r="AG2129" s="6"/>
    </row>
    <row r="2130" ht="14.25" customHeight="1">
      <c r="A2130" s="6"/>
      <c r="B2130" s="6"/>
      <c r="C2130" s="6"/>
      <c r="D2130" s="6"/>
      <c r="E2130" s="6"/>
      <c r="F2130" s="6"/>
      <c r="G2130" s="6"/>
      <c r="H2130" s="6"/>
      <c r="I2130" s="6"/>
      <c r="J2130" s="6"/>
      <c r="K2130" s="6"/>
      <c r="L2130" s="6"/>
      <c r="M2130" s="6"/>
      <c r="N2130" s="6" t="str">
        <f t="shared" ref="N2130:P2130" si="2133">IF(LEN($C2130)&gt;0,H2130-E2130,"")</f>
        <v/>
      </c>
      <c r="O2130" s="6" t="str">
        <f t="shared" si="2133"/>
        <v/>
      </c>
      <c r="P2130" s="6" t="str">
        <f t="shared" si="2133"/>
        <v/>
      </c>
      <c r="Q2130" s="6"/>
      <c r="R2130" s="6"/>
      <c r="S2130" s="6"/>
      <c r="T2130" s="6"/>
      <c r="U2130" s="6"/>
      <c r="V2130" s="6"/>
      <c r="W2130" s="6"/>
      <c r="X2130" s="6"/>
      <c r="Y2130" s="6"/>
      <c r="Z2130" s="6"/>
      <c r="AA2130" s="6"/>
      <c r="AB2130" s="6"/>
      <c r="AC2130" s="6"/>
      <c r="AD2130" s="6"/>
      <c r="AE2130" s="6"/>
      <c r="AF2130" s="6"/>
      <c r="AG2130" s="6"/>
    </row>
    <row r="2131" ht="14.25" customHeight="1">
      <c r="A2131" s="6"/>
      <c r="B2131" s="6"/>
      <c r="C2131" s="6"/>
      <c r="D2131" s="6"/>
      <c r="E2131" s="6"/>
      <c r="F2131" s="6"/>
      <c r="G2131" s="6"/>
      <c r="H2131" s="6"/>
      <c r="I2131" s="6"/>
      <c r="J2131" s="6"/>
      <c r="K2131" s="6"/>
      <c r="L2131" s="6"/>
      <c r="M2131" s="6"/>
      <c r="N2131" s="6" t="str">
        <f t="shared" ref="N2131:P2131" si="2134">IF(LEN($C2131)&gt;0,H2131-E2131,"")</f>
        <v/>
      </c>
      <c r="O2131" s="6" t="str">
        <f t="shared" si="2134"/>
        <v/>
      </c>
      <c r="P2131" s="6" t="str">
        <f t="shared" si="2134"/>
        <v/>
      </c>
      <c r="Q2131" s="6"/>
      <c r="R2131" s="6"/>
      <c r="S2131" s="6"/>
      <c r="T2131" s="6"/>
      <c r="U2131" s="6"/>
      <c r="V2131" s="6"/>
      <c r="W2131" s="6"/>
      <c r="X2131" s="6"/>
      <c r="Y2131" s="6"/>
      <c r="Z2131" s="6"/>
      <c r="AA2131" s="6"/>
      <c r="AB2131" s="6"/>
      <c r="AC2131" s="6"/>
      <c r="AD2131" s="6"/>
      <c r="AE2131" s="6"/>
      <c r="AF2131" s="6"/>
      <c r="AG2131" s="6"/>
    </row>
    <row r="2132" ht="14.25" customHeight="1">
      <c r="A2132" s="6"/>
      <c r="B2132" s="6"/>
      <c r="C2132" s="6"/>
      <c r="D2132" s="6"/>
      <c r="E2132" s="6"/>
      <c r="F2132" s="6"/>
      <c r="G2132" s="6"/>
      <c r="H2132" s="6"/>
      <c r="I2132" s="6"/>
      <c r="J2132" s="6"/>
      <c r="K2132" s="6"/>
      <c r="L2132" s="6"/>
      <c r="M2132" s="6"/>
      <c r="N2132" s="6" t="str">
        <f t="shared" ref="N2132:P2132" si="2135">IF(LEN($C2132)&gt;0,H2132-E2132,"")</f>
        <v/>
      </c>
      <c r="O2132" s="6" t="str">
        <f t="shared" si="2135"/>
        <v/>
      </c>
      <c r="P2132" s="6" t="str">
        <f t="shared" si="2135"/>
        <v/>
      </c>
      <c r="Q2132" s="6"/>
      <c r="R2132" s="6"/>
      <c r="S2132" s="6"/>
      <c r="T2132" s="6"/>
      <c r="U2132" s="6"/>
      <c r="V2132" s="6"/>
      <c r="W2132" s="6"/>
      <c r="X2132" s="6"/>
      <c r="Y2132" s="6"/>
      <c r="Z2132" s="6"/>
      <c r="AA2132" s="6"/>
      <c r="AB2132" s="6"/>
      <c r="AC2132" s="6"/>
      <c r="AD2132" s="6"/>
      <c r="AE2132" s="6"/>
      <c r="AF2132" s="6"/>
      <c r="AG2132" s="6"/>
    </row>
    <row r="2133" ht="14.25" customHeight="1">
      <c r="A2133" s="6"/>
      <c r="B2133" s="6"/>
      <c r="C2133" s="6"/>
      <c r="D2133" s="6"/>
      <c r="E2133" s="6"/>
      <c r="F2133" s="6"/>
      <c r="G2133" s="6"/>
      <c r="H2133" s="6"/>
      <c r="I2133" s="6"/>
      <c r="J2133" s="6"/>
      <c r="K2133" s="6"/>
      <c r="L2133" s="6"/>
      <c r="M2133" s="6"/>
      <c r="N2133" s="6" t="str">
        <f t="shared" ref="N2133:P2133" si="2136">IF(LEN($C2133)&gt;0,H2133-E2133,"")</f>
        <v/>
      </c>
      <c r="O2133" s="6" t="str">
        <f t="shared" si="2136"/>
        <v/>
      </c>
      <c r="P2133" s="6" t="str">
        <f t="shared" si="2136"/>
        <v/>
      </c>
      <c r="Q2133" s="6"/>
      <c r="R2133" s="6"/>
      <c r="S2133" s="6"/>
      <c r="T2133" s="6"/>
      <c r="U2133" s="6"/>
      <c r="V2133" s="6"/>
      <c r="W2133" s="6"/>
      <c r="X2133" s="6"/>
      <c r="Y2133" s="6"/>
      <c r="Z2133" s="6"/>
      <c r="AA2133" s="6"/>
      <c r="AB2133" s="6"/>
      <c r="AC2133" s="6"/>
      <c r="AD2133" s="6"/>
      <c r="AE2133" s="6"/>
      <c r="AF2133" s="6"/>
      <c r="AG2133" s="6"/>
    </row>
    <row r="2134" ht="14.25" customHeight="1">
      <c r="A2134" s="6"/>
      <c r="B2134" s="6"/>
      <c r="C2134" s="6"/>
      <c r="D2134" s="6"/>
      <c r="E2134" s="6"/>
      <c r="F2134" s="6"/>
      <c r="G2134" s="6"/>
      <c r="H2134" s="6"/>
      <c r="I2134" s="6"/>
      <c r="J2134" s="6"/>
      <c r="K2134" s="6"/>
      <c r="L2134" s="6"/>
      <c r="M2134" s="6"/>
      <c r="N2134" s="6" t="str">
        <f t="shared" ref="N2134:P2134" si="2137">IF(LEN($C2134)&gt;0,H2134-E2134,"")</f>
        <v/>
      </c>
      <c r="O2134" s="6" t="str">
        <f t="shared" si="2137"/>
        <v/>
      </c>
      <c r="P2134" s="6" t="str">
        <f t="shared" si="2137"/>
        <v/>
      </c>
      <c r="Q2134" s="6"/>
      <c r="R2134" s="6"/>
      <c r="S2134" s="6"/>
      <c r="T2134" s="6"/>
      <c r="U2134" s="6"/>
      <c r="V2134" s="6"/>
      <c r="W2134" s="6"/>
      <c r="X2134" s="6"/>
      <c r="Y2134" s="6"/>
      <c r="Z2134" s="6"/>
      <c r="AA2134" s="6"/>
      <c r="AB2134" s="6"/>
      <c r="AC2134" s="6"/>
      <c r="AD2134" s="6"/>
      <c r="AE2134" s="6"/>
      <c r="AF2134" s="6"/>
      <c r="AG2134" s="6"/>
    </row>
    <row r="2135" ht="14.25" customHeight="1">
      <c r="A2135" s="6"/>
      <c r="B2135" s="6"/>
      <c r="C2135" s="6"/>
      <c r="D2135" s="6"/>
      <c r="E2135" s="6"/>
      <c r="F2135" s="6"/>
      <c r="G2135" s="6"/>
      <c r="H2135" s="6"/>
      <c r="I2135" s="6"/>
      <c r="J2135" s="6"/>
      <c r="K2135" s="6"/>
      <c r="L2135" s="6"/>
      <c r="M2135" s="6"/>
      <c r="N2135" s="6" t="str">
        <f t="shared" ref="N2135:P2135" si="2138">IF(LEN($C2135)&gt;0,H2135-E2135,"")</f>
        <v/>
      </c>
      <c r="O2135" s="6" t="str">
        <f t="shared" si="2138"/>
        <v/>
      </c>
      <c r="P2135" s="6" t="str">
        <f t="shared" si="2138"/>
        <v/>
      </c>
      <c r="Q2135" s="6"/>
      <c r="R2135" s="6"/>
      <c r="S2135" s="6"/>
      <c r="T2135" s="6"/>
      <c r="U2135" s="6"/>
      <c r="V2135" s="6"/>
      <c r="W2135" s="6"/>
      <c r="X2135" s="6"/>
      <c r="Y2135" s="6"/>
      <c r="Z2135" s="6"/>
      <c r="AA2135" s="6"/>
      <c r="AB2135" s="6"/>
      <c r="AC2135" s="6"/>
      <c r="AD2135" s="6"/>
      <c r="AE2135" s="6"/>
      <c r="AF2135" s="6"/>
      <c r="AG2135" s="6"/>
    </row>
    <row r="2136" ht="14.25" customHeight="1">
      <c r="A2136" s="6"/>
      <c r="B2136" s="6"/>
      <c r="C2136" s="6"/>
      <c r="D2136" s="6"/>
      <c r="E2136" s="6"/>
      <c r="F2136" s="6"/>
      <c r="G2136" s="6"/>
      <c r="H2136" s="6"/>
      <c r="I2136" s="6"/>
      <c r="J2136" s="6"/>
      <c r="K2136" s="6"/>
      <c r="L2136" s="6"/>
      <c r="M2136" s="6"/>
      <c r="N2136" s="6" t="str">
        <f t="shared" ref="N2136:P2136" si="2139">IF(LEN($C2136)&gt;0,H2136-E2136,"")</f>
        <v/>
      </c>
      <c r="O2136" s="6" t="str">
        <f t="shared" si="2139"/>
        <v/>
      </c>
      <c r="P2136" s="6" t="str">
        <f t="shared" si="2139"/>
        <v/>
      </c>
      <c r="Q2136" s="6"/>
      <c r="R2136" s="6"/>
      <c r="S2136" s="6"/>
      <c r="T2136" s="6"/>
      <c r="U2136" s="6"/>
      <c r="V2136" s="6"/>
      <c r="W2136" s="6"/>
      <c r="X2136" s="6"/>
      <c r="Y2136" s="6"/>
      <c r="Z2136" s="6"/>
      <c r="AA2136" s="6"/>
      <c r="AB2136" s="6"/>
      <c r="AC2136" s="6"/>
      <c r="AD2136" s="6"/>
      <c r="AE2136" s="6"/>
      <c r="AF2136" s="6"/>
      <c r="AG2136" s="6"/>
    </row>
    <row r="2137" ht="14.25" customHeight="1">
      <c r="A2137" s="6"/>
      <c r="B2137" s="6"/>
      <c r="C2137" s="6"/>
      <c r="D2137" s="6"/>
      <c r="E2137" s="6"/>
      <c r="F2137" s="6"/>
      <c r="G2137" s="6"/>
      <c r="H2137" s="6"/>
      <c r="I2137" s="6"/>
      <c r="J2137" s="6"/>
      <c r="K2137" s="6"/>
      <c r="L2137" s="6"/>
      <c r="M2137" s="6"/>
      <c r="N2137" s="6" t="str">
        <f t="shared" ref="N2137:P2137" si="2140">IF(LEN($C2137)&gt;0,H2137-E2137,"")</f>
        <v/>
      </c>
      <c r="O2137" s="6" t="str">
        <f t="shared" si="2140"/>
        <v/>
      </c>
      <c r="P2137" s="6" t="str">
        <f t="shared" si="2140"/>
        <v/>
      </c>
      <c r="Q2137" s="6"/>
      <c r="R2137" s="6"/>
      <c r="S2137" s="6"/>
      <c r="T2137" s="6"/>
      <c r="U2137" s="6"/>
      <c r="V2137" s="6"/>
      <c r="W2137" s="6"/>
      <c r="X2137" s="6"/>
      <c r="Y2137" s="6"/>
      <c r="Z2137" s="6"/>
      <c r="AA2137" s="6"/>
      <c r="AB2137" s="6"/>
      <c r="AC2137" s="6"/>
      <c r="AD2137" s="6"/>
      <c r="AE2137" s="6"/>
      <c r="AF2137" s="6"/>
      <c r="AG2137" s="6"/>
    </row>
    <row r="2138" ht="14.25" customHeight="1">
      <c r="A2138" s="6"/>
      <c r="B2138" s="6"/>
      <c r="C2138" s="6"/>
      <c r="D2138" s="6"/>
      <c r="E2138" s="6"/>
      <c r="F2138" s="6"/>
      <c r="G2138" s="6"/>
      <c r="H2138" s="6"/>
      <c r="I2138" s="6"/>
      <c r="J2138" s="6"/>
      <c r="K2138" s="6"/>
      <c r="L2138" s="6"/>
      <c r="M2138" s="6"/>
      <c r="N2138" s="6" t="str">
        <f t="shared" ref="N2138:P2138" si="2141">IF(LEN($C2138)&gt;0,H2138-E2138,"")</f>
        <v/>
      </c>
      <c r="O2138" s="6" t="str">
        <f t="shared" si="2141"/>
        <v/>
      </c>
      <c r="P2138" s="6" t="str">
        <f t="shared" si="2141"/>
        <v/>
      </c>
      <c r="Q2138" s="6"/>
      <c r="R2138" s="6"/>
      <c r="S2138" s="6"/>
      <c r="T2138" s="6"/>
      <c r="U2138" s="6"/>
      <c r="V2138" s="6"/>
      <c r="W2138" s="6"/>
      <c r="X2138" s="6"/>
      <c r="Y2138" s="6"/>
      <c r="Z2138" s="6"/>
      <c r="AA2138" s="6"/>
      <c r="AB2138" s="6"/>
      <c r="AC2138" s="6"/>
      <c r="AD2138" s="6"/>
      <c r="AE2138" s="6"/>
      <c r="AF2138" s="6"/>
      <c r="AG2138" s="6"/>
    </row>
    <row r="2139" ht="14.25" customHeight="1">
      <c r="A2139" s="6"/>
      <c r="B2139" s="6"/>
      <c r="C2139" s="6"/>
      <c r="D2139" s="6"/>
      <c r="E2139" s="6"/>
      <c r="F2139" s="6"/>
      <c r="G2139" s="6"/>
      <c r="H2139" s="6"/>
      <c r="I2139" s="6"/>
      <c r="J2139" s="6"/>
      <c r="K2139" s="6"/>
      <c r="L2139" s="6"/>
      <c r="M2139" s="6"/>
      <c r="N2139" s="6" t="str">
        <f t="shared" ref="N2139:P2139" si="2142">IF(LEN($C2139)&gt;0,H2139-E2139,"")</f>
        <v/>
      </c>
      <c r="O2139" s="6" t="str">
        <f t="shared" si="2142"/>
        <v/>
      </c>
      <c r="P2139" s="6" t="str">
        <f t="shared" si="2142"/>
        <v/>
      </c>
      <c r="Q2139" s="6"/>
      <c r="R2139" s="6"/>
      <c r="S2139" s="6"/>
      <c r="T2139" s="6"/>
      <c r="U2139" s="6"/>
      <c r="V2139" s="6"/>
      <c r="W2139" s="6"/>
      <c r="X2139" s="6"/>
      <c r="Y2139" s="6"/>
      <c r="Z2139" s="6"/>
      <c r="AA2139" s="6"/>
      <c r="AB2139" s="6"/>
      <c r="AC2139" s="6"/>
      <c r="AD2139" s="6"/>
      <c r="AE2139" s="6"/>
      <c r="AF2139" s="6"/>
      <c r="AG2139" s="6"/>
    </row>
    <row r="2140" ht="14.25" customHeight="1">
      <c r="A2140" s="6"/>
      <c r="B2140" s="6"/>
      <c r="C2140" s="6"/>
      <c r="D2140" s="6"/>
      <c r="E2140" s="6"/>
      <c r="F2140" s="6"/>
      <c r="G2140" s="6"/>
      <c r="H2140" s="6"/>
      <c r="I2140" s="6"/>
      <c r="J2140" s="6"/>
      <c r="K2140" s="6"/>
      <c r="L2140" s="6"/>
      <c r="M2140" s="6"/>
      <c r="N2140" s="6" t="str">
        <f t="shared" ref="N2140:P2140" si="2143">IF(LEN($C2140)&gt;0,H2140-E2140,"")</f>
        <v/>
      </c>
      <c r="O2140" s="6" t="str">
        <f t="shared" si="2143"/>
        <v/>
      </c>
      <c r="P2140" s="6" t="str">
        <f t="shared" si="2143"/>
        <v/>
      </c>
      <c r="Q2140" s="6"/>
      <c r="R2140" s="6"/>
      <c r="S2140" s="6"/>
      <c r="T2140" s="6"/>
      <c r="U2140" s="6"/>
      <c r="V2140" s="6"/>
      <c r="W2140" s="6"/>
      <c r="X2140" s="6"/>
      <c r="Y2140" s="6"/>
      <c r="Z2140" s="6"/>
      <c r="AA2140" s="6"/>
      <c r="AB2140" s="6"/>
      <c r="AC2140" s="6"/>
      <c r="AD2140" s="6"/>
      <c r="AE2140" s="6"/>
      <c r="AF2140" s="6"/>
      <c r="AG2140" s="6"/>
    </row>
    <row r="2141" ht="14.25" customHeight="1">
      <c r="A2141" s="6"/>
      <c r="B2141" s="6"/>
      <c r="C2141" s="6"/>
      <c r="D2141" s="6"/>
      <c r="E2141" s="6"/>
      <c r="F2141" s="6"/>
      <c r="G2141" s="6"/>
      <c r="H2141" s="6"/>
      <c r="I2141" s="6"/>
      <c r="J2141" s="6"/>
      <c r="K2141" s="6"/>
      <c r="L2141" s="6"/>
      <c r="M2141" s="6"/>
      <c r="N2141" s="6" t="str">
        <f t="shared" ref="N2141:P2141" si="2144">IF(LEN($C2141)&gt;0,H2141-E2141,"")</f>
        <v/>
      </c>
      <c r="O2141" s="6" t="str">
        <f t="shared" si="2144"/>
        <v/>
      </c>
      <c r="P2141" s="6" t="str">
        <f t="shared" si="2144"/>
        <v/>
      </c>
      <c r="Q2141" s="6"/>
      <c r="R2141" s="6"/>
      <c r="S2141" s="6"/>
      <c r="T2141" s="6"/>
      <c r="U2141" s="6"/>
      <c r="V2141" s="6"/>
      <c r="W2141" s="6"/>
      <c r="X2141" s="6"/>
      <c r="Y2141" s="6"/>
      <c r="Z2141" s="6"/>
      <c r="AA2141" s="6"/>
      <c r="AB2141" s="6"/>
      <c r="AC2141" s="6"/>
      <c r="AD2141" s="6"/>
      <c r="AE2141" s="6"/>
      <c r="AF2141" s="6"/>
      <c r="AG2141" s="6"/>
    </row>
    <row r="2142" ht="14.25" customHeight="1">
      <c r="A2142" s="6"/>
      <c r="B2142" s="6"/>
      <c r="C2142" s="6"/>
      <c r="D2142" s="6"/>
      <c r="E2142" s="6"/>
      <c r="F2142" s="6"/>
      <c r="G2142" s="6"/>
      <c r="H2142" s="6"/>
      <c r="I2142" s="6"/>
      <c r="J2142" s="6"/>
      <c r="K2142" s="6"/>
      <c r="L2142" s="6"/>
      <c r="M2142" s="6"/>
      <c r="N2142" s="6" t="str">
        <f t="shared" ref="N2142:P2142" si="2145">IF(LEN($C2142)&gt;0,H2142-E2142,"")</f>
        <v/>
      </c>
      <c r="O2142" s="6" t="str">
        <f t="shared" si="2145"/>
        <v/>
      </c>
      <c r="P2142" s="6" t="str">
        <f t="shared" si="2145"/>
        <v/>
      </c>
      <c r="Q2142" s="6"/>
      <c r="R2142" s="6"/>
      <c r="S2142" s="6"/>
      <c r="T2142" s="6"/>
      <c r="U2142" s="6"/>
      <c r="V2142" s="6"/>
      <c r="W2142" s="6"/>
      <c r="X2142" s="6"/>
      <c r="Y2142" s="6"/>
      <c r="Z2142" s="6"/>
      <c r="AA2142" s="6"/>
      <c r="AB2142" s="6"/>
      <c r="AC2142" s="6"/>
      <c r="AD2142" s="6"/>
      <c r="AE2142" s="6"/>
      <c r="AF2142" s="6"/>
      <c r="AG2142" s="6"/>
    </row>
    <row r="2143" ht="14.25" customHeight="1">
      <c r="A2143" s="6"/>
      <c r="B2143" s="6"/>
      <c r="C2143" s="6"/>
      <c r="D2143" s="6"/>
      <c r="E2143" s="6"/>
      <c r="F2143" s="6"/>
      <c r="G2143" s="6"/>
      <c r="H2143" s="6"/>
      <c r="I2143" s="6"/>
      <c r="J2143" s="6"/>
      <c r="K2143" s="6"/>
      <c r="L2143" s="6"/>
      <c r="M2143" s="6"/>
      <c r="N2143" s="6" t="str">
        <f t="shared" ref="N2143:P2143" si="2146">IF(LEN($C2143)&gt;0,H2143-E2143,"")</f>
        <v/>
      </c>
      <c r="O2143" s="6" t="str">
        <f t="shared" si="2146"/>
        <v/>
      </c>
      <c r="P2143" s="6" t="str">
        <f t="shared" si="2146"/>
        <v/>
      </c>
      <c r="Q2143" s="6"/>
      <c r="R2143" s="6"/>
      <c r="S2143" s="6"/>
      <c r="T2143" s="6"/>
      <c r="U2143" s="6"/>
      <c r="V2143" s="6"/>
      <c r="W2143" s="6"/>
      <c r="X2143" s="6"/>
      <c r="Y2143" s="6"/>
      <c r="Z2143" s="6"/>
      <c r="AA2143" s="6"/>
      <c r="AB2143" s="6"/>
      <c r="AC2143" s="6"/>
      <c r="AD2143" s="6"/>
      <c r="AE2143" s="6"/>
      <c r="AF2143" s="6"/>
      <c r="AG2143" s="6"/>
    </row>
    <row r="2144" ht="14.25" customHeight="1">
      <c r="A2144" s="6"/>
      <c r="B2144" s="6"/>
      <c r="C2144" s="6"/>
      <c r="D2144" s="6"/>
      <c r="E2144" s="6"/>
      <c r="F2144" s="6"/>
      <c r="G2144" s="6"/>
      <c r="H2144" s="6"/>
      <c r="I2144" s="6"/>
      <c r="J2144" s="6"/>
      <c r="K2144" s="6"/>
      <c r="L2144" s="6"/>
      <c r="M2144" s="6"/>
      <c r="N2144" s="6" t="str">
        <f t="shared" ref="N2144:P2144" si="2147">IF(LEN($C2144)&gt;0,H2144-E2144,"")</f>
        <v/>
      </c>
      <c r="O2144" s="6" t="str">
        <f t="shared" si="2147"/>
        <v/>
      </c>
      <c r="P2144" s="6" t="str">
        <f t="shared" si="2147"/>
        <v/>
      </c>
      <c r="Q2144" s="6"/>
      <c r="R2144" s="6"/>
      <c r="S2144" s="6"/>
      <c r="T2144" s="6"/>
      <c r="U2144" s="6"/>
      <c r="V2144" s="6"/>
      <c r="W2144" s="6"/>
      <c r="X2144" s="6"/>
      <c r="Y2144" s="6"/>
      <c r="Z2144" s="6"/>
      <c r="AA2144" s="6"/>
      <c r="AB2144" s="6"/>
      <c r="AC2144" s="6"/>
      <c r="AD2144" s="6"/>
      <c r="AE2144" s="6"/>
      <c r="AF2144" s="6"/>
      <c r="AG2144" s="6"/>
    </row>
    <row r="2145" ht="14.25" customHeight="1">
      <c r="A2145" s="6"/>
      <c r="B2145" s="6"/>
      <c r="C2145" s="6"/>
      <c r="D2145" s="6"/>
      <c r="E2145" s="6"/>
      <c r="F2145" s="6"/>
      <c r="G2145" s="6"/>
      <c r="H2145" s="6"/>
      <c r="I2145" s="6"/>
      <c r="J2145" s="6"/>
      <c r="K2145" s="6"/>
      <c r="L2145" s="6"/>
      <c r="M2145" s="6"/>
      <c r="N2145" s="6" t="str">
        <f t="shared" ref="N2145:P2145" si="2148">IF(LEN($C2145)&gt;0,H2145-E2145,"")</f>
        <v/>
      </c>
      <c r="O2145" s="6" t="str">
        <f t="shared" si="2148"/>
        <v/>
      </c>
      <c r="P2145" s="6" t="str">
        <f t="shared" si="2148"/>
        <v/>
      </c>
      <c r="Q2145" s="6"/>
      <c r="R2145" s="6"/>
      <c r="S2145" s="6"/>
      <c r="T2145" s="6"/>
      <c r="U2145" s="6"/>
      <c r="V2145" s="6"/>
      <c r="W2145" s="6"/>
      <c r="X2145" s="6"/>
      <c r="Y2145" s="6"/>
      <c r="Z2145" s="6"/>
      <c r="AA2145" s="6"/>
      <c r="AB2145" s="6"/>
      <c r="AC2145" s="6"/>
      <c r="AD2145" s="6"/>
      <c r="AE2145" s="6"/>
      <c r="AF2145" s="6"/>
      <c r="AG2145" s="6"/>
    </row>
    <row r="2146" ht="14.25" customHeight="1">
      <c r="A2146" s="6"/>
      <c r="B2146" s="6"/>
      <c r="C2146" s="6"/>
      <c r="D2146" s="6"/>
      <c r="E2146" s="6"/>
      <c r="F2146" s="6"/>
      <c r="G2146" s="6"/>
      <c r="H2146" s="6"/>
      <c r="I2146" s="6"/>
      <c r="J2146" s="6"/>
      <c r="K2146" s="6"/>
      <c r="L2146" s="6"/>
      <c r="M2146" s="6"/>
      <c r="N2146" s="6" t="str">
        <f t="shared" ref="N2146:P2146" si="2149">IF(LEN($C2146)&gt;0,H2146-E2146,"")</f>
        <v/>
      </c>
      <c r="O2146" s="6" t="str">
        <f t="shared" si="2149"/>
        <v/>
      </c>
      <c r="P2146" s="6" t="str">
        <f t="shared" si="2149"/>
        <v/>
      </c>
      <c r="Q2146" s="6"/>
      <c r="R2146" s="6"/>
      <c r="S2146" s="6"/>
      <c r="T2146" s="6"/>
      <c r="U2146" s="6"/>
      <c r="V2146" s="6"/>
      <c r="W2146" s="6"/>
      <c r="X2146" s="6"/>
      <c r="Y2146" s="6"/>
      <c r="Z2146" s="6"/>
      <c r="AA2146" s="6"/>
      <c r="AB2146" s="6"/>
      <c r="AC2146" s="6"/>
      <c r="AD2146" s="6"/>
      <c r="AE2146" s="6"/>
      <c r="AF2146" s="6"/>
      <c r="AG2146" s="6"/>
    </row>
    <row r="2147" ht="14.25" customHeight="1">
      <c r="A2147" s="6"/>
      <c r="B2147" s="6"/>
      <c r="C2147" s="6"/>
      <c r="D2147" s="6"/>
      <c r="E2147" s="6"/>
      <c r="F2147" s="6"/>
      <c r="G2147" s="6"/>
      <c r="H2147" s="6"/>
      <c r="I2147" s="6"/>
      <c r="J2147" s="6"/>
      <c r="K2147" s="6"/>
      <c r="L2147" s="6"/>
      <c r="M2147" s="6"/>
      <c r="N2147" s="6" t="str">
        <f t="shared" ref="N2147:P2147" si="2150">IF(LEN($C2147)&gt;0,H2147-E2147,"")</f>
        <v/>
      </c>
      <c r="O2147" s="6" t="str">
        <f t="shared" si="2150"/>
        <v/>
      </c>
      <c r="P2147" s="6" t="str">
        <f t="shared" si="2150"/>
        <v/>
      </c>
      <c r="Q2147" s="6"/>
      <c r="R2147" s="6"/>
      <c r="S2147" s="6"/>
      <c r="T2147" s="6"/>
      <c r="U2147" s="6"/>
      <c r="V2147" s="6"/>
      <c r="W2147" s="6"/>
      <c r="X2147" s="6"/>
      <c r="Y2147" s="6"/>
      <c r="Z2147" s="6"/>
      <c r="AA2147" s="6"/>
      <c r="AB2147" s="6"/>
      <c r="AC2147" s="6"/>
      <c r="AD2147" s="6"/>
      <c r="AE2147" s="6"/>
      <c r="AF2147" s="6"/>
      <c r="AG2147" s="6"/>
    </row>
    <row r="2148" ht="14.25" customHeight="1">
      <c r="A2148" s="6"/>
      <c r="B2148" s="6"/>
      <c r="C2148" s="6"/>
      <c r="D2148" s="6"/>
      <c r="E2148" s="6"/>
      <c r="F2148" s="6"/>
      <c r="G2148" s="6"/>
      <c r="H2148" s="6"/>
      <c r="I2148" s="6"/>
      <c r="J2148" s="6"/>
      <c r="K2148" s="6"/>
      <c r="L2148" s="6"/>
      <c r="M2148" s="6"/>
      <c r="N2148" s="6" t="str">
        <f t="shared" ref="N2148:P2148" si="2151">IF(LEN($C2148)&gt;0,H2148-E2148,"")</f>
        <v/>
      </c>
      <c r="O2148" s="6" t="str">
        <f t="shared" si="2151"/>
        <v/>
      </c>
      <c r="P2148" s="6" t="str">
        <f t="shared" si="2151"/>
        <v/>
      </c>
      <c r="Q2148" s="6"/>
      <c r="R2148" s="6"/>
      <c r="S2148" s="6"/>
      <c r="T2148" s="6"/>
      <c r="U2148" s="6"/>
      <c r="V2148" s="6"/>
      <c r="W2148" s="6"/>
      <c r="X2148" s="6"/>
      <c r="Y2148" s="6"/>
      <c r="Z2148" s="6"/>
      <c r="AA2148" s="6"/>
      <c r="AB2148" s="6"/>
      <c r="AC2148" s="6"/>
      <c r="AD2148" s="6"/>
      <c r="AE2148" s="6"/>
      <c r="AF2148" s="6"/>
      <c r="AG2148" s="6"/>
    </row>
    <row r="2149" ht="14.25" customHeight="1">
      <c r="A2149" s="6"/>
      <c r="B2149" s="6"/>
      <c r="C2149" s="6"/>
      <c r="D2149" s="6"/>
      <c r="E2149" s="6"/>
      <c r="F2149" s="6"/>
      <c r="G2149" s="6"/>
      <c r="H2149" s="6"/>
      <c r="I2149" s="6"/>
      <c r="J2149" s="6"/>
      <c r="K2149" s="6"/>
      <c r="L2149" s="6"/>
      <c r="M2149" s="6"/>
      <c r="N2149" s="6" t="str">
        <f t="shared" ref="N2149:P2149" si="2152">IF(LEN($C2149)&gt;0,H2149-E2149,"")</f>
        <v/>
      </c>
      <c r="O2149" s="6" t="str">
        <f t="shared" si="2152"/>
        <v/>
      </c>
      <c r="P2149" s="6" t="str">
        <f t="shared" si="2152"/>
        <v/>
      </c>
      <c r="Q2149" s="6"/>
      <c r="R2149" s="6"/>
      <c r="S2149" s="6"/>
      <c r="T2149" s="6"/>
      <c r="U2149" s="6"/>
      <c r="V2149" s="6"/>
      <c r="W2149" s="6"/>
      <c r="X2149" s="6"/>
      <c r="Y2149" s="6"/>
      <c r="Z2149" s="6"/>
      <c r="AA2149" s="6"/>
      <c r="AB2149" s="6"/>
      <c r="AC2149" s="6"/>
      <c r="AD2149" s="6"/>
      <c r="AE2149" s="6"/>
      <c r="AF2149" s="6"/>
      <c r="AG2149" s="6"/>
    </row>
    <row r="2150" ht="14.25" customHeight="1">
      <c r="A2150" s="6"/>
      <c r="B2150" s="6"/>
      <c r="C2150" s="6"/>
      <c r="D2150" s="6"/>
      <c r="E2150" s="6"/>
      <c r="F2150" s="6"/>
      <c r="G2150" s="6"/>
      <c r="H2150" s="6"/>
      <c r="I2150" s="6"/>
      <c r="J2150" s="6"/>
      <c r="K2150" s="6"/>
      <c r="L2150" s="6"/>
      <c r="M2150" s="6"/>
      <c r="N2150" s="6" t="str">
        <f t="shared" ref="N2150:P2150" si="2153">IF(LEN($C2150)&gt;0,H2150-E2150,"")</f>
        <v/>
      </c>
      <c r="O2150" s="6" t="str">
        <f t="shared" si="2153"/>
        <v/>
      </c>
      <c r="P2150" s="6" t="str">
        <f t="shared" si="2153"/>
        <v/>
      </c>
      <c r="Q2150" s="6"/>
      <c r="R2150" s="6"/>
      <c r="S2150" s="6"/>
      <c r="T2150" s="6"/>
      <c r="U2150" s="6"/>
      <c r="V2150" s="6"/>
      <c r="W2150" s="6"/>
      <c r="X2150" s="6"/>
      <c r="Y2150" s="6"/>
      <c r="Z2150" s="6"/>
      <c r="AA2150" s="6"/>
      <c r="AB2150" s="6"/>
      <c r="AC2150" s="6"/>
      <c r="AD2150" s="6"/>
      <c r="AE2150" s="6"/>
      <c r="AF2150" s="6"/>
      <c r="AG2150" s="6"/>
    </row>
    <row r="2151" ht="14.25" customHeight="1">
      <c r="A2151" s="6"/>
      <c r="B2151" s="6"/>
      <c r="C2151" s="6"/>
      <c r="D2151" s="6"/>
      <c r="E2151" s="6"/>
      <c r="F2151" s="6"/>
      <c r="G2151" s="6"/>
      <c r="H2151" s="6"/>
      <c r="I2151" s="6"/>
      <c r="J2151" s="6"/>
      <c r="K2151" s="6"/>
      <c r="L2151" s="6"/>
      <c r="M2151" s="6"/>
      <c r="N2151" s="6" t="str">
        <f t="shared" ref="N2151:P2151" si="2154">IF(LEN($C2151)&gt;0,H2151-E2151,"")</f>
        <v/>
      </c>
      <c r="O2151" s="6" t="str">
        <f t="shared" si="2154"/>
        <v/>
      </c>
      <c r="P2151" s="6" t="str">
        <f t="shared" si="2154"/>
        <v/>
      </c>
      <c r="Q2151" s="6"/>
      <c r="R2151" s="6"/>
      <c r="S2151" s="6"/>
      <c r="T2151" s="6"/>
      <c r="U2151" s="6"/>
      <c r="V2151" s="6"/>
      <c r="W2151" s="6"/>
      <c r="X2151" s="6"/>
      <c r="Y2151" s="6"/>
      <c r="Z2151" s="6"/>
      <c r="AA2151" s="6"/>
      <c r="AB2151" s="6"/>
      <c r="AC2151" s="6"/>
      <c r="AD2151" s="6"/>
      <c r="AE2151" s="6"/>
      <c r="AF2151" s="6"/>
      <c r="AG2151" s="6"/>
    </row>
    <row r="2152" ht="14.25" customHeight="1">
      <c r="A2152" s="6"/>
      <c r="B2152" s="6"/>
      <c r="C2152" s="6"/>
      <c r="D2152" s="6"/>
      <c r="E2152" s="6"/>
      <c r="F2152" s="6"/>
      <c r="G2152" s="6"/>
      <c r="H2152" s="6"/>
      <c r="I2152" s="6"/>
      <c r="J2152" s="6"/>
      <c r="K2152" s="6"/>
      <c r="L2152" s="6"/>
      <c r="M2152" s="6"/>
      <c r="N2152" s="6" t="str">
        <f t="shared" ref="N2152:P2152" si="2155">IF(LEN($C2152)&gt;0,H2152-E2152,"")</f>
        <v/>
      </c>
      <c r="O2152" s="6" t="str">
        <f t="shared" si="2155"/>
        <v/>
      </c>
      <c r="P2152" s="6" t="str">
        <f t="shared" si="2155"/>
        <v/>
      </c>
      <c r="Q2152" s="6"/>
      <c r="R2152" s="6"/>
      <c r="S2152" s="6"/>
      <c r="T2152" s="6"/>
      <c r="U2152" s="6"/>
      <c r="V2152" s="6"/>
      <c r="W2152" s="6"/>
      <c r="X2152" s="6"/>
      <c r="Y2152" s="6"/>
      <c r="Z2152" s="6"/>
      <c r="AA2152" s="6"/>
      <c r="AB2152" s="6"/>
      <c r="AC2152" s="6"/>
      <c r="AD2152" s="6"/>
      <c r="AE2152" s="6"/>
      <c r="AF2152" s="6"/>
      <c r="AG2152" s="6"/>
    </row>
    <row r="2153" ht="14.25" customHeight="1">
      <c r="A2153" s="6"/>
      <c r="B2153" s="6"/>
      <c r="C2153" s="6"/>
      <c r="D2153" s="6"/>
      <c r="E2153" s="6"/>
      <c r="F2153" s="6"/>
      <c r="G2153" s="6"/>
      <c r="H2153" s="6"/>
      <c r="I2153" s="6"/>
      <c r="J2153" s="6"/>
      <c r="K2153" s="6"/>
      <c r="L2153" s="6"/>
      <c r="M2153" s="6"/>
      <c r="N2153" s="6" t="str">
        <f t="shared" ref="N2153:P2153" si="2156">IF(LEN($C2153)&gt;0,H2153-E2153,"")</f>
        <v/>
      </c>
      <c r="O2153" s="6" t="str">
        <f t="shared" si="2156"/>
        <v/>
      </c>
      <c r="P2153" s="6" t="str">
        <f t="shared" si="2156"/>
        <v/>
      </c>
      <c r="Q2153" s="6"/>
      <c r="R2153" s="6"/>
      <c r="S2153" s="6"/>
      <c r="T2153" s="6"/>
      <c r="U2153" s="6"/>
      <c r="V2153" s="6"/>
      <c r="W2153" s="6"/>
      <c r="X2153" s="6"/>
      <c r="Y2153" s="6"/>
      <c r="Z2153" s="6"/>
      <c r="AA2153" s="6"/>
      <c r="AB2153" s="6"/>
      <c r="AC2153" s="6"/>
      <c r="AD2153" s="6"/>
      <c r="AE2153" s="6"/>
      <c r="AF2153" s="6"/>
      <c r="AG2153" s="6"/>
    </row>
    <row r="2154" ht="14.25" customHeight="1">
      <c r="A2154" s="6"/>
      <c r="B2154" s="6"/>
      <c r="C2154" s="6"/>
      <c r="D2154" s="6"/>
      <c r="E2154" s="6"/>
      <c r="F2154" s="6"/>
      <c r="G2154" s="6"/>
      <c r="H2154" s="6"/>
      <c r="I2154" s="6"/>
      <c r="J2154" s="6"/>
      <c r="K2154" s="6"/>
      <c r="L2154" s="6"/>
      <c r="M2154" s="6"/>
      <c r="N2154" s="6" t="str">
        <f t="shared" ref="N2154:P2154" si="2157">IF(LEN($C2154)&gt;0,H2154-E2154,"")</f>
        <v/>
      </c>
      <c r="O2154" s="6" t="str">
        <f t="shared" si="2157"/>
        <v/>
      </c>
      <c r="P2154" s="6" t="str">
        <f t="shared" si="2157"/>
        <v/>
      </c>
      <c r="Q2154" s="6"/>
      <c r="R2154" s="6"/>
      <c r="S2154" s="6"/>
      <c r="T2154" s="6"/>
      <c r="U2154" s="6"/>
      <c r="V2154" s="6"/>
      <c r="W2154" s="6"/>
      <c r="X2154" s="6"/>
      <c r="Y2154" s="6"/>
      <c r="Z2154" s="6"/>
      <c r="AA2154" s="6"/>
      <c r="AB2154" s="6"/>
      <c r="AC2154" s="6"/>
      <c r="AD2154" s="6"/>
      <c r="AE2154" s="6"/>
      <c r="AF2154" s="6"/>
      <c r="AG2154" s="6"/>
    </row>
    <row r="2155" ht="14.25" customHeight="1">
      <c r="A2155" s="6"/>
      <c r="B2155" s="6"/>
      <c r="C2155" s="6"/>
      <c r="D2155" s="6"/>
      <c r="E2155" s="6"/>
      <c r="F2155" s="6"/>
      <c r="G2155" s="6"/>
      <c r="H2155" s="6"/>
      <c r="I2155" s="6"/>
      <c r="J2155" s="6"/>
      <c r="K2155" s="6"/>
      <c r="L2155" s="6"/>
      <c r="M2155" s="6"/>
      <c r="N2155" s="6" t="str">
        <f t="shared" ref="N2155:P2155" si="2158">IF(LEN($C2155)&gt;0,H2155-E2155,"")</f>
        <v/>
      </c>
      <c r="O2155" s="6" t="str">
        <f t="shared" si="2158"/>
        <v/>
      </c>
      <c r="P2155" s="6" t="str">
        <f t="shared" si="2158"/>
        <v/>
      </c>
      <c r="Q2155" s="6"/>
      <c r="R2155" s="6"/>
      <c r="S2155" s="6"/>
      <c r="T2155" s="6"/>
      <c r="U2155" s="6"/>
      <c r="V2155" s="6"/>
      <c r="W2155" s="6"/>
      <c r="X2155" s="6"/>
      <c r="Y2155" s="6"/>
      <c r="Z2155" s="6"/>
      <c r="AA2155" s="6"/>
      <c r="AB2155" s="6"/>
      <c r="AC2155" s="6"/>
      <c r="AD2155" s="6"/>
      <c r="AE2155" s="6"/>
      <c r="AF2155" s="6"/>
      <c r="AG2155" s="6"/>
    </row>
    <row r="2156" ht="14.25" customHeight="1">
      <c r="A2156" s="6"/>
      <c r="B2156" s="6"/>
      <c r="C2156" s="6"/>
      <c r="D2156" s="6"/>
      <c r="E2156" s="6"/>
      <c r="F2156" s="6"/>
      <c r="G2156" s="6"/>
      <c r="H2156" s="6"/>
      <c r="I2156" s="6"/>
      <c r="J2156" s="6"/>
      <c r="K2156" s="6"/>
      <c r="L2156" s="6"/>
      <c r="M2156" s="6"/>
      <c r="N2156" s="6" t="str">
        <f t="shared" ref="N2156:P2156" si="2159">IF(LEN($C2156)&gt;0,H2156-E2156,"")</f>
        <v/>
      </c>
      <c r="O2156" s="6" t="str">
        <f t="shared" si="2159"/>
        <v/>
      </c>
      <c r="P2156" s="6" t="str">
        <f t="shared" si="2159"/>
        <v/>
      </c>
      <c r="Q2156" s="6"/>
      <c r="R2156" s="6"/>
      <c r="S2156" s="6"/>
      <c r="T2156" s="6"/>
      <c r="U2156" s="6"/>
      <c r="V2156" s="6"/>
      <c r="W2156" s="6"/>
      <c r="X2156" s="6"/>
      <c r="Y2156" s="6"/>
      <c r="Z2156" s="6"/>
      <c r="AA2156" s="6"/>
      <c r="AB2156" s="6"/>
      <c r="AC2156" s="6"/>
      <c r="AD2156" s="6"/>
      <c r="AE2156" s="6"/>
      <c r="AF2156" s="6"/>
      <c r="AG2156" s="6"/>
    </row>
    <row r="2157" ht="14.25" customHeight="1">
      <c r="A2157" s="6"/>
      <c r="B2157" s="6"/>
      <c r="C2157" s="6"/>
      <c r="D2157" s="6"/>
      <c r="E2157" s="6"/>
      <c r="F2157" s="6"/>
      <c r="G2157" s="6"/>
      <c r="H2157" s="6"/>
      <c r="I2157" s="6"/>
      <c r="J2157" s="6"/>
      <c r="K2157" s="6"/>
      <c r="L2157" s="6"/>
      <c r="M2157" s="6"/>
      <c r="N2157" s="6" t="str">
        <f t="shared" ref="N2157:P2157" si="2160">IF(LEN($C2157)&gt;0,H2157-E2157,"")</f>
        <v/>
      </c>
      <c r="O2157" s="6" t="str">
        <f t="shared" si="2160"/>
        <v/>
      </c>
      <c r="P2157" s="6" t="str">
        <f t="shared" si="2160"/>
        <v/>
      </c>
      <c r="Q2157" s="6"/>
      <c r="R2157" s="6"/>
      <c r="S2157" s="6"/>
      <c r="T2157" s="6"/>
      <c r="U2157" s="6"/>
      <c r="V2157" s="6"/>
      <c r="W2157" s="6"/>
      <c r="X2157" s="6"/>
      <c r="Y2157" s="6"/>
      <c r="Z2157" s="6"/>
      <c r="AA2157" s="6"/>
      <c r="AB2157" s="6"/>
      <c r="AC2157" s="6"/>
      <c r="AD2157" s="6"/>
      <c r="AE2157" s="6"/>
      <c r="AF2157" s="6"/>
      <c r="AG2157" s="6"/>
    </row>
    <row r="2158" ht="14.25" customHeight="1">
      <c r="A2158" s="6"/>
      <c r="B2158" s="6"/>
      <c r="C2158" s="6"/>
      <c r="D2158" s="6"/>
      <c r="E2158" s="6"/>
      <c r="F2158" s="6"/>
      <c r="G2158" s="6"/>
      <c r="H2158" s="6"/>
      <c r="I2158" s="6"/>
      <c r="J2158" s="6"/>
      <c r="K2158" s="6"/>
      <c r="L2158" s="6"/>
      <c r="M2158" s="6"/>
      <c r="N2158" s="6" t="str">
        <f t="shared" ref="N2158:P2158" si="2161">IF(LEN($C2158)&gt;0,H2158-E2158,"")</f>
        <v/>
      </c>
      <c r="O2158" s="6" t="str">
        <f t="shared" si="2161"/>
        <v/>
      </c>
      <c r="P2158" s="6" t="str">
        <f t="shared" si="2161"/>
        <v/>
      </c>
      <c r="Q2158" s="6"/>
      <c r="R2158" s="6"/>
      <c r="S2158" s="6"/>
      <c r="T2158" s="6"/>
      <c r="U2158" s="6"/>
      <c r="V2158" s="6"/>
      <c r="W2158" s="6"/>
      <c r="X2158" s="6"/>
      <c r="Y2158" s="6"/>
      <c r="Z2158" s="6"/>
      <c r="AA2158" s="6"/>
      <c r="AB2158" s="6"/>
      <c r="AC2158" s="6"/>
      <c r="AD2158" s="6"/>
      <c r="AE2158" s="6"/>
      <c r="AF2158" s="6"/>
      <c r="AG2158" s="6"/>
    </row>
    <row r="2159" ht="14.25" customHeight="1">
      <c r="A2159" s="6"/>
      <c r="B2159" s="6"/>
      <c r="C2159" s="6"/>
      <c r="D2159" s="6"/>
      <c r="E2159" s="6"/>
      <c r="F2159" s="6"/>
      <c r="G2159" s="6"/>
      <c r="H2159" s="6"/>
      <c r="I2159" s="6"/>
      <c r="J2159" s="6"/>
      <c r="K2159" s="6"/>
      <c r="L2159" s="6"/>
      <c r="M2159" s="6"/>
      <c r="N2159" s="6" t="str">
        <f t="shared" ref="N2159:P2159" si="2162">IF(LEN($C2159)&gt;0,H2159-E2159,"")</f>
        <v/>
      </c>
      <c r="O2159" s="6" t="str">
        <f t="shared" si="2162"/>
        <v/>
      </c>
      <c r="P2159" s="6" t="str">
        <f t="shared" si="2162"/>
        <v/>
      </c>
      <c r="Q2159" s="6"/>
      <c r="R2159" s="6"/>
      <c r="S2159" s="6"/>
      <c r="T2159" s="6"/>
      <c r="U2159" s="6"/>
      <c r="V2159" s="6"/>
      <c r="W2159" s="6"/>
      <c r="X2159" s="6"/>
      <c r="Y2159" s="6"/>
      <c r="Z2159" s="6"/>
      <c r="AA2159" s="6"/>
      <c r="AB2159" s="6"/>
      <c r="AC2159" s="6"/>
      <c r="AD2159" s="6"/>
      <c r="AE2159" s="6"/>
      <c r="AF2159" s="6"/>
      <c r="AG2159" s="6"/>
    </row>
    <row r="2160" ht="14.25" customHeight="1">
      <c r="A2160" s="6"/>
      <c r="B2160" s="6"/>
      <c r="C2160" s="6"/>
      <c r="D2160" s="6"/>
      <c r="E2160" s="6"/>
      <c r="F2160" s="6"/>
      <c r="G2160" s="6"/>
      <c r="H2160" s="6"/>
      <c r="I2160" s="6"/>
      <c r="J2160" s="6"/>
      <c r="K2160" s="6"/>
      <c r="L2160" s="6"/>
      <c r="M2160" s="6"/>
      <c r="N2160" s="6" t="str">
        <f t="shared" ref="N2160:P2160" si="2163">IF(LEN($C2160)&gt;0,H2160-E2160,"")</f>
        <v/>
      </c>
      <c r="O2160" s="6" t="str">
        <f t="shared" si="2163"/>
        <v/>
      </c>
      <c r="P2160" s="6" t="str">
        <f t="shared" si="2163"/>
        <v/>
      </c>
      <c r="Q2160" s="6"/>
      <c r="R2160" s="6"/>
      <c r="S2160" s="6"/>
      <c r="T2160" s="6"/>
      <c r="U2160" s="6"/>
      <c r="V2160" s="6"/>
      <c r="W2160" s="6"/>
      <c r="X2160" s="6"/>
      <c r="Y2160" s="6"/>
      <c r="Z2160" s="6"/>
      <c r="AA2160" s="6"/>
      <c r="AB2160" s="6"/>
      <c r="AC2160" s="6"/>
      <c r="AD2160" s="6"/>
      <c r="AE2160" s="6"/>
      <c r="AF2160" s="6"/>
      <c r="AG2160" s="6"/>
    </row>
    <row r="2161" ht="14.25" customHeight="1">
      <c r="A2161" s="6"/>
      <c r="B2161" s="6"/>
      <c r="C2161" s="6"/>
      <c r="D2161" s="6"/>
      <c r="E2161" s="6"/>
      <c r="F2161" s="6"/>
      <c r="G2161" s="6"/>
      <c r="H2161" s="6"/>
      <c r="I2161" s="6"/>
      <c r="J2161" s="6"/>
      <c r="K2161" s="6"/>
      <c r="L2161" s="6"/>
      <c r="M2161" s="6"/>
      <c r="N2161" s="6" t="str">
        <f t="shared" ref="N2161:P2161" si="2164">IF(LEN($C2161)&gt;0,H2161-E2161,"")</f>
        <v/>
      </c>
      <c r="O2161" s="6" t="str">
        <f t="shared" si="2164"/>
        <v/>
      </c>
      <c r="P2161" s="6" t="str">
        <f t="shared" si="2164"/>
        <v/>
      </c>
      <c r="Q2161" s="6"/>
      <c r="R2161" s="6"/>
      <c r="S2161" s="6"/>
      <c r="T2161" s="6"/>
      <c r="U2161" s="6"/>
      <c r="V2161" s="6"/>
      <c r="W2161" s="6"/>
      <c r="X2161" s="6"/>
      <c r="Y2161" s="6"/>
      <c r="Z2161" s="6"/>
      <c r="AA2161" s="6"/>
      <c r="AB2161" s="6"/>
      <c r="AC2161" s="6"/>
      <c r="AD2161" s="6"/>
      <c r="AE2161" s="6"/>
      <c r="AF2161" s="6"/>
      <c r="AG2161" s="6"/>
    </row>
    <row r="2162" ht="14.25" customHeight="1">
      <c r="A2162" s="6"/>
      <c r="B2162" s="6"/>
      <c r="C2162" s="6"/>
      <c r="D2162" s="6"/>
      <c r="E2162" s="6"/>
      <c r="F2162" s="6"/>
      <c r="G2162" s="6"/>
      <c r="H2162" s="6"/>
      <c r="I2162" s="6"/>
      <c r="J2162" s="6"/>
      <c r="K2162" s="6"/>
      <c r="L2162" s="6"/>
      <c r="M2162" s="6"/>
      <c r="N2162" s="6" t="str">
        <f t="shared" ref="N2162:P2162" si="2165">IF(LEN($C2162)&gt;0,H2162-E2162,"")</f>
        <v/>
      </c>
      <c r="O2162" s="6" t="str">
        <f t="shared" si="2165"/>
        <v/>
      </c>
      <c r="P2162" s="6" t="str">
        <f t="shared" si="2165"/>
        <v/>
      </c>
      <c r="Q2162" s="6"/>
      <c r="R2162" s="6"/>
      <c r="S2162" s="6"/>
      <c r="T2162" s="6"/>
      <c r="U2162" s="6"/>
      <c r="V2162" s="6"/>
      <c r="W2162" s="6"/>
      <c r="X2162" s="6"/>
      <c r="Y2162" s="6"/>
      <c r="Z2162" s="6"/>
      <c r="AA2162" s="6"/>
      <c r="AB2162" s="6"/>
      <c r="AC2162" s="6"/>
      <c r="AD2162" s="6"/>
      <c r="AE2162" s="6"/>
      <c r="AF2162" s="6"/>
      <c r="AG2162" s="6"/>
    </row>
    <row r="2163" ht="14.25" customHeight="1">
      <c r="A2163" s="6"/>
      <c r="B2163" s="6"/>
      <c r="C2163" s="6"/>
      <c r="D2163" s="6"/>
      <c r="E2163" s="6"/>
      <c r="F2163" s="6"/>
      <c r="G2163" s="6"/>
      <c r="H2163" s="6"/>
      <c r="I2163" s="6"/>
      <c r="J2163" s="6"/>
      <c r="K2163" s="6"/>
      <c r="L2163" s="6"/>
      <c r="M2163" s="6"/>
      <c r="N2163" s="6" t="str">
        <f t="shared" ref="N2163:P2163" si="2166">IF(LEN($C2163)&gt;0,H2163-E2163,"")</f>
        <v/>
      </c>
      <c r="O2163" s="6" t="str">
        <f t="shared" si="2166"/>
        <v/>
      </c>
      <c r="P2163" s="6" t="str">
        <f t="shared" si="2166"/>
        <v/>
      </c>
      <c r="Q2163" s="6"/>
      <c r="R2163" s="6"/>
      <c r="S2163" s="6"/>
      <c r="T2163" s="6"/>
      <c r="U2163" s="6"/>
      <c r="V2163" s="6"/>
      <c r="W2163" s="6"/>
      <c r="X2163" s="6"/>
      <c r="Y2163" s="6"/>
      <c r="Z2163" s="6"/>
      <c r="AA2163" s="6"/>
      <c r="AB2163" s="6"/>
      <c r="AC2163" s="6"/>
      <c r="AD2163" s="6"/>
      <c r="AE2163" s="6"/>
      <c r="AF2163" s="6"/>
      <c r="AG2163" s="6"/>
    </row>
    <row r="2164" ht="14.25" customHeight="1">
      <c r="A2164" s="6"/>
      <c r="B2164" s="6"/>
      <c r="C2164" s="6"/>
      <c r="D2164" s="6"/>
      <c r="E2164" s="6"/>
      <c r="F2164" s="6"/>
      <c r="G2164" s="6"/>
      <c r="H2164" s="6"/>
      <c r="I2164" s="6"/>
      <c r="J2164" s="6"/>
      <c r="K2164" s="6"/>
      <c r="L2164" s="6"/>
      <c r="M2164" s="6"/>
      <c r="N2164" s="6" t="str">
        <f t="shared" ref="N2164:P2164" si="2167">IF(LEN($C2164)&gt;0,H2164-E2164,"")</f>
        <v/>
      </c>
      <c r="O2164" s="6" t="str">
        <f t="shared" si="2167"/>
        <v/>
      </c>
      <c r="P2164" s="6" t="str">
        <f t="shared" si="2167"/>
        <v/>
      </c>
      <c r="Q2164" s="6"/>
      <c r="R2164" s="6"/>
      <c r="S2164" s="6"/>
      <c r="T2164" s="6"/>
      <c r="U2164" s="6"/>
      <c r="V2164" s="6"/>
      <c r="W2164" s="6"/>
      <c r="X2164" s="6"/>
      <c r="Y2164" s="6"/>
      <c r="Z2164" s="6"/>
      <c r="AA2164" s="6"/>
      <c r="AB2164" s="6"/>
      <c r="AC2164" s="6"/>
      <c r="AD2164" s="6"/>
      <c r="AE2164" s="6"/>
      <c r="AF2164" s="6"/>
      <c r="AG2164" s="6"/>
    </row>
    <row r="2165" ht="14.25" customHeight="1">
      <c r="A2165" s="6"/>
      <c r="B2165" s="6"/>
      <c r="C2165" s="6"/>
      <c r="D2165" s="6"/>
      <c r="E2165" s="6"/>
      <c r="F2165" s="6"/>
      <c r="G2165" s="6"/>
      <c r="H2165" s="6"/>
      <c r="I2165" s="6"/>
      <c r="J2165" s="6"/>
      <c r="K2165" s="6"/>
      <c r="L2165" s="6"/>
      <c r="M2165" s="6"/>
      <c r="N2165" s="6" t="str">
        <f t="shared" ref="N2165:P2165" si="2168">IF(LEN($C2165)&gt;0,H2165-E2165,"")</f>
        <v/>
      </c>
      <c r="O2165" s="6" t="str">
        <f t="shared" si="2168"/>
        <v/>
      </c>
      <c r="P2165" s="6" t="str">
        <f t="shared" si="2168"/>
        <v/>
      </c>
      <c r="Q2165" s="6"/>
      <c r="R2165" s="6"/>
      <c r="S2165" s="6"/>
      <c r="T2165" s="6"/>
      <c r="U2165" s="6"/>
      <c r="V2165" s="6"/>
      <c r="W2165" s="6"/>
      <c r="X2165" s="6"/>
      <c r="Y2165" s="6"/>
      <c r="Z2165" s="6"/>
      <c r="AA2165" s="6"/>
      <c r="AB2165" s="6"/>
      <c r="AC2165" s="6"/>
      <c r="AD2165" s="6"/>
      <c r="AE2165" s="6"/>
      <c r="AF2165" s="6"/>
      <c r="AG2165" s="6"/>
    </row>
    <row r="2166" ht="14.25" customHeight="1">
      <c r="A2166" s="6"/>
      <c r="B2166" s="6"/>
      <c r="C2166" s="6"/>
      <c r="D2166" s="6"/>
      <c r="E2166" s="6"/>
      <c r="F2166" s="6"/>
      <c r="G2166" s="6"/>
      <c r="H2166" s="6"/>
      <c r="I2166" s="6"/>
      <c r="J2166" s="6"/>
      <c r="K2166" s="6"/>
      <c r="L2166" s="6"/>
      <c r="M2166" s="6"/>
      <c r="N2166" s="6" t="str">
        <f t="shared" ref="N2166:P2166" si="2169">IF(LEN($C2166)&gt;0,H2166-E2166,"")</f>
        <v/>
      </c>
      <c r="O2166" s="6" t="str">
        <f t="shared" si="2169"/>
        <v/>
      </c>
      <c r="P2166" s="6" t="str">
        <f t="shared" si="2169"/>
        <v/>
      </c>
      <c r="Q2166" s="6"/>
      <c r="R2166" s="6"/>
      <c r="S2166" s="6"/>
      <c r="T2166" s="6"/>
      <c r="U2166" s="6"/>
      <c r="V2166" s="6"/>
      <c r="W2166" s="6"/>
      <c r="X2166" s="6"/>
      <c r="Y2166" s="6"/>
      <c r="Z2166" s="6"/>
      <c r="AA2166" s="6"/>
      <c r="AB2166" s="6"/>
      <c r="AC2166" s="6"/>
      <c r="AD2166" s="6"/>
      <c r="AE2166" s="6"/>
      <c r="AF2166" s="6"/>
      <c r="AG2166" s="6"/>
    </row>
    <row r="2167" ht="14.25" customHeight="1">
      <c r="A2167" s="6"/>
      <c r="B2167" s="6"/>
      <c r="C2167" s="6"/>
      <c r="D2167" s="6"/>
      <c r="E2167" s="6"/>
      <c r="F2167" s="6"/>
      <c r="G2167" s="6"/>
      <c r="H2167" s="6"/>
      <c r="I2167" s="6"/>
      <c r="J2167" s="6"/>
      <c r="K2167" s="6"/>
      <c r="L2167" s="6"/>
      <c r="M2167" s="6"/>
      <c r="N2167" s="6" t="str">
        <f t="shared" ref="N2167:P2167" si="2170">IF(LEN($C2167)&gt;0,H2167-E2167,"")</f>
        <v/>
      </c>
      <c r="O2167" s="6" t="str">
        <f t="shared" si="2170"/>
        <v/>
      </c>
      <c r="P2167" s="6" t="str">
        <f t="shared" si="2170"/>
        <v/>
      </c>
      <c r="Q2167" s="6"/>
      <c r="R2167" s="6"/>
      <c r="S2167" s="6"/>
      <c r="T2167" s="6"/>
      <c r="U2167" s="6"/>
      <c r="V2167" s="6"/>
      <c r="W2167" s="6"/>
      <c r="X2167" s="6"/>
      <c r="Y2167" s="6"/>
      <c r="Z2167" s="6"/>
      <c r="AA2167" s="6"/>
      <c r="AB2167" s="6"/>
      <c r="AC2167" s="6"/>
      <c r="AD2167" s="6"/>
      <c r="AE2167" s="6"/>
      <c r="AF2167" s="6"/>
      <c r="AG2167" s="6"/>
    </row>
    <row r="2168" ht="14.25" customHeight="1">
      <c r="A2168" s="6"/>
      <c r="B2168" s="6"/>
      <c r="C2168" s="6"/>
      <c r="D2168" s="6"/>
      <c r="E2168" s="6"/>
      <c r="F2168" s="6"/>
      <c r="G2168" s="6"/>
      <c r="H2168" s="6"/>
      <c r="I2168" s="6"/>
      <c r="J2168" s="6"/>
      <c r="K2168" s="6"/>
      <c r="L2168" s="6"/>
      <c r="M2168" s="6"/>
      <c r="N2168" s="6" t="str">
        <f t="shared" ref="N2168:P2168" si="2171">IF(LEN($C2168)&gt;0,H2168-E2168,"")</f>
        <v/>
      </c>
      <c r="O2168" s="6" t="str">
        <f t="shared" si="2171"/>
        <v/>
      </c>
      <c r="P2168" s="6" t="str">
        <f t="shared" si="2171"/>
        <v/>
      </c>
      <c r="Q2168" s="6"/>
      <c r="R2168" s="6"/>
      <c r="S2168" s="6"/>
      <c r="T2168" s="6"/>
      <c r="U2168" s="6"/>
      <c r="V2168" s="6"/>
      <c r="W2168" s="6"/>
      <c r="X2168" s="6"/>
      <c r="Y2168" s="6"/>
      <c r="Z2168" s="6"/>
      <c r="AA2168" s="6"/>
      <c r="AB2168" s="6"/>
      <c r="AC2168" s="6"/>
      <c r="AD2168" s="6"/>
      <c r="AE2168" s="6"/>
      <c r="AF2168" s="6"/>
      <c r="AG2168" s="6"/>
    </row>
    <row r="2169" ht="14.25" customHeight="1">
      <c r="A2169" s="6"/>
      <c r="B2169" s="6"/>
      <c r="C2169" s="6"/>
      <c r="D2169" s="6"/>
      <c r="E2169" s="6"/>
      <c r="F2169" s="6"/>
      <c r="G2169" s="6"/>
      <c r="H2169" s="6"/>
      <c r="I2169" s="6"/>
      <c r="J2169" s="6"/>
      <c r="K2169" s="6"/>
      <c r="L2169" s="6"/>
      <c r="M2169" s="6"/>
      <c r="N2169" s="6" t="str">
        <f t="shared" ref="N2169:P2169" si="2172">IF(LEN($C2169)&gt;0,H2169-E2169,"")</f>
        <v/>
      </c>
      <c r="O2169" s="6" t="str">
        <f t="shared" si="2172"/>
        <v/>
      </c>
      <c r="P2169" s="6" t="str">
        <f t="shared" si="2172"/>
        <v/>
      </c>
      <c r="Q2169" s="6"/>
      <c r="R2169" s="6"/>
      <c r="S2169" s="6"/>
      <c r="T2169" s="6"/>
      <c r="U2169" s="6"/>
      <c r="V2169" s="6"/>
      <c r="W2169" s="6"/>
      <c r="X2169" s="6"/>
      <c r="Y2169" s="6"/>
      <c r="Z2169" s="6"/>
      <c r="AA2169" s="6"/>
      <c r="AB2169" s="6"/>
      <c r="AC2169" s="6"/>
      <c r="AD2169" s="6"/>
      <c r="AE2169" s="6"/>
      <c r="AF2169" s="6"/>
      <c r="AG2169" s="6"/>
    </row>
    <row r="2170" ht="14.25" customHeight="1">
      <c r="A2170" s="6"/>
      <c r="B2170" s="6"/>
      <c r="C2170" s="6"/>
      <c r="D2170" s="6"/>
      <c r="E2170" s="6"/>
      <c r="F2170" s="6"/>
      <c r="G2170" s="6"/>
      <c r="H2170" s="6"/>
      <c r="I2170" s="6"/>
      <c r="J2170" s="6"/>
      <c r="K2170" s="6"/>
      <c r="L2170" s="6"/>
      <c r="M2170" s="6"/>
      <c r="N2170" s="6" t="str">
        <f t="shared" ref="N2170:P2170" si="2173">IF(LEN($C2170)&gt;0,H2170-E2170,"")</f>
        <v/>
      </c>
      <c r="O2170" s="6" t="str">
        <f t="shared" si="2173"/>
        <v/>
      </c>
      <c r="P2170" s="6" t="str">
        <f t="shared" si="2173"/>
        <v/>
      </c>
      <c r="Q2170" s="6"/>
      <c r="R2170" s="6"/>
      <c r="S2170" s="6"/>
      <c r="T2170" s="6"/>
      <c r="U2170" s="6"/>
      <c r="V2170" s="6"/>
      <c r="W2170" s="6"/>
      <c r="X2170" s="6"/>
      <c r="Y2170" s="6"/>
      <c r="Z2170" s="6"/>
      <c r="AA2170" s="6"/>
      <c r="AB2170" s="6"/>
      <c r="AC2170" s="6"/>
      <c r="AD2170" s="6"/>
      <c r="AE2170" s="6"/>
      <c r="AF2170" s="6"/>
      <c r="AG2170" s="6"/>
    </row>
    <row r="2171" ht="14.25" customHeight="1">
      <c r="A2171" s="6"/>
      <c r="B2171" s="6"/>
      <c r="C2171" s="6"/>
      <c r="D2171" s="6"/>
      <c r="E2171" s="6"/>
      <c r="F2171" s="6"/>
      <c r="G2171" s="6"/>
      <c r="H2171" s="6"/>
      <c r="I2171" s="6"/>
      <c r="J2171" s="6"/>
      <c r="K2171" s="6"/>
      <c r="L2171" s="6"/>
      <c r="M2171" s="6"/>
      <c r="N2171" s="6" t="str">
        <f t="shared" ref="N2171:P2171" si="2174">IF(LEN($C2171)&gt;0,H2171-E2171,"")</f>
        <v/>
      </c>
      <c r="O2171" s="6" t="str">
        <f t="shared" si="2174"/>
        <v/>
      </c>
      <c r="P2171" s="6" t="str">
        <f t="shared" si="2174"/>
        <v/>
      </c>
      <c r="Q2171" s="6"/>
      <c r="R2171" s="6"/>
      <c r="S2171" s="6"/>
      <c r="T2171" s="6"/>
      <c r="U2171" s="6"/>
      <c r="V2171" s="6"/>
      <c r="W2171" s="6"/>
      <c r="X2171" s="6"/>
      <c r="Y2171" s="6"/>
      <c r="Z2171" s="6"/>
      <c r="AA2171" s="6"/>
      <c r="AB2171" s="6"/>
      <c r="AC2171" s="6"/>
      <c r="AD2171" s="6"/>
      <c r="AE2171" s="6"/>
      <c r="AF2171" s="6"/>
      <c r="AG2171" s="6"/>
    </row>
    <row r="2172" ht="14.25" customHeight="1">
      <c r="A2172" s="6"/>
      <c r="B2172" s="6"/>
      <c r="C2172" s="6"/>
      <c r="D2172" s="6"/>
      <c r="E2172" s="6"/>
      <c r="F2172" s="6"/>
      <c r="G2172" s="6"/>
      <c r="H2172" s="6"/>
      <c r="I2172" s="6"/>
      <c r="J2172" s="6"/>
      <c r="K2172" s="6"/>
      <c r="L2172" s="6"/>
      <c r="M2172" s="6"/>
      <c r="N2172" s="6" t="str">
        <f t="shared" ref="N2172:P2172" si="2175">IF(LEN($C2172)&gt;0,H2172-E2172,"")</f>
        <v/>
      </c>
      <c r="O2172" s="6" t="str">
        <f t="shared" si="2175"/>
        <v/>
      </c>
      <c r="P2172" s="6" t="str">
        <f t="shared" si="2175"/>
        <v/>
      </c>
      <c r="Q2172" s="6"/>
      <c r="R2172" s="6"/>
      <c r="S2172" s="6"/>
      <c r="T2172" s="6"/>
      <c r="U2172" s="6"/>
      <c r="V2172" s="6"/>
      <c r="W2172" s="6"/>
      <c r="X2172" s="6"/>
      <c r="Y2172" s="6"/>
      <c r="Z2172" s="6"/>
      <c r="AA2172" s="6"/>
      <c r="AB2172" s="6"/>
      <c r="AC2172" s="6"/>
      <c r="AD2172" s="6"/>
      <c r="AE2172" s="6"/>
      <c r="AF2172" s="6"/>
      <c r="AG2172" s="6"/>
    </row>
    <row r="2173" ht="14.25" customHeight="1">
      <c r="A2173" s="6"/>
      <c r="B2173" s="6"/>
      <c r="C2173" s="6"/>
      <c r="D2173" s="6"/>
      <c r="E2173" s="6"/>
      <c r="F2173" s="6"/>
      <c r="G2173" s="6"/>
      <c r="H2173" s="6"/>
      <c r="I2173" s="6"/>
      <c r="J2173" s="6"/>
      <c r="K2173" s="6"/>
      <c r="L2173" s="6"/>
      <c r="M2173" s="6"/>
      <c r="N2173" s="6" t="str">
        <f t="shared" ref="N2173:P2173" si="2176">IF(LEN($C2173)&gt;0,H2173-E2173,"")</f>
        <v/>
      </c>
      <c r="O2173" s="6" t="str">
        <f t="shared" si="2176"/>
        <v/>
      </c>
      <c r="P2173" s="6" t="str">
        <f t="shared" si="2176"/>
        <v/>
      </c>
      <c r="Q2173" s="6"/>
      <c r="R2173" s="6"/>
      <c r="S2173" s="6"/>
      <c r="T2173" s="6"/>
      <c r="U2173" s="6"/>
      <c r="V2173" s="6"/>
      <c r="W2173" s="6"/>
      <c r="X2173" s="6"/>
      <c r="Y2173" s="6"/>
      <c r="Z2173" s="6"/>
      <c r="AA2173" s="6"/>
      <c r="AB2173" s="6"/>
      <c r="AC2173" s="6"/>
      <c r="AD2173" s="6"/>
      <c r="AE2173" s="6"/>
      <c r="AF2173" s="6"/>
      <c r="AG2173" s="6"/>
    </row>
    <row r="2174" ht="14.25" customHeight="1">
      <c r="A2174" s="6"/>
      <c r="B2174" s="6"/>
      <c r="C2174" s="6"/>
      <c r="D2174" s="6"/>
      <c r="E2174" s="6"/>
      <c r="F2174" s="6"/>
      <c r="G2174" s="6"/>
      <c r="H2174" s="6"/>
      <c r="I2174" s="6"/>
      <c r="J2174" s="6"/>
      <c r="K2174" s="6"/>
      <c r="L2174" s="6"/>
      <c r="M2174" s="6"/>
      <c r="N2174" s="6" t="str">
        <f t="shared" ref="N2174:P2174" si="2177">IF(LEN($C2174)&gt;0,H2174-E2174,"")</f>
        <v/>
      </c>
      <c r="O2174" s="6" t="str">
        <f t="shared" si="2177"/>
        <v/>
      </c>
      <c r="P2174" s="6" t="str">
        <f t="shared" si="2177"/>
        <v/>
      </c>
      <c r="Q2174" s="6"/>
      <c r="R2174" s="6"/>
      <c r="S2174" s="6"/>
      <c r="T2174" s="6"/>
      <c r="U2174" s="6"/>
      <c r="V2174" s="6"/>
      <c r="W2174" s="6"/>
      <c r="X2174" s="6"/>
      <c r="Y2174" s="6"/>
      <c r="Z2174" s="6"/>
      <c r="AA2174" s="6"/>
      <c r="AB2174" s="6"/>
      <c r="AC2174" s="6"/>
      <c r="AD2174" s="6"/>
      <c r="AE2174" s="6"/>
      <c r="AF2174" s="6"/>
      <c r="AG2174" s="6"/>
    </row>
    <row r="2175" ht="14.25" customHeight="1">
      <c r="A2175" s="6"/>
      <c r="B2175" s="6"/>
      <c r="C2175" s="6"/>
      <c r="D2175" s="6"/>
      <c r="E2175" s="6"/>
      <c r="F2175" s="6"/>
      <c r="G2175" s="6"/>
      <c r="H2175" s="6"/>
      <c r="I2175" s="6"/>
      <c r="J2175" s="6"/>
      <c r="K2175" s="6"/>
      <c r="L2175" s="6"/>
      <c r="M2175" s="6"/>
      <c r="N2175" s="6" t="str">
        <f t="shared" ref="N2175:P2175" si="2178">IF(LEN($C2175)&gt;0,H2175-E2175,"")</f>
        <v/>
      </c>
      <c r="O2175" s="6" t="str">
        <f t="shared" si="2178"/>
        <v/>
      </c>
      <c r="P2175" s="6" t="str">
        <f t="shared" si="2178"/>
        <v/>
      </c>
      <c r="Q2175" s="6"/>
      <c r="R2175" s="6"/>
      <c r="S2175" s="6"/>
      <c r="T2175" s="6"/>
      <c r="U2175" s="6"/>
      <c r="V2175" s="6"/>
      <c r="W2175" s="6"/>
      <c r="X2175" s="6"/>
      <c r="Y2175" s="6"/>
      <c r="Z2175" s="6"/>
      <c r="AA2175" s="6"/>
      <c r="AB2175" s="6"/>
      <c r="AC2175" s="6"/>
      <c r="AD2175" s="6"/>
      <c r="AE2175" s="6"/>
      <c r="AF2175" s="6"/>
      <c r="AG2175" s="6"/>
    </row>
    <row r="2176" ht="14.25" customHeight="1">
      <c r="A2176" s="6"/>
      <c r="B2176" s="6"/>
      <c r="C2176" s="6"/>
      <c r="D2176" s="6"/>
      <c r="E2176" s="6"/>
      <c r="F2176" s="6"/>
      <c r="G2176" s="6"/>
      <c r="H2176" s="6"/>
      <c r="I2176" s="6"/>
      <c r="J2176" s="6"/>
      <c r="K2176" s="6"/>
      <c r="L2176" s="6"/>
      <c r="M2176" s="6"/>
      <c r="N2176" s="6" t="str">
        <f t="shared" ref="N2176:P2176" si="2179">IF(LEN($C2176)&gt;0,H2176-E2176,"")</f>
        <v/>
      </c>
      <c r="O2176" s="6" t="str">
        <f t="shared" si="2179"/>
        <v/>
      </c>
      <c r="P2176" s="6" t="str">
        <f t="shared" si="2179"/>
        <v/>
      </c>
      <c r="Q2176" s="6"/>
      <c r="R2176" s="6"/>
      <c r="S2176" s="6"/>
      <c r="T2176" s="6"/>
      <c r="U2176" s="6"/>
      <c r="V2176" s="6"/>
      <c r="W2176" s="6"/>
      <c r="X2176" s="6"/>
      <c r="Y2176" s="6"/>
      <c r="Z2176" s="6"/>
      <c r="AA2176" s="6"/>
      <c r="AB2176" s="6"/>
      <c r="AC2176" s="6"/>
      <c r="AD2176" s="6"/>
      <c r="AE2176" s="6"/>
      <c r="AF2176" s="6"/>
      <c r="AG2176" s="6"/>
    </row>
    <row r="2177" ht="14.25" customHeight="1">
      <c r="A2177" s="6"/>
      <c r="B2177" s="6"/>
      <c r="C2177" s="6"/>
      <c r="D2177" s="6"/>
      <c r="E2177" s="6"/>
      <c r="F2177" s="6"/>
      <c r="G2177" s="6"/>
      <c r="H2177" s="6"/>
      <c r="I2177" s="6"/>
      <c r="J2177" s="6"/>
      <c r="K2177" s="6"/>
      <c r="L2177" s="6"/>
      <c r="M2177" s="6"/>
      <c r="N2177" s="6" t="str">
        <f t="shared" ref="N2177:P2177" si="2180">IF(LEN($C2177)&gt;0,H2177-E2177,"")</f>
        <v/>
      </c>
      <c r="O2177" s="6" t="str">
        <f t="shared" si="2180"/>
        <v/>
      </c>
      <c r="P2177" s="6" t="str">
        <f t="shared" si="2180"/>
        <v/>
      </c>
      <c r="Q2177" s="6"/>
      <c r="R2177" s="6"/>
      <c r="S2177" s="6"/>
      <c r="T2177" s="6"/>
      <c r="U2177" s="6"/>
      <c r="V2177" s="6"/>
      <c r="W2177" s="6"/>
      <c r="X2177" s="6"/>
      <c r="Y2177" s="6"/>
      <c r="Z2177" s="6"/>
      <c r="AA2177" s="6"/>
      <c r="AB2177" s="6"/>
      <c r="AC2177" s="6"/>
      <c r="AD2177" s="6"/>
      <c r="AE2177" s="6"/>
      <c r="AF2177" s="6"/>
      <c r="AG2177" s="6"/>
    </row>
    <row r="2178" ht="14.25" customHeight="1">
      <c r="A2178" s="6"/>
      <c r="B2178" s="6"/>
      <c r="C2178" s="6"/>
      <c r="D2178" s="6"/>
      <c r="E2178" s="6"/>
      <c r="F2178" s="6"/>
      <c r="G2178" s="6"/>
      <c r="H2178" s="6"/>
      <c r="I2178" s="6"/>
      <c r="J2178" s="6"/>
      <c r="K2178" s="6"/>
      <c r="L2178" s="6"/>
      <c r="M2178" s="6"/>
      <c r="N2178" s="6" t="str">
        <f t="shared" ref="N2178:P2178" si="2181">IF(LEN($C2178)&gt;0,H2178-E2178,"")</f>
        <v/>
      </c>
      <c r="O2178" s="6" t="str">
        <f t="shared" si="2181"/>
        <v/>
      </c>
      <c r="P2178" s="6" t="str">
        <f t="shared" si="2181"/>
        <v/>
      </c>
      <c r="Q2178" s="6"/>
      <c r="R2178" s="6"/>
      <c r="S2178" s="6"/>
      <c r="T2178" s="6"/>
      <c r="U2178" s="6"/>
      <c r="V2178" s="6"/>
      <c r="W2178" s="6"/>
      <c r="X2178" s="6"/>
      <c r="Y2178" s="6"/>
      <c r="Z2178" s="6"/>
      <c r="AA2178" s="6"/>
      <c r="AB2178" s="6"/>
      <c r="AC2178" s="6"/>
      <c r="AD2178" s="6"/>
      <c r="AE2178" s="6"/>
      <c r="AF2178" s="6"/>
      <c r="AG2178" s="6"/>
    </row>
    <row r="2179" ht="14.25" customHeight="1">
      <c r="A2179" s="6"/>
      <c r="B2179" s="6"/>
      <c r="C2179" s="6"/>
      <c r="D2179" s="6"/>
      <c r="E2179" s="6"/>
      <c r="F2179" s="6"/>
      <c r="G2179" s="6"/>
      <c r="H2179" s="6"/>
      <c r="I2179" s="6"/>
      <c r="J2179" s="6"/>
      <c r="K2179" s="6"/>
      <c r="L2179" s="6"/>
      <c r="M2179" s="6"/>
      <c r="N2179" s="6" t="str">
        <f t="shared" ref="N2179:P2179" si="2182">IF(LEN($C2179)&gt;0,H2179-E2179,"")</f>
        <v/>
      </c>
      <c r="O2179" s="6" t="str">
        <f t="shared" si="2182"/>
        <v/>
      </c>
      <c r="P2179" s="6" t="str">
        <f t="shared" si="2182"/>
        <v/>
      </c>
      <c r="Q2179" s="6"/>
      <c r="R2179" s="6"/>
      <c r="S2179" s="6"/>
      <c r="T2179" s="6"/>
      <c r="U2179" s="6"/>
      <c r="V2179" s="6"/>
      <c r="W2179" s="6"/>
      <c r="X2179" s="6"/>
      <c r="Y2179" s="6"/>
      <c r="Z2179" s="6"/>
      <c r="AA2179" s="6"/>
      <c r="AB2179" s="6"/>
      <c r="AC2179" s="6"/>
      <c r="AD2179" s="6"/>
      <c r="AE2179" s="6"/>
      <c r="AF2179" s="6"/>
      <c r="AG2179" s="6"/>
    </row>
    <row r="2180" ht="14.25" customHeight="1">
      <c r="A2180" s="6"/>
      <c r="B2180" s="6"/>
      <c r="C2180" s="6"/>
      <c r="D2180" s="6"/>
      <c r="E2180" s="6"/>
      <c r="F2180" s="6"/>
      <c r="G2180" s="6"/>
      <c r="H2180" s="6"/>
      <c r="I2180" s="6"/>
      <c r="J2180" s="6"/>
      <c r="K2180" s="6"/>
      <c r="L2180" s="6"/>
      <c r="M2180" s="6"/>
      <c r="N2180" s="6" t="str">
        <f t="shared" ref="N2180:P2180" si="2183">IF(LEN($C2180)&gt;0,H2180-E2180,"")</f>
        <v/>
      </c>
      <c r="O2180" s="6" t="str">
        <f t="shared" si="2183"/>
        <v/>
      </c>
      <c r="P2180" s="6" t="str">
        <f t="shared" si="2183"/>
        <v/>
      </c>
      <c r="Q2180" s="6"/>
      <c r="R2180" s="6"/>
      <c r="S2180" s="6"/>
      <c r="T2180" s="6"/>
      <c r="U2180" s="6"/>
      <c r="V2180" s="6"/>
      <c r="W2180" s="6"/>
      <c r="X2180" s="6"/>
      <c r="Y2180" s="6"/>
      <c r="Z2180" s="6"/>
      <c r="AA2180" s="6"/>
      <c r="AB2180" s="6"/>
      <c r="AC2180" s="6"/>
      <c r="AD2180" s="6"/>
      <c r="AE2180" s="6"/>
      <c r="AF2180" s="6"/>
      <c r="AG2180" s="6"/>
    </row>
    <row r="2181" ht="14.25" customHeight="1">
      <c r="A2181" s="6"/>
      <c r="B2181" s="6"/>
      <c r="C2181" s="6"/>
      <c r="D2181" s="6"/>
      <c r="E2181" s="6"/>
      <c r="F2181" s="6"/>
      <c r="G2181" s="6"/>
      <c r="H2181" s="6"/>
      <c r="I2181" s="6"/>
      <c r="J2181" s="6"/>
      <c r="K2181" s="6"/>
      <c r="L2181" s="6"/>
      <c r="M2181" s="6"/>
      <c r="N2181" s="6" t="str">
        <f t="shared" ref="N2181:P2181" si="2184">IF(LEN($C2181)&gt;0,H2181-E2181,"")</f>
        <v/>
      </c>
      <c r="O2181" s="6" t="str">
        <f t="shared" si="2184"/>
        <v/>
      </c>
      <c r="P2181" s="6" t="str">
        <f t="shared" si="2184"/>
        <v/>
      </c>
      <c r="Q2181" s="6"/>
      <c r="R2181" s="6"/>
      <c r="S2181" s="6"/>
      <c r="T2181" s="6"/>
      <c r="U2181" s="6"/>
      <c r="V2181" s="6"/>
      <c r="W2181" s="6"/>
      <c r="X2181" s="6"/>
      <c r="Y2181" s="6"/>
      <c r="Z2181" s="6"/>
      <c r="AA2181" s="6"/>
      <c r="AB2181" s="6"/>
      <c r="AC2181" s="6"/>
      <c r="AD2181" s="6"/>
      <c r="AE2181" s="6"/>
      <c r="AF2181" s="6"/>
      <c r="AG2181" s="6"/>
    </row>
    <row r="2182" ht="14.25" customHeight="1">
      <c r="A2182" s="6"/>
      <c r="B2182" s="6"/>
      <c r="C2182" s="6"/>
      <c r="D2182" s="6"/>
      <c r="E2182" s="6"/>
      <c r="F2182" s="6"/>
      <c r="G2182" s="6"/>
      <c r="H2182" s="6"/>
      <c r="I2182" s="6"/>
      <c r="J2182" s="6"/>
      <c r="K2182" s="6"/>
      <c r="L2182" s="6"/>
      <c r="M2182" s="6"/>
      <c r="N2182" s="6" t="str">
        <f t="shared" ref="N2182:P2182" si="2185">IF(LEN($C2182)&gt;0,H2182-E2182,"")</f>
        <v/>
      </c>
      <c r="O2182" s="6" t="str">
        <f t="shared" si="2185"/>
        <v/>
      </c>
      <c r="P2182" s="6" t="str">
        <f t="shared" si="2185"/>
        <v/>
      </c>
      <c r="Q2182" s="6"/>
      <c r="R2182" s="6"/>
      <c r="S2182" s="6"/>
      <c r="T2182" s="6"/>
      <c r="U2182" s="6"/>
      <c r="V2182" s="6"/>
      <c r="W2182" s="6"/>
      <c r="X2182" s="6"/>
      <c r="Y2182" s="6"/>
      <c r="Z2182" s="6"/>
      <c r="AA2182" s="6"/>
      <c r="AB2182" s="6"/>
      <c r="AC2182" s="6"/>
      <c r="AD2182" s="6"/>
      <c r="AE2182" s="6"/>
      <c r="AF2182" s="6"/>
      <c r="AG2182" s="6"/>
    </row>
    <row r="2183" ht="14.25" customHeight="1">
      <c r="A2183" s="6"/>
      <c r="B2183" s="6"/>
      <c r="C2183" s="6"/>
      <c r="D2183" s="6"/>
      <c r="E2183" s="6"/>
      <c r="F2183" s="6"/>
      <c r="G2183" s="6"/>
      <c r="H2183" s="6"/>
      <c r="I2183" s="6"/>
      <c r="J2183" s="6"/>
      <c r="K2183" s="6"/>
      <c r="L2183" s="6"/>
      <c r="M2183" s="6"/>
      <c r="N2183" s="6" t="str">
        <f t="shared" ref="N2183:P2183" si="2186">IF(LEN($C2183)&gt;0,H2183-E2183,"")</f>
        <v/>
      </c>
      <c r="O2183" s="6" t="str">
        <f t="shared" si="2186"/>
        <v/>
      </c>
      <c r="P2183" s="6" t="str">
        <f t="shared" si="2186"/>
        <v/>
      </c>
      <c r="Q2183" s="6"/>
      <c r="R2183" s="6"/>
      <c r="S2183" s="6"/>
      <c r="T2183" s="6"/>
      <c r="U2183" s="6"/>
      <c r="V2183" s="6"/>
      <c r="W2183" s="6"/>
      <c r="X2183" s="6"/>
      <c r="Y2183" s="6"/>
      <c r="Z2183" s="6"/>
      <c r="AA2183" s="6"/>
      <c r="AB2183" s="6"/>
      <c r="AC2183" s="6"/>
      <c r="AD2183" s="6"/>
      <c r="AE2183" s="6"/>
      <c r="AF2183" s="6"/>
      <c r="AG2183" s="6"/>
    </row>
    <row r="2184" ht="14.25" customHeight="1">
      <c r="A2184" s="6"/>
      <c r="B2184" s="6"/>
      <c r="C2184" s="6"/>
      <c r="D2184" s="6"/>
      <c r="E2184" s="6"/>
      <c r="F2184" s="6"/>
      <c r="G2184" s="6"/>
      <c r="H2184" s="6"/>
      <c r="I2184" s="6"/>
      <c r="J2184" s="6"/>
      <c r="K2184" s="6"/>
      <c r="L2184" s="6"/>
      <c r="M2184" s="6"/>
      <c r="N2184" s="6" t="str">
        <f t="shared" ref="N2184:P2184" si="2187">IF(LEN($C2184)&gt;0,H2184-E2184,"")</f>
        <v/>
      </c>
      <c r="O2184" s="6" t="str">
        <f t="shared" si="2187"/>
        <v/>
      </c>
      <c r="P2184" s="6" t="str">
        <f t="shared" si="2187"/>
        <v/>
      </c>
      <c r="Q2184" s="6"/>
      <c r="R2184" s="6"/>
      <c r="S2184" s="6"/>
      <c r="T2184" s="6"/>
      <c r="U2184" s="6"/>
      <c r="V2184" s="6"/>
      <c r="W2184" s="6"/>
      <c r="X2184" s="6"/>
      <c r="Y2184" s="6"/>
      <c r="Z2184" s="6"/>
      <c r="AA2184" s="6"/>
      <c r="AB2184" s="6"/>
      <c r="AC2184" s="6"/>
      <c r="AD2184" s="6"/>
      <c r="AE2184" s="6"/>
      <c r="AF2184" s="6"/>
      <c r="AG2184" s="6"/>
    </row>
    <row r="2185" ht="14.25" customHeight="1">
      <c r="A2185" s="6"/>
      <c r="B2185" s="6"/>
      <c r="C2185" s="6"/>
      <c r="D2185" s="6"/>
      <c r="E2185" s="6"/>
      <c r="F2185" s="6"/>
      <c r="G2185" s="6"/>
      <c r="H2185" s="6"/>
      <c r="I2185" s="6"/>
      <c r="J2185" s="6"/>
      <c r="K2185" s="6"/>
      <c r="L2185" s="6"/>
      <c r="M2185" s="6"/>
      <c r="N2185" s="6" t="str">
        <f t="shared" ref="N2185:P2185" si="2188">IF(LEN($C2185)&gt;0,H2185-E2185,"")</f>
        <v/>
      </c>
      <c r="O2185" s="6" t="str">
        <f t="shared" si="2188"/>
        <v/>
      </c>
      <c r="P2185" s="6" t="str">
        <f t="shared" si="2188"/>
        <v/>
      </c>
      <c r="Q2185" s="6"/>
      <c r="R2185" s="6"/>
      <c r="S2185" s="6"/>
      <c r="T2185" s="6"/>
      <c r="U2185" s="6"/>
      <c r="V2185" s="6"/>
      <c r="W2185" s="6"/>
      <c r="X2185" s="6"/>
      <c r="Y2185" s="6"/>
      <c r="Z2185" s="6"/>
      <c r="AA2185" s="6"/>
      <c r="AB2185" s="6"/>
      <c r="AC2185" s="6"/>
      <c r="AD2185" s="6"/>
      <c r="AE2185" s="6"/>
      <c r="AF2185" s="6"/>
      <c r="AG2185" s="6"/>
    </row>
    <row r="2186" ht="14.25" customHeight="1">
      <c r="A2186" s="6"/>
      <c r="B2186" s="6"/>
      <c r="C2186" s="6"/>
      <c r="D2186" s="6"/>
      <c r="E2186" s="6"/>
      <c r="F2186" s="6"/>
      <c r="G2186" s="6"/>
      <c r="H2186" s="6"/>
      <c r="I2186" s="6"/>
      <c r="J2186" s="6"/>
      <c r="K2186" s="6"/>
      <c r="L2186" s="6"/>
      <c r="M2186" s="6"/>
      <c r="N2186" s="6" t="str">
        <f t="shared" ref="N2186:P2186" si="2189">IF(LEN($C2186)&gt;0,H2186-E2186,"")</f>
        <v/>
      </c>
      <c r="O2186" s="6" t="str">
        <f t="shared" si="2189"/>
        <v/>
      </c>
      <c r="P2186" s="6" t="str">
        <f t="shared" si="2189"/>
        <v/>
      </c>
      <c r="Q2186" s="6"/>
      <c r="R2186" s="6"/>
      <c r="S2186" s="6"/>
      <c r="T2186" s="6"/>
      <c r="U2186" s="6"/>
      <c r="V2186" s="6"/>
      <c r="W2186" s="6"/>
      <c r="X2186" s="6"/>
      <c r="Y2186" s="6"/>
      <c r="Z2186" s="6"/>
      <c r="AA2186" s="6"/>
      <c r="AB2186" s="6"/>
      <c r="AC2186" s="6"/>
      <c r="AD2186" s="6"/>
      <c r="AE2186" s="6"/>
      <c r="AF2186" s="6"/>
      <c r="AG2186" s="6"/>
    </row>
    <row r="2187" ht="14.25" customHeight="1">
      <c r="A2187" s="6"/>
      <c r="B2187" s="6"/>
      <c r="C2187" s="6"/>
      <c r="D2187" s="6"/>
      <c r="E2187" s="6"/>
      <c r="F2187" s="6"/>
      <c r="G2187" s="6"/>
      <c r="H2187" s="6"/>
      <c r="I2187" s="6"/>
      <c r="J2187" s="6"/>
      <c r="K2187" s="6"/>
      <c r="L2187" s="6"/>
      <c r="M2187" s="6"/>
      <c r="N2187" s="6" t="str">
        <f t="shared" ref="N2187:P2187" si="2190">IF(LEN($C2187)&gt;0,H2187-E2187,"")</f>
        <v/>
      </c>
      <c r="O2187" s="6" t="str">
        <f t="shared" si="2190"/>
        <v/>
      </c>
      <c r="P2187" s="6" t="str">
        <f t="shared" si="2190"/>
        <v/>
      </c>
      <c r="Q2187" s="6"/>
      <c r="R2187" s="6"/>
      <c r="S2187" s="6"/>
      <c r="T2187" s="6"/>
      <c r="U2187" s="6"/>
      <c r="V2187" s="6"/>
      <c r="W2187" s="6"/>
      <c r="X2187" s="6"/>
      <c r="Y2187" s="6"/>
      <c r="Z2187" s="6"/>
      <c r="AA2187" s="6"/>
      <c r="AB2187" s="6"/>
      <c r="AC2187" s="6"/>
      <c r="AD2187" s="6"/>
      <c r="AE2187" s="6"/>
      <c r="AF2187" s="6"/>
      <c r="AG2187" s="6"/>
    </row>
    <row r="2188" ht="14.25" customHeight="1">
      <c r="A2188" s="6"/>
      <c r="B2188" s="6"/>
      <c r="C2188" s="6"/>
      <c r="D2188" s="6"/>
      <c r="E2188" s="6"/>
      <c r="F2188" s="6"/>
      <c r="G2188" s="6"/>
      <c r="H2188" s="6"/>
      <c r="I2188" s="6"/>
      <c r="J2188" s="6"/>
      <c r="K2188" s="6"/>
      <c r="L2188" s="6"/>
      <c r="M2188" s="6"/>
      <c r="N2188" s="6" t="str">
        <f t="shared" ref="N2188:P2188" si="2191">IF(LEN($C2188)&gt;0,H2188-E2188,"")</f>
        <v/>
      </c>
      <c r="O2188" s="6" t="str">
        <f t="shared" si="2191"/>
        <v/>
      </c>
      <c r="P2188" s="6" t="str">
        <f t="shared" si="2191"/>
        <v/>
      </c>
      <c r="Q2188" s="6"/>
      <c r="R2188" s="6"/>
      <c r="S2188" s="6"/>
      <c r="T2188" s="6"/>
      <c r="U2188" s="6"/>
      <c r="V2188" s="6"/>
      <c r="W2188" s="6"/>
      <c r="X2188" s="6"/>
      <c r="Y2188" s="6"/>
      <c r="Z2188" s="6"/>
      <c r="AA2188" s="6"/>
      <c r="AB2188" s="6"/>
      <c r="AC2188" s="6"/>
      <c r="AD2188" s="6"/>
      <c r="AE2188" s="6"/>
      <c r="AF2188" s="6"/>
      <c r="AG2188" s="6"/>
    </row>
    <row r="2189" ht="14.25" customHeight="1">
      <c r="A2189" s="6"/>
      <c r="B2189" s="6"/>
      <c r="C2189" s="6"/>
      <c r="D2189" s="6"/>
      <c r="E2189" s="6"/>
      <c r="F2189" s="6"/>
      <c r="G2189" s="6"/>
      <c r="H2189" s="6"/>
      <c r="I2189" s="6"/>
      <c r="J2189" s="6"/>
      <c r="K2189" s="6"/>
      <c r="L2189" s="6"/>
      <c r="M2189" s="6"/>
      <c r="N2189" s="6" t="str">
        <f t="shared" ref="N2189:P2189" si="2192">IF(LEN($C2189)&gt;0,H2189-E2189,"")</f>
        <v/>
      </c>
      <c r="O2189" s="6" t="str">
        <f t="shared" si="2192"/>
        <v/>
      </c>
      <c r="P2189" s="6" t="str">
        <f t="shared" si="2192"/>
        <v/>
      </c>
      <c r="Q2189" s="6"/>
      <c r="R2189" s="6"/>
      <c r="S2189" s="6"/>
      <c r="T2189" s="6"/>
      <c r="U2189" s="6"/>
      <c r="V2189" s="6"/>
      <c r="W2189" s="6"/>
      <c r="X2189" s="6"/>
      <c r="Y2189" s="6"/>
      <c r="Z2189" s="6"/>
      <c r="AA2189" s="6"/>
      <c r="AB2189" s="6"/>
      <c r="AC2189" s="6"/>
      <c r="AD2189" s="6"/>
      <c r="AE2189" s="6"/>
      <c r="AF2189" s="6"/>
      <c r="AG2189" s="6"/>
    </row>
    <row r="2190" ht="14.25" customHeight="1">
      <c r="A2190" s="6"/>
      <c r="B2190" s="6"/>
      <c r="C2190" s="6"/>
      <c r="D2190" s="6"/>
      <c r="E2190" s="6"/>
      <c r="F2190" s="6"/>
      <c r="G2190" s="6"/>
      <c r="H2190" s="6"/>
      <c r="I2190" s="6"/>
      <c r="J2190" s="6"/>
      <c r="K2190" s="6"/>
      <c r="L2190" s="6"/>
      <c r="M2190" s="6"/>
      <c r="N2190" s="6" t="str">
        <f t="shared" ref="N2190:P2190" si="2193">IF(LEN($C2190)&gt;0,H2190-E2190,"")</f>
        <v/>
      </c>
      <c r="O2190" s="6" t="str">
        <f t="shared" si="2193"/>
        <v/>
      </c>
      <c r="P2190" s="6" t="str">
        <f t="shared" si="2193"/>
        <v/>
      </c>
      <c r="Q2190" s="6"/>
      <c r="R2190" s="6"/>
      <c r="S2190" s="6"/>
      <c r="T2190" s="6"/>
      <c r="U2190" s="6"/>
      <c r="V2190" s="6"/>
      <c r="W2190" s="6"/>
      <c r="X2190" s="6"/>
      <c r="Y2190" s="6"/>
      <c r="Z2190" s="6"/>
      <c r="AA2190" s="6"/>
      <c r="AB2190" s="6"/>
      <c r="AC2190" s="6"/>
      <c r="AD2190" s="6"/>
      <c r="AE2190" s="6"/>
      <c r="AF2190" s="6"/>
      <c r="AG2190" s="6"/>
    </row>
    <row r="2191" ht="14.25" customHeight="1">
      <c r="A2191" s="6"/>
      <c r="B2191" s="6"/>
      <c r="C2191" s="6"/>
      <c r="D2191" s="6"/>
      <c r="E2191" s="6"/>
      <c r="F2191" s="6"/>
      <c r="G2191" s="6"/>
      <c r="H2191" s="6"/>
      <c r="I2191" s="6"/>
      <c r="J2191" s="6"/>
      <c r="K2191" s="6"/>
      <c r="L2191" s="6"/>
      <c r="M2191" s="6"/>
      <c r="N2191" s="6" t="str">
        <f t="shared" ref="N2191:P2191" si="2194">IF(LEN($C2191)&gt;0,H2191-E2191,"")</f>
        <v/>
      </c>
      <c r="O2191" s="6" t="str">
        <f t="shared" si="2194"/>
        <v/>
      </c>
      <c r="P2191" s="6" t="str">
        <f t="shared" si="2194"/>
        <v/>
      </c>
      <c r="Q2191" s="6"/>
      <c r="R2191" s="6"/>
      <c r="S2191" s="6"/>
      <c r="T2191" s="6"/>
      <c r="U2191" s="6"/>
      <c r="V2191" s="6"/>
      <c r="W2191" s="6"/>
      <c r="X2191" s="6"/>
      <c r="Y2191" s="6"/>
      <c r="Z2191" s="6"/>
      <c r="AA2191" s="6"/>
      <c r="AB2191" s="6"/>
      <c r="AC2191" s="6"/>
      <c r="AD2191" s="6"/>
      <c r="AE2191" s="6"/>
      <c r="AF2191" s="6"/>
      <c r="AG2191" s="6"/>
    </row>
    <row r="2192" ht="14.25" customHeight="1">
      <c r="A2192" s="6"/>
      <c r="B2192" s="6"/>
      <c r="C2192" s="6"/>
      <c r="D2192" s="6"/>
      <c r="E2192" s="6"/>
      <c r="F2192" s="6"/>
      <c r="G2192" s="6"/>
      <c r="H2192" s="6"/>
      <c r="I2192" s="6"/>
      <c r="J2192" s="6"/>
      <c r="K2192" s="6"/>
      <c r="L2192" s="6"/>
      <c r="M2192" s="6"/>
      <c r="N2192" s="6" t="str">
        <f t="shared" ref="N2192:P2192" si="2195">IF(LEN($C2192)&gt;0,H2192-E2192,"")</f>
        <v/>
      </c>
      <c r="O2192" s="6" t="str">
        <f t="shared" si="2195"/>
        <v/>
      </c>
      <c r="P2192" s="6" t="str">
        <f t="shared" si="2195"/>
        <v/>
      </c>
      <c r="Q2192" s="6"/>
      <c r="R2192" s="6"/>
      <c r="S2192" s="6"/>
      <c r="T2192" s="6"/>
      <c r="U2192" s="6"/>
      <c r="V2192" s="6"/>
      <c r="W2192" s="6"/>
      <c r="X2192" s="6"/>
      <c r="Y2192" s="6"/>
      <c r="Z2192" s="6"/>
      <c r="AA2192" s="6"/>
      <c r="AB2192" s="6"/>
      <c r="AC2192" s="6"/>
      <c r="AD2192" s="6"/>
      <c r="AE2192" s="6"/>
      <c r="AF2192" s="6"/>
      <c r="AG2192" s="6"/>
    </row>
    <row r="2193" ht="14.25" customHeight="1">
      <c r="A2193" s="6"/>
      <c r="B2193" s="6"/>
      <c r="C2193" s="6"/>
      <c r="D2193" s="6"/>
      <c r="E2193" s="6"/>
      <c r="F2193" s="6"/>
      <c r="G2193" s="6"/>
      <c r="H2193" s="6"/>
      <c r="I2193" s="6"/>
      <c r="J2193" s="6"/>
      <c r="K2193" s="6"/>
      <c r="L2193" s="6"/>
      <c r="M2193" s="6"/>
      <c r="N2193" s="6" t="str">
        <f t="shared" ref="N2193:P2193" si="2196">IF(LEN($C2193)&gt;0,H2193-E2193,"")</f>
        <v/>
      </c>
      <c r="O2193" s="6" t="str">
        <f t="shared" si="2196"/>
        <v/>
      </c>
      <c r="P2193" s="6" t="str">
        <f t="shared" si="2196"/>
        <v/>
      </c>
      <c r="Q2193" s="6"/>
      <c r="R2193" s="6"/>
      <c r="S2193" s="6"/>
      <c r="T2193" s="6"/>
      <c r="U2193" s="6"/>
      <c r="V2193" s="6"/>
      <c r="W2193" s="6"/>
      <c r="X2193" s="6"/>
      <c r="Y2193" s="6"/>
      <c r="Z2193" s="6"/>
      <c r="AA2193" s="6"/>
      <c r="AB2193" s="6"/>
      <c r="AC2193" s="6"/>
      <c r="AD2193" s="6"/>
      <c r="AE2193" s="6"/>
      <c r="AF2193" s="6"/>
      <c r="AG2193" s="6"/>
    </row>
    <row r="2194" ht="14.25" customHeight="1">
      <c r="A2194" s="6"/>
      <c r="B2194" s="6"/>
      <c r="C2194" s="6"/>
      <c r="D2194" s="6"/>
      <c r="E2194" s="6"/>
      <c r="F2194" s="6"/>
      <c r="G2194" s="6"/>
      <c r="H2194" s="6"/>
      <c r="I2194" s="6"/>
      <c r="J2194" s="6"/>
      <c r="K2194" s="6"/>
      <c r="L2194" s="6"/>
      <c r="M2194" s="6"/>
      <c r="N2194" s="6" t="str">
        <f t="shared" ref="N2194:P2194" si="2197">IF(LEN($C2194)&gt;0,H2194-E2194,"")</f>
        <v/>
      </c>
      <c r="O2194" s="6" t="str">
        <f t="shared" si="2197"/>
        <v/>
      </c>
      <c r="P2194" s="6" t="str">
        <f t="shared" si="2197"/>
        <v/>
      </c>
      <c r="Q2194" s="6"/>
      <c r="R2194" s="6"/>
      <c r="S2194" s="6"/>
      <c r="T2194" s="6"/>
      <c r="U2194" s="6"/>
      <c r="V2194" s="6"/>
      <c r="W2194" s="6"/>
      <c r="X2194" s="6"/>
      <c r="Y2194" s="6"/>
      <c r="Z2194" s="6"/>
      <c r="AA2194" s="6"/>
      <c r="AB2194" s="6"/>
      <c r="AC2194" s="6"/>
      <c r="AD2194" s="6"/>
      <c r="AE2194" s="6"/>
      <c r="AF2194" s="6"/>
      <c r="AG2194" s="6"/>
    </row>
    <row r="2195" ht="14.25" customHeight="1">
      <c r="A2195" s="6"/>
      <c r="B2195" s="6"/>
      <c r="C2195" s="6"/>
      <c r="D2195" s="6"/>
      <c r="E2195" s="6"/>
      <c r="F2195" s="6"/>
      <c r="G2195" s="6"/>
      <c r="H2195" s="6"/>
      <c r="I2195" s="6"/>
      <c r="J2195" s="6"/>
      <c r="K2195" s="6"/>
      <c r="L2195" s="6"/>
      <c r="M2195" s="6"/>
      <c r="N2195" s="6" t="str">
        <f t="shared" ref="N2195:P2195" si="2198">IF(LEN($C2195)&gt;0,H2195-E2195,"")</f>
        <v/>
      </c>
      <c r="O2195" s="6" t="str">
        <f t="shared" si="2198"/>
        <v/>
      </c>
      <c r="P2195" s="6" t="str">
        <f t="shared" si="2198"/>
        <v/>
      </c>
      <c r="Q2195" s="6"/>
      <c r="R2195" s="6"/>
      <c r="S2195" s="6"/>
      <c r="T2195" s="6"/>
      <c r="U2195" s="6"/>
      <c r="V2195" s="6"/>
      <c r="W2195" s="6"/>
      <c r="X2195" s="6"/>
      <c r="Y2195" s="6"/>
      <c r="Z2195" s="6"/>
      <c r="AA2195" s="6"/>
      <c r="AB2195" s="6"/>
      <c r="AC2195" s="6"/>
      <c r="AD2195" s="6"/>
      <c r="AE2195" s="6"/>
      <c r="AF2195" s="6"/>
      <c r="AG2195" s="6"/>
    </row>
    <row r="2196" ht="14.25" customHeight="1">
      <c r="A2196" s="6"/>
      <c r="B2196" s="6"/>
      <c r="C2196" s="6"/>
      <c r="D2196" s="6"/>
      <c r="E2196" s="6"/>
      <c r="F2196" s="6"/>
      <c r="G2196" s="6"/>
      <c r="H2196" s="6"/>
      <c r="I2196" s="6"/>
      <c r="J2196" s="6"/>
      <c r="K2196" s="6"/>
      <c r="L2196" s="6"/>
      <c r="M2196" s="6"/>
      <c r="N2196" s="6" t="str">
        <f t="shared" ref="N2196:P2196" si="2199">IF(LEN($C2196)&gt;0,H2196-E2196,"")</f>
        <v/>
      </c>
      <c r="O2196" s="6" t="str">
        <f t="shared" si="2199"/>
        <v/>
      </c>
      <c r="P2196" s="6" t="str">
        <f t="shared" si="2199"/>
        <v/>
      </c>
      <c r="Q2196" s="6"/>
      <c r="R2196" s="6"/>
      <c r="S2196" s="6"/>
      <c r="T2196" s="6"/>
      <c r="U2196" s="6"/>
      <c r="V2196" s="6"/>
      <c r="W2196" s="6"/>
      <c r="X2196" s="6"/>
      <c r="Y2196" s="6"/>
      <c r="Z2196" s="6"/>
      <c r="AA2196" s="6"/>
      <c r="AB2196" s="6"/>
      <c r="AC2196" s="6"/>
      <c r="AD2196" s="6"/>
      <c r="AE2196" s="6"/>
      <c r="AF2196" s="6"/>
      <c r="AG2196" s="6"/>
    </row>
    <row r="2197" ht="14.25" customHeight="1">
      <c r="A2197" s="6"/>
      <c r="B2197" s="6"/>
      <c r="C2197" s="6"/>
      <c r="D2197" s="6"/>
      <c r="E2197" s="6"/>
      <c r="F2197" s="6"/>
      <c r="G2197" s="6"/>
      <c r="H2197" s="6"/>
      <c r="I2197" s="6"/>
      <c r="J2197" s="6"/>
      <c r="K2197" s="6"/>
      <c r="L2197" s="6"/>
      <c r="M2197" s="6"/>
      <c r="N2197" s="6" t="str">
        <f t="shared" ref="N2197:P2197" si="2200">IF(LEN($C2197)&gt;0,H2197-E2197,"")</f>
        <v/>
      </c>
      <c r="O2197" s="6" t="str">
        <f t="shared" si="2200"/>
        <v/>
      </c>
      <c r="P2197" s="6" t="str">
        <f t="shared" si="2200"/>
        <v/>
      </c>
      <c r="Q2197" s="6"/>
      <c r="R2197" s="6"/>
      <c r="S2197" s="6"/>
      <c r="T2197" s="6"/>
      <c r="U2197" s="6"/>
      <c r="V2197" s="6"/>
      <c r="W2197" s="6"/>
      <c r="X2197" s="6"/>
      <c r="Y2197" s="6"/>
      <c r="Z2197" s="6"/>
      <c r="AA2197" s="6"/>
      <c r="AB2197" s="6"/>
      <c r="AC2197" s="6"/>
      <c r="AD2197" s="6"/>
      <c r="AE2197" s="6"/>
      <c r="AF2197" s="6"/>
      <c r="AG2197" s="6"/>
    </row>
    <row r="2198" ht="14.25" customHeight="1">
      <c r="A2198" s="6"/>
      <c r="B2198" s="6"/>
      <c r="C2198" s="6"/>
      <c r="D2198" s="6"/>
      <c r="E2198" s="6"/>
      <c r="F2198" s="6"/>
      <c r="G2198" s="6"/>
      <c r="H2198" s="6"/>
      <c r="I2198" s="6"/>
      <c r="J2198" s="6"/>
      <c r="K2198" s="6"/>
      <c r="L2198" s="6"/>
      <c r="M2198" s="6"/>
      <c r="N2198" s="6" t="str">
        <f t="shared" ref="N2198:P2198" si="2201">IF(LEN($C2198)&gt;0,H2198-E2198,"")</f>
        <v/>
      </c>
      <c r="O2198" s="6" t="str">
        <f t="shared" si="2201"/>
        <v/>
      </c>
      <c r="P2198" s="6" t="str">
        <f t="shared" si="2201"/>
        <v/>
      </c>
      <c r="Q2198" s="6"/>
      <c r="R2198" s="6"/>
      <c r="S2198" s="6"/>
      <c r="T2198" s="6"/>
      <c r="U2198" s="6"/>
      <c r="V2198" s="6"/>
      <c r="W2198" s="6"/>
      <c r="X2198" s="6"/>
      <c r="Y2198" s="6"/>
      <c r="Z2198" s="6"/>
      <c r="AA2198" s="6"/>
      <c r="AB2198" s="6"/>
      <c r="AC2198" s="6"/>
      <c r="AD2198" s="6"/>
      <c r="AE2198" s="6"/>
      <c r="AF2198" s="6"/>
      <c r="AG2198" s="6"/>
    </row>
    <row r="2199" ht="14.25" customHeight="1">
      <c r="A2199" s="6"/>
      <c r="B2199" s="6"/>
      <c r="C2199" s="6"/>
      <c r="D2199" s="6"/>
      <c r="E2199" s="6"/>
      <c r="F2199" s="6"/>
      <c r="G2199" s="6"/>
      <c r="H2199" s="6"/>
      <c r="I2199" s="6"/>
      <c r="J2199" s="6"/>
      <c r="K2199" s="6"/>
      <c r="L2199" s="6"/>
      <c r="M2199" s="6"/>
      <c r="N2199" s="6" t="str">
        <f t="shared" ref="N2199:P2199" si="2202">IF(LEN($C2199)&gt;0,H2199-E2199,"")</f>
        <v/>
      </c>
      <c r="O2199" s="6" t="str">
        <f t="shared" si="2202"/>
        <v/>
      </c>
      <c r="P2199" s="6" t="str">
        <f t="shared" si="2202"/>
        <v/>
      </c>
      <c r="Q2199" s="6"/>
      <c r="R2199" s="6"/>
      <c r="S2199" s="6"/>
      <c r="T2199" s="6"/>
      <c r="U2199" s="6"/>
      <c r="V2199" s="6"/>
      <c r="W2199" s="6"/>
      <c r="X2199" s="6"/>
      <c r="Y2199" s="6"/>
      <c r="Z2199" s="6"/>
      <c r="AA2199" s="6"/>
      <c r="AB2199" s="6"/>
      <c r="AC2199" s="6"/>
      <c r="AD2199" s="6"/>
      <c r="AE2199" s="6"/>
      <c r="AF2199" s="6"/>
      <c r="AG2199" s="6"/>
    </row>
    <row r="2200" ht="14.25" customHeight="1">
      <c r="A2200" s="6"/>
      <c r="B2200" s="6"/>
      <c r="C2200" s="6"/>
      <c r="D2200" s="6"/>
      <c r="E2200" s="6"/>
      <c r="F2200" s="6"/>
      <c r="G2200" s="6"/>
      <c r="H2200" s="6"/>
      <c r="I2200" s="6"/>
      <c r="J2200" s="6"/>
      <c r="K2200" s="6"/>
      <c r="L2200" s="6"/>
      <c r="M2200" s="6"/>
      <c r="N2200" s="6" t="str">
        <f t="shared" ref="N2200:P2200" si="2203">IF(LEN($C2200)&gt;0,H2200-E2200,"")</f>
        <v/>
      </c>
      <c r="O2200" s="6" t="str">
        <f t="shared" si="2203"/>
        <v/>
      </c>
      <c r="P2200" s="6" t="str">
        <f t="shared" si="2203"/>
        <v/>
      </c>
      <c r="Q2200" s="6"/>
      <c r="R2200" s="6"/>
      <c r="S2200" s="6"/>
      <c r="T2200" s="6"/>
      <c r="U2200" s="6"/>
      <c r="V2200" s="6"/>
      <c r="W2200" s="6"/>
      <c r="X2200" s="6"/>
      <c r="Y2200" s="6"/>
      <c r="Z2200" s="6"/>
      <c r="AA2200" s="6"/>
      <c r="AB2200" s="6"/>
      <c r="AC2200" s="6"/>
      <c r="AD2200" s="6"/>
      <c r="AE2200" s="6"/>
      <c r="AF2200" s="6"/>
      <c r="AG2200" s="6"/>
    </row>
    <row r="2201" ht="14.25" customHeight="1">
      <c r="A2201" s="6"/>
      <c r="B2201" s="6"/>
      <c r="C2201" s="6"/>
      <c r="D2201" s="6"/>
      <c r="E2201" s="6"/>
      <c r="F2201" s="6"/>
      <c r="G2201" s="6"/>
      <c r="H2201" s="6"/>
      <c r="I2201" s="6"/>
      <c r="J2201" s="6"/>
      <c r="K2201" s="6"/>
      <c r="L2201" s="6"/>
      <c r="M2201" s="6"/>
      <c r="N2201" s="6" t="str">
        <f t="shared" ref="N2201:P2201" si="2204">IF(LEN($C2201)&gt;0,H2201-E2201,"")</f>
        <v/>
      </c>
      <c r="O2201" s="6" t="str">
        <f t="shared" si="2204"/>
        <v/>
      </c>
      <c r="P2201" s="6" t="str">
        <f t="shared" si="2204"/>
        <v/>
      </c>
      <c r="Q2201" s="6"/>
      <c r="R2201" s="6"/>
      <c r="S2201" s="6"/>
      <c r="T2201" s="6"/>
      <c r="U2201" s="6"/>
      <c r="V2201" s="6"/>
      <c r="W2201" s="6"/>
      <c r="X2201" s="6"/>
      <c r="Y2201" s="6"/>
      <c r="Z2201" s="6"/>
      <c r="AA2201" s="6"/>
      <c r="AB2201" s="6"/>
      <c r="AC2201" s="6"/>
      <c r="AD2201" s="6"/>
      <c r="AE2201" s="6"/>
      <c r="AF2201" s="6"/>
      <c r="AG2201" s="6"/>
    </row>
    <row r="2202" ht="14.25" customHeight="1">
      <c r="A2202" s="6"/>
      <c r="B2202" s="6"/>
      <c r="C2202" s="6"/>
      <c r="D2202" s="6"/>
      <c r="E2202" s="6"/>
      <c r="F2202" s="6"/>
      <c r="G2202" s="6"/>
      <c r="H2202" s="6"/>
      <c r="I2202" s="6"/>
      <c r="J2202" s="6"/>
      <c r="K2202" s="6"/>
      <c r="L2202" s="6"/>
      <c r="M2202" s="6"/>
      <c r="N2202" s="6" t="str">
        <f t="shared" ref="N2202:P2202" si="2205">IF(LEN($C2202)&gt;0,H2202-E2202,"")</f>
        <v/>
      </c>
      <c r="O2202" s="6" t="str">
        <f t="shared" si="2205"/>
        <v/>
      </c>
      <c r="P2202" s="6" t="str">
        <f t="shared" si="2205"/>
        <v/>
      </c>
      <c r="Q2202" s="6"/>
      <c r="R2202" s="6"/>
      <c r="S2202" s="6"/>
      <c r="T2202" s="6"/>
      <c r="U2202" s="6"/>
      <c r="V2202" s="6"/>
      <c r="W2202" s="6"/>
      <c r="X2202" s="6"/>
      <c r="Y2202" s="6"/>
      <c r="Z2202" s="6"/>
      <c r="AA2202" s="6"/>
      <c r="AB2202" s="6"/>
      <c r="AC2202" s="6"/>
      <c r="AD2202" s="6"/>
      <c r="AE2202" s="6"/>
      <c r="AF2202" s="6"/>
      <c r="AG2202" s="6"/>
    </row>
    <row r="2203" ht="14.25" customHeight="1">
      <c r="A2203" s="6"/>
      <c r="B2203" s="6"/>
      <c r="C2203" s="6"/>
      <c r="D2203" s="6"/>
      <c r="E2203" s="6"/>
      <c r="F2203" s="6"/>
      <c r="G2203" s="6"/>
      <c r="H2203" s="6"/>
      <c r="I2203" s="6"/>
      <c r="J2203" s="6"/>
      <c r="K2203" s="6"/>
      <c r="L2203" s="6"/>
      <c r="M2203" s="6"/>
      <c r="N2203" s="6" t="str">
        <f t="shared" ref="N2203:P2203" si="2206">IF(LEN($C2203)&gt;0,H2203-E2203,"")</f>
        <v/>
      </c>
      <c r="O2203" s="6" t="str">
        <f t="shared" si="2206"/>
        <v/>
      </c>
      <c r="P2203" s="6" t="str">
        <f t="shared" si="2206"/>
        <v/>
      </c>
      <c r="Q2203" s="6"/>
      <c r="R2203" s="6"/>
      <c r="S2203" s="6"/>
      <c r="T2203" s="6"/>
      <c r="U2203" s="6"/>
      <c r="V2203" s="6"/>
      <c r="W2203" s="6"/>
      <c r="X2203" s="6"/>
      <c r="Y2203" s="6"/>
      <c r="Z2203" s="6"/>
      <c r="AA2203" s="6"/>
      <c r="AB2203" s="6"/>
      <c r="AC2203" s="6"/>
      <c r="AD2203" s="6"/>
      <c r="AE2203" s="6"/>
      <c r="AF2203" s="6"/>
      <c r="AG2203" s="6"/>
    </row>
    <row r="2204" ht="14.25" customHeight="1">
      <c r="A2204" s="6"/>
      <c r="B2204" s="6"/>
      <c r="C2204" s="6"/>
      <c r="D2204" s="6"/>
      <c r="E2204" s="6"/>
      <c r="F2204" s="6"/>
      <c r="G2204" s="6"/>
      <c r="H2204" s="6"/>
      <c r="I2204" s="6"/>
      <c r="J2204" s="6"/>
      <c r="K2204" s="6"/>
      <c r="L2204" s="6"/>
      <c r="M2204" s="6"/>
      <c r="N2204" s="6" t="str">
        <f t="shared" ref="N2204:P2204" si="2207">IF(LEN($C2204)&gt;0,H2204-E2204,"")</f>
        <v/>
      </c>
      <c r="O2204" s="6" t="str">
        <f t="shared" si="2207"/>
        <v/>
      </c>
      <c r="P2204" s="6" t="str">
        <f t="shared" si="2207"/>
        <v/>
      </c>
      <c r="Q2204" s="6"/>
      <c r="R2204" s="6"/>
      <c r="S2204" s="6"/>
      <c r="T2204" s="6"/>
      <c r="U2204" s="6"/>
      <c r="V2204" s="6"/>
      <c r="W2204" s="6"/>
      <c r="X2204" s="6"/>
      <c r="Y2204" s="6"/>
      <c r="Z2204" s="6"/>
      <c r="AA2204" s="6"/>
      <c r="AB2204" s="6"/>
      <c r="AC2204" s="6"/>
      <c r="AD2204" s="6"/>
      <c r="AE2204" s="6"/>
      <c r="AF2204" s="6"/>
      <c r="AG2204" s="6"/>
    </row>
    <row r="2205" ht="14.25" customHeight="1">
      <c r="A2205" s="6"/>
      <c r="B2205" s="6"/>
      <c r="C2205" s="6"/>
      <c r="D2205" s="6"/>
      <c r="E2205" s="6"/>
      <c r="F2205" s="6"/>
      <c r="G2205" s="6"/>
      <c r="H2205" s="6"/>
      <c r="I2205" s="6"/>
      <c r="J2205" s="6"/>
      <c r="K2205" s="6"/>
      <c r="L2205" s="6"/>
      <c r="M2205" s="6"/>
      <c r="N2205" s="6" t="str">
        <f t="shared" ref="N2205:P2205" si="2208">IF(LEN($C2205)&gt;0,H2205-E2205,"")</f>
        <v/>
      </c>
      <c r="O2205" s="6" t="str">
        <f t="shared" si="2208"/>
        <v/>
      </c>
      <c r="P2205" s="6" t="str">
        <f t="shared" si="2208"/>
        <v/>
      </c>
      <c r="Q2205" s="6"/>
      <c r="R2205" s="6"/>
      <c r="S2205" s="6"/>
      <c r="T2205" s="6"/>
      <c r="U2205" s="6"/>
      <c r="V2205" s="6"/>
      <c r="W2205" s="6"/>
      <c r="X2205" s="6"/>
      <c r="Y2205" s="6"/>
      <c r="Z2205" s="6"/>
      <c r="AA2205" s="6"/>
      <c r="AB2205" s="6"/>
      <c r="AC2205" s="6"/>
      <c r="AD2205" s="6"/>
      <c r="AE2205" s="6"/>
      <c r="AF2205" s="6"/>
      <c r="AG2205" s="6"/>
    </row>
    <row r="2206" ht="14.25" customHeight="1">
      <c r="A2206" s="6"/>
      <c r="B2206" s="6"/>
      <c r="C2206" s="6"/>
      <c r="D2206" s="6"/>
      <c r="E2206" s="6"/>
      <c r="F2206" s="6"/>
      <c r="G2206" s="6"/>
      <c r="H2206" s="6"/>
      <c r="I2206" s="6"/>
      <c r="J2206" s="6"/>
      <c r="K2206" s="6"/>
      <c r="L2206" s="6"/>
      <c r="M2206" s="6"/>
      <c r="N2206" s="6" t="str">
        <f t="shared" ref="N2206:P2206" si="2209">IF(LEN($C2206)&gt;0,H2206-E2206,"")</f>
        <v/>
      </c>
      <c r="O2206" s="6" t="str">
        <f t="shared" si="2209"/>
        <v/>
      </c>
      <c r="P2206" s="6" t="str">
        <f t="shared" si="2209"/>
        <v/>
      </c>
      <c r="Q2206" s="6"/>
      <c r="R2206" s="6"/>
      <c r="S2206" s="6"/>
      <c r="T2206" s="6"/>
      <c r="U2206" s="6"/>
      <c r="V2206" s="6"/>
      <c r="W2206" s="6"/>
      <c r="X2206" s="6"/>
      <c r="Y2206" s="6"/>
      <c r="Z2206" s="6"/>
      <c r="AA2206" s="6"/>
      <c r="AB2206" s="6"/>
      <c r="AC2206" s="6"/>
      <c r="AD2206" s="6"/>
      <c r="AE2206" s="6"/>
      <c r="AF2206" s="6"/>
      <c r="AG2206" s="6"/>
    </row>
    <row r="2207" ht="14.25" customHeight="1">
      <c r="A2207" s="6"/>
      <c r="B2207" s="6"/>
      <c r="C2207" s="6"/>
      <c r="D2207" s="6"/>
      <c r="E2207" s="6"/>
      <c r="F2207" s="6"/>
      <c r="G2207" s="6"/>
      <c r="H2207" s="6"/>
      <c r="I2207" s="6"/>
      <c r="J2207" s="6"/>
      <c r="K2207" s="6"/>
      <c r="L2207" s="6"/>
      <c r="M2207" s="6"/>
      <c r="N2207" s="6" t="str">
        <f t="shared" ref="N2207:P2207" si="2210">IF(LEN($C2207)&gt;0,H2207-E2207,"")</f>
        <v/>
      </c>
      <c r="O2207" s="6" t="str">
        <f t="shared" si="2210"/>
        <v/>
      </c>
      <c r="P2207" s="6" t="str">
        <f t="shared" si="2210"/>
        <v/>
      </c>
      <c r="Q2207" s="6"/>
      <c r="R2207" s="6"/>
      <c r="S2207" s="6"/>
      <c r="T2207" s="6"/>
      <c r="U2207" s="6"/>
      <c r="V2207" s="6"/>
      <c r="W2207" s="6"/>
      <c r="X2207" s="6"/>
      <c r="Y2207" s="6"/>
      <c r="Z2207" s="6"/>
      <c r="AA2207" s="6"/>
      <c r="AB2207" s="6"/>
      <c r="AC2207" s="6"/>
      <c r="AD2207" s="6"/>
      <c r="AE2207" s="6"/>
      <c r="AF2207" s="6"/>
      <c r="AG2207" s="6"/>
    </row>
    <row r="2208" ht="14.25" customHeight="1">
      <c r="A2208" s="6"/>
      <c r="B2208" s="6"/>
      <c r="C2208" s="6"/>
      <c r="D2208" s="6"/>
      <c r="E2208" s="6"/>
      <c r="F2208" s="6"/>
      <c r="G2208" s="6"/>
      <c r="H2208" s="6"/>
      <c r="I2208" s="6"/>
      <c r="J2208" s="6"/>
      <c r="K2208" s="6"/>
      <c r="L2208" s="6"/>
      <c r="M2208" s="6"/>
      <c r="N2208" s="6" t="str">
        <f t="shared" ref="N2208:P2208" si="2211">IF(LEN($C2208)&gt;0,H2208-E2208,"")</f>
        <v/>
      </c>
      <c r="O2208" s="6" t="str">
        <f t="shared" si="2211"/>
        <v/>
      </c>
      <c r="P2208" s="6" t="str">
        <f t="shared" si="2211"/>
        <v/>
      </c>
      <c r="Q2208" s="6"/>
      <c r="R2208" s="6"/>
      <c r="S2208" s="6"/>
      <c r="T2208" s="6"/>
      <c r="U2208" s="6"/>
      <c r="V2208" s="6"/>
      <c r="W2208" s="6"/>
      <c r="X2208" s="6"/>
      <c r="Y2208" s="6"/>
      <c r="Z2208" s="6"/>
      <c r="AA2208" s="6"/>
      <c r="AB2208" s="6"/>
      <c r="AC2208" s="6"/>
      <c r="AD2208" s="6"/>
      <c r="AE2208" s="6"/>
      <c r="AF2208" s="6"/>
      <c r="AG2208" s="6"/>
    </row>
    <row r="2209" ht="14.25" customHeight="1">
      <c r="A2209" s="6"/>
      <c r="B2209" s="6"/>
      <c r="C2209" s="6"/>
      <c r="D2209" s="6"/>
      <c r="E2209" s="6"/>
      <c r="F2209" s="6"/>
      <c r="G2209" s="6"/>
      <c r="H2209" s="6"/>
      <c r="I2209" s="6"/>
      <c r="J2209" s="6"/>
      <c r="K2209" s="6"/>
      <c r="L2209" s="6"/>
      <c r="M2209" s="6"/>
      <c r="N2209" s="6" t="str">
        <f t="shared" ref="N2209:P2209" si="2212">IF(LEN($C2209)&gt;0,H2209-E2209,"")</f>
        <v/>
      </c>
      <c r="O2209" s="6" t="str">
        <f t="shared" si="2212"/>
        <v/>
      </c>
      <c r="P2209" s="6" t="str">
        <f t="shared" si="2212"/>
        <v/>
      </c>
      <c r="Q2209" s="6"/>
      <c r="R2209" s="6"/>
      <c r="S2209" s="6"/>
      <c r="T2209" s="6"/>
      <c r="U2209" s="6"/>
      <c r="V2209" s="6"/>
      <c r="W2209" s="6"/>
      <c r="X2209" s="6"/>
      <c r="Y2209" s="6"/>
      <c r="Z2209" s="6"/>
      <c r="AA2209" s="6"/>
      <c r="AB2209" s="6"/>
      <c r="AC2209" s="6"/>
      <c r="AD2209" s="6"/>
      <c r="AE2209" s="6"/>
      <c r="AF2209" s="6"/>
      <c r="AG2209" s="6"/>
    </row>
    <row r="2210" ht="14.25" customHeight="1">
      <c r="A2210" s="6"/>
      <c r="B2210" s="6"/>
      <c r="C2210" s="6"/>
      <c r="D2210" s="6"/>
      <c r="E2210" s="6"/>
      <c r="F2210" s="6"/>
      <c r="G2210" s="6"/>
      <c r="H2210" s="6"/>
      <c r="I2210" s="6"/>
      <c r="J2210" s="6"/>
      <c r="K2210" s="6"/>
      <c r="L2210" s="6"/>
      <c r="M2210" s="6"/>
      <c r="N2210" s="6" t="str">
        <f t="shared" ref="N2210:P2210" si="2213">IF(LEN($C2210)&gt;0,H2210-E2210,"")</f>
        <v/>
      </c>
      <c r="O2210" s="6" t="str">
        <f t="shared" si="2213"/>
        <v/>
      </c>
      <c r="P2210" s="6" t="str">
        <f t="shared" si="2213"/>
        <v/>
      </c>
      <c r="Q2210" s="6"/>
      <c r="R2210" s="6"/>
      <c r="S2210" s="6"/>
      <c r="T2210" s="6"/>
      <c r="U2210" s="6"/>
      <c r="V2210" s="6"/>
      <c r="W2210" s="6"/>
      <c r="X2210" s="6"/>
      <c r="Y2210" s="6"/>
      <c r="Z2210" s="6"/>
      <c r="AA2210" s="6"/>
      <c r="AB2210" s="6"/>
      <c r="AC2210" s="6"/>
      <c r="AD2210" s="6"/>
      <c r="AE2210" s="6"/>
      <c r="AF2210" s="6"/>
      <c r="AG2210" s="6"/>
    </row>
    <row r="2211" ht="14.25" customHeight="1">
      <c r="A2211" s="6"/>
      <c r="B2211" s="6"/>
      <c r="C2211" s="6"/>
      <c r="D2211" s="6"/>
      <c r="E2211" s="6"/>
      <c r="F2211" s="6"/>
      <c r="G2211" s="6"/>
      <c r="H2211" s="6"/>
      <c r="I2211" s="6"/>
      <c r="J2211" s="6"/>
      <c r="K2211" s="6"/>
      <c r="L2211" s="6"/>
      <c r="M2211" s="6"/>
      <c r="N2211" s="6" t="str">
        <f t="shared" ref="N2211:P2211" si="2214">IF(LEN($C2211)&gt;0,H2211-E2211,"")</f>
        <v/>
      </c>
      <c r="O2211" s="6" t="str">
        <f t="shared" si="2214"/>
        <v/>
      </c>
      <c r="P2211" s="6" t="str">
        <f t="shared" si="2214"/>
        <v/>
      </c>
      <c r="Q2211" s="6"/>
      <c r="R2211" s="6"/>
      <c r="S2211" s="6"/>
      <c r="T2211" s="6"/>
      <c r="U2211" s="6"/>
      <c r="V2211" s="6"/>
      <c r="W2211" s="6"/>
      <c r="X2211" s="6"/>
      <c r="Y2211" s="6"/>
      <c r="Z2211" s="6"/>
      <c r="AA2211" s="6"/>
      <c r="AB2211" s="6"/>
      <c r="AC2211" s="6"/>
      <c r="AD2211" s="6"/>
      <c r="AE2211" s="6"/>
      <c r="AF2211" s="6"/>
      <c r="AG2211" s="6"/>
    </row>
    <row r="2212" ht="14.25" customHeight="1">
      <c r="A2212" s="6"/>
      <c r="B2212" s="6"/>
      <c r="C2212" s="6"/>
      <c r="D2212" s="6"/>
      <c r="E2212" s="6"/>
      <c r="F2212" s="6"/>
      <c r="G2212" s="6"/>
      <c r="H2212" s="6"/>
      <c r="I2212" s="6"/>
      <c r="J2212" s="6"/>
      <c r="K2212" s="6"/>
      <c r="L2212" s="6"/>
      <c r="M2212" s="6"/>
      <c r="N2212" s="6" t="str">
        <f t="shared" ref="N2212:P2212" si="2215">IF(LEN($C2212)&gt;0,H2212-E2212,"")</f>
        <v/>
      </c>
      <c r="O2212" s="6" t="str">
        <f t="shared" si="2215"/>
        <v/>
      </c>
      <c r="P2212" s="6" t="str">
        <f t="shared" si="2215"/>
        <v/>
      </c>
      <c r="Q2212" s="6"/>
      <c r="R2212" s="6"/>
      <c r="S2212" s="6"/>
      <c r="T2212" s="6"/>
      <c r="U2212" s="6"/>
      <c r="V2212" s="6"/>
      <c r="W2212" s="6"/>
      <c r="X2212" s="6"/>
      <c r="Y2212" s="6"/>
      <c r="Z2212" s="6"/>
      <c r="AA2212" s="6"/>
      <c r="AB2212" s="6"/>
      <c r="AC2212" s="6"/>
      <c r="AD2212" s="6"/>
      <c r="AE2212" s="6"/>
      <c r="AF2212" s="6"/>
      <c r="AG2212" s="6"/>
    </row>
    <row r="2213" ht="14.25" customHeight="1">
      <c r="A2213" s="6"/>
      <c r="B2213" s="6"/>
      <c r="C2213" s="6"/>
      <c r="D2213" s="6"/>
      <c r="E2213" s="6"/>
      <c r="F2213" s="6"/>
      <c r="G2213" s="6"/>
      <c r="H2213" s="6"/>
      <c r="I2213" s="6"/>
      <c r="J2213" s="6"/>
      <c r="K2213" s="6"/>
      <c r="L2213" s="6"/>
      <c r="M2213" s="6"/>
      <c r="N2213" s="6" t="str">
        <f t="shared" ref="N2213:P2213" si="2216">IF(LEN($C2213)&gt;0,H2213-E2213,"")</f>
        <v/>
      </c>
      <c r="O2213" s="6" t="str">
        <f t="shared" si="2216"/>
        <v/>
      </c>
      <c r="P2213" s="6" t="str">
        <f t="shared" si="2216"/>
        <v/>
      </c>
      <c r="Q2213" s="6"/>
      <c r="R2213" s="6"/>
      <c r="S2213" s="6"/>
      <c r="T2213" s="6"/>
      <c r="U2213" s="6"/>
      <c r="V2213" s="6"/>
      <c r="W2213" s="6"/>
      <c r="X2213" s="6"/>
      <c r="Y2213" s="6"/>
      <c r="Z2213" s="6"/>
      <c r="AA2213" s="6"/>
      <c r="AB2213" s="6"/>
      <c r="AC2213" s="6"/>
      <c r="AD2213" s="6"/>
      <c r="AE2213" s="6"/>
      <c r="AF2213" s="6"/>
      <c r="AG2213" s="6"/>
    </row>
    <row r="2214" ht="14.25" customHeight="1">
      <c r="A2214" s="6"/>
      <c r="B2214" s="6"/>
      <c r="C2214" s="6"/>
      <c r="D2214" s="6"/>
      <c r="E2214" s="6"/>
      <c r="F2214" s="6"/>
      <c r="G2214" s="6"/>
      <c r="H2214" s="6"/>
      <c r="I2214" s="6"/>
      <c r="J2214" s="6"/>
      <c r="K2214" s="6"/>
      <c r="L2214" s="6"/>
      <c r="M2214" s="6"/>
      <c r="N2214" s="6" t="str">
        <f t="shared" ref="N2214:P2214" si="2217">IF(LEN($C2214)&gt;0,H2214-E2214,"")</f>
        <v/>
      </c>
      <c r="O2214" s="6" t="str">
        <f t="shared" si="2217"/>
        <v/>
      </c>
      <c r="P2214" s="6" t="str">
        <f t="shared" si="2217"/>
        <v/>
      </c>
      <c r="Q2214" s="6"/>
      <c r="R2214" s="6"/>
      <c r="S2214" s="6"/>
      <c r="T2214" s="6"/>
      <c r="U2214" s="6"/>
      <c r="V2214" s="6"/>
      <c r="W2214" s="6"/>
      <c r="X2214" s="6"/>
      <c r="Y2214" s="6"/>
      <c r="Z2214" s="6"/>
      <c r="AA2214" s="6"/>
      <c r="AB2214" s="6"/>
      <c r="AC2214" s="6"/>
      <c r="AD2214" s="6"/>
      <c r="AE2214" s="6"/>
      <c r="AF2214" s="6"/>
      <c r="AG2214" s="6"/>
    </row>
    <row r="2215" ht="14.25" customHeight="1">
      <c r="A2215" s="6"/>
      <c r="B2215" s="6"/>
      <c r="C2215" s="6"/>
      <c r="D2215" s="6"/>
      <c r="E2215" s="6"/>
      <c r="F2215" s="6"/>
      <c r="G2215" s="6"/>
      <c r="H2215" s="6"/>
      <c r="I2215" s="6"/>
      <c r="J2215" s="6"/>
      <c r="K2215" s="6"/>
      <c r="L2215" s="6"/>
      <c r="M2215" s="6"/>
      <c r="N2215" s="6" t="str">
        <f t="shared" ref="N2215:P2215" si="2218">IF(LEN($C2215)&gt;0,H2215-E2215,"")</f>
        <v/>
      </c>
      <c r="O2215" s="6" t="str">
        <f t="shared" si="2218"/>
        <v/>
      </c>
      <c r="P2215" s="6" t="str">
        <f t="shared" si="2218"/>
        <v/>
      </c>
      <c r="Q2215" s="6"/>
      <c r="R2215" s="6"/>
      <c r="S2215" s="6"/>
      <c r="T2215" s="6"/>
      <c r="U2215" s="6"/>
      <c r="V2215" s="6"/>
      <c r="W2215" s="6"/>
      <c r="X2215" s="6"/>
      <c r="Y2215" s="6"/>
      <c r="Z2215" s="6"/>
      <c r="AA2215" s="6"/>
      <c r="AB2215" s="6"/>
      <c r="AC2215" s="6"/>
      <c r="AD2215" s="6"/>
      <c r="AE2215" s="6"/>
      <c r="AF2215" s="6"/>
      <c r="AG2215" s="6"/>
    </row>
    <row r="2216" ht="14.25" customHeight="1">
      <c r="A2216" s="6"/>
      <c r="B2216" s="6"/>
      <c r="C2216" s="6"/>
      <c r="D2216" s="6"/>
      <c r="E2216" s="6"/>
      <c r="F2216" s="6"/>
      <c r="G2216" s="6"/>
      <c r="H2216" s="6"/>
      <c r="I2216" s="6"/>
      <c r="J2216" s="6"/>
      <c r="K2216" s="6"/>
      <c r="L2216" s="6"/>
      <c r="M2216" s="6"/>
      <c r="N2216" s="6" t="str">
        <f t="shared" ref="N2216:P2216" si="2219">IF(LEN($C2216)&gt;0,H2216-E2216,"")</f>
        <v/>
      </c>
      <c r="O2216" s="6" t="str">
        <f t="shared" si="2219"/>
        <v/>
      </c>
      <c r="P2216" s="6" t="str">
        <f t="shared" si="2219"/>
        <v/>
      </c>
      <c r="Q2216" s="6"/>
      <c r="R2216" s="6"/>
      <c r="S2216" s="6"/>
      <c r="T2216" s="6"/>
      <c r="U2216" s="6"/>
      <c r="V2216" s="6"/>
      <c r="W2216" s="6"/>
      <c r="X2216" s="6"/>
      <c r="Y2216" s="6"/>
      <c r="Z2216" s="6"/>
      <c r="AA2216" s="6"/>
      <c r="AB2216" s="6"/>
      <c r="AC2216" s="6"/>
      <c r="AD2216" s="6"/>
      <c r="AE2216" s="6"/>
      <c r="AF2216" s="6"/>
      <c r="AG2216" s="6"/>
    </row>
    <row r="2217" ht="14.25" customHeight="1">
      <c r="A2217" s="6"/>
      <c r="B2217" s="6"/>
      <c r="C2217" s="6"/>
      <c r="D2217" s="6"/>
      <c r="E2217" s="6"/>
      <c r="F2217" s="6"/>
      <c r="G2217" s="6"/>
      <c r="H2217" s="6"/>
      <c r="I2217" s="6"/>
      <c r="J2217" s="6"/>
      <c r="K2217" s="6"/>
      <c r="L2217" s="6"/>
      <c r="M2217" s="6"/>
      <c r="N2217" s="6" t="str">
        <f t="shared" ref="N2217:P2217" si="2220">IF(LEN($C2217)&gt;0,H2217-E2217,"")</f>
        <v/>
      </c>
      <c r="O2217" s="6" t="str">
        <f t="shared" si="2220"/>
        <v/>
      </c>
      <c r="P2217" s="6" t="str">
        <f t="shared" si="2220"/>
        <v/>
      </c>
      <c r="Q2217" s="6"/>
      <c r="R2217" s="6"/>
      <c r="S2217" s="6"/>
      <c r="T2217" s="6"/>
      <c r="U2217" s="6"/>
      <c r="V2217" s="6"/>
      <c r="W2217" s="6"/>
      <c r="X2217" s="6"/>
      <c r="Y2217" s="6"/>
      <c r="Z2217" s="6"/>
      <c r="AA2217" s="6"/>
      <c r="AB2217" s="6"/>
      <c r="AC2217" s="6"/>
      <c r="AD2217" s="6"/>
      <c r="AE2217" s="6"/>
      <c r="AF2217" s="6"/>
      <c r="AG2217" s="6"/>
    </row>
    <row r="2218" ht="14.25" customHeight="1">
      <c r="A2218" s="6"/>
      <c r="B2218" s="6"/>
      <c r="C2218" s="6"/>
      <c r="D2218" s="6"/>
      <c r="E2218" s="6"/>
      <c r="F2218" s="6"/>
      <c r="G2218" s="6"/>
      <c r="H2218" s="6"/>
      <c r="I2218" s="6"/>
      <c r="J2218" s="6"/>
      <c r="K2218" s="6"/>
      <c r="L2218" s="6"/>
      <c r="M2218" s="6"/>
      <c r="N2218" s="6" t="str">
        <f t="shared" ref="N2218:P2218" si="2221">IF(LEN($C2218)&gt;0,H2218-E2218,"")</f>
        <v/>
      </c>
      <c r="O2218" s="6" t="str">
        <f t="shared" si="2221"/>
        <v/>
      </c>
      <c r="P2218" s="6" t="str">
        <f t="shared" si="2221"/>
        <v/>
      </c>
      <c r="Q2218" s="6"/>
      <c r="R2218" s="6"/>
      <c r="S2218" s="6"/>
      <c r="T2218" s="6"/>
      <c r="U2218" s="6"/>
      <c r="V2218" s="6"/>
      <c r="W2218" s="6"/>
      <c r="X2218" s="6"/>
      <c r="Y2218" s="6"/>
      <c r="Z2218" s="6"/>
      <c r="AA2218" s="6"/>
      <c r="AB2218" s="6"/>
      <c r="AC2218" s="6"/>
      <c r="AD2218" s="6"/>
      <c r="AE2218" s="6"/>
      <c r="AF2218" s="6"/>
      <c r="AG2218" s="6"/>
    </row>
    <row r="2219" ht="14.25" customHeight="1">
      <c r="A2219" s="6"/>
      <c r="B2219" s="6"/>
      <c r="C2219" s="6"/>
      <c r="D2219" s="6"/>
      <c r="E2219" s="6"/>
      <c r="F2219" s="6"/>
      <c r="G2219" s="6"/>
      <c r="H2219" s="6"/>
      <c r="I2219" s="6"/>
      <c r="J2219" s="6"/>
      <c r="K2219" s="6"/>
      <c r="L2219" s="6"/>
      <c r="M2219" s="6"/>
      <c r="N2219" s="6" t="str">
        <f t="shared" ref="N2219:P2219" si="2222">IF(LEN($C2219)&gt;0,H2219-E2219,"")</f>
        <v/>
      </c>
      <c r="O2219" s="6" t="str">
        <f t="shared" si="2222"/>
        <v/>
      </c>
      <c r="P2219" s="6" t="str">
        <f t="shared" si="2222"/>
        <v/>
      </c>
      <c r="Q2219" s="6"/>
      <c r="R2219" s="6"/>
      <c r="S2219" s="6"/>
      <c r="T2219" s="6"/>
      <c r="U2219" s="6"/>
      <c r="V2219" s="6"/>
      <c r="W2219" s="6"/>
      <c r="X2219" s="6"/>
      <c r="Y2219" s="6"/>
      <c r="Z2219" s="6"/>
      <c r="AA2219" s="6"/>
      <c r="AB2219" s="6"/>
      <c r="AC2219" s="6"/>
      <c r="AD2219" s="6"/>
      <c r="AE2219" s="6"/>
      <c r="AF2219" s="6"/>
      <c r="AG2219" s="6"/>
    </row>
    <row r="2220" ht="14.25" customHeight="1">
      <c r="A2220" s="6"/>
      <c r="B2220" s="6"/>
      <c r="C2220" s="6"/>
      <c r="D2220" s="6"/>
      <c r="E2220" s="6"/>
      <c r="F2220" s="6"/>
      <c r="G2220" s="6"/>
      <c r="H2220" s="6"/>
      <c r="I2220" s="6"/>
      <c r="J2220" s="6"/>
      <c r="K2220" s="6"/>
      <c r="L2220" s="6"/>
      <c r="M2220" s="6"/>
      <c r="N2220" s="6" t="str">
        <f t="shared" ref="N2220:P2220" si="2223">IF(LEN($C2220)&gt;0,H2220-E2220,"")</f>
        <v/>
      </c>
      <c r="O2220" s="6" t="str">
        <f t="shared" si="2223"/>
        <v/>
      </c>
      <c r="P2220" s="6" t="str">
        <f t="shared" si="2223"/>
        <v/>
      </c>
      <c r="Q2220" s="6"/>
      <c r="R2220" s="6"/>
      <c r="S2220" s="6"/>
      <c r="T2220" s="6"/>
      <c r="U2220" s="6"/>
      <c r="V2220" s="6"/>
      <c r="W2220" s="6"/>
      <c r="X2220" s="6"/>
      <c r="Y2220" s="6"/>
      <c r="Z2220" s="6"/>
      <c r="AA2220" s="6"/>
      <c r="AB2220" s="6"/>
      <c r="AC2220" s="6"/>
      <c r="AD2220" s="6"/>
      <c r="AE2220" s="6"/>
      <c r="AF2220" s="6"/>
      <c r="AG2220" s="6"/>
    </row>
    <row r="2221" ht="14.25" customHeight="1">
      <c r="A2221" s="6"/>
      <c r="B2221" s="6"/>
      <c r="C2221" s="6"/>
      <c r="D2221" s="6"/>
      <c r="E2221" s="6"/>
      <c r="F2221" s="6"/>
      <c r="G2221" s="6"/>
      <c r="H2221" s="6"/>
      <c r="I2221" s="6"/>
      <c r="J2221" s="6"/>
      <c r="K2221" s="6"/>
      <c r="L2221" s="6"/>
      <c r="M2221" s="6"/>
      <c r="N2221" s="6" t="str">
        <f t="shared" ref="N2221:P2221" si="2224">IF(LEN($C2221)&gt;0,H2221-E2221,"")</f>
        <v/>
      </c>
      <c r="O2221" s="6" t="str">
        <f t="shared" si="2224"/>
        <v/>
      </c>
      <c r="P2221" s="6" t="str">
        <f t="shared" si="2224"/>
        <v/>
      </c>
      <c r="Q2221" s="6"/>
      <c r="R2221" s="6"/>
      <c r="S2221" s="6"/>
      <c r="T2221" s="6"/>
      <c r="U2221" s="6"/>
      <c r="V2221" s="6"/>
      <c r="W2221" s="6"/>
      <c r="X2221" s="6"/>
      <c r="Y2221" s="6"/>
      <c r="Z2221" s="6"/>
      <c r="AA2221" s="6"/>
      <c r="AB2221" s="6"/>
      <c r="AC2221" s="6"/>
      <c r="AD2221" s="6"/>
      <c r="AE2221" s="6"/>
      <c r="AF2221" s="6"/>
      <c r="AG2221" s="6"/>
    </row>
    <row r="2222" ht="14.25" customHeight="1">
      <c r="A2222" s="6"/>
      <c r="B2222" s="6"/>
      <c r="C2222" s="6"/>
      <c r="D2222" s="6"/>
      <c r="E2222" s="6"/>
      <c r="F2222" s="6"/>
      <c r="G2222" s="6"/>
      <c r="H2222" s="6"/>
      <c r="I2222" s="6"/>
      <c r="J2222" s="6"/>
      <c r="K2222" s="6"/>
      <c r="L2222" s="6"/>
      <c r="M2222" s="6"/>
      <c r="N2222" s="6" t="str">
        <f t="shared" ref="N2222:P2222" si="2225">IF(LEN($C2222)&gt;0,H2222-E2222,"")</f>
        <v/>
      </c>
      <c r="O2222" s="6" t="str">
        <f t="shared" si="2225"/>
        <v/>
      </c>
      <c r="P2222" s="6" t="str">
        <f t="shared" si="2225"/>
        <v/>
      </c>
      <c r="Q2222" s="6"/>
      <c r="R2222" s="6"/>
      <c r="S2222" s="6"/>
      <c r="T2222" s="6"/>
      <c r="U2222" s="6"/>
      <c r="V2222" s="6"/>
      <c r="W2222" s="6"/>
      <c r="X2222" s="6"/>
      <c r="Y2222" s="6"/>
      <c r="Z2222" s="6"/>
      <c r="AA2222" s="6"/>
      <c r="AB2222" s="6"/>
      <c r="AC2222" s="6"/>
      <c r="AD2222" s="6"/>
      <c r="AE2222" s="6"/>
      <c r="AF2222" s="6"/>
      <c r="AG2222" s="6"/>
    </row>
    <row r="2223" ht="14.25" customHeight="1">
      <c r="A2223" s="6"/>
      <c r="B2223" s="6"/>
      <c r="C2223" s="6"/>
      <c r="D2223" s="6"/>
      <c r="E2223" s="6"/>
      <c r="F2223" s="6"/>
      <c r="G2223" s="6"/>
      <c r="H2223" s="6"/>
      <c r="I2223" s="6"/>
      <c r="J2223" s="6"/>
      <c r="K2223" s="6"/>
      <c r="L2223" s="6"/>
      <c r="M2223" s="6"/>
      <c r="N2223" s="6" t="str">
        <f t="shared" ref="N2223:P2223" si="2226">IF(LEN($C2223)&gt;0,H2223-E2223,"")</f>
        <v/>
      </c>
      <c r="O2223" s="6" t="str">
        <f t="shared" si="2226"/>
        <v/>
      </c>
      <c r="P2223" s="6" t="str">
        <f t="shared" si="2226"/>
        <v/>
      </c>
      <c r="Q2223" s="6"/>
      <c r="R2223" s="6"/>
      <c r="S2223" s="6"/>
      <c r="T2223" s="6"/>
      <c r="U2223" s="6"/>
      <c r="V2223" s="6"/>
      <c r="W2223" s="6"/>
      <c r="X2223" s="6"/>
      <c r="Y2223" s="6"/>
      <c r="Z2223" s="6"/>
      <c r="AA2223" s="6"/>
      <c r="AB2223" s="6"/>
      <c r="AC2223" s="6"/>
      <c r="AD2223" s="6"/>
      <c r="AE2223" s="6"/>
      <c r="AF2223" s="6"/>
      <c r="AG2223" s="6"/>
    </row>
    <row r="2224" ht="14.25" customHeight="1">
      <c r="A2224" s="6"/>
      <c r="B2224" s="6"/>
      <c r="C2224" s="6"/>
      <c r="D2224" s="6"/>
      <c r="E2224" s="6"/>
      <c r="F2224" s="6"/>
      <c r="G2224" s="6"/>
      <c r="H2224" s="6"/>
      <c r="I2224" s="6"/>
      <c r="J2224" s="6"/>
      <c r="K2224" s="6"/>
      <c r="L2224" s="6"/>
      <c r="M2224" s="6"/>
      <c r="N2224" s="6" t="str">
        <f t="shared" ref="N2224:P2224" si="2227">IF(LEN($C2224)&gt;0,H2224-E2224,"")</f>
        <v/>
      </c>
      <c r="O2224" s="6" t="str">
        <f t="shared" si="2227"/>
        <v/>
      </c>
      <c r="P2224" s="6" t="str">
        <f t="shared" si="2227"/>
        <v/>
      </c>
      <c r="Q2224" s="6"/>
      <c r="R2224" s="6"/>
      <c r="S2224" s="6"/>
      <c r="T2224" s="6"/>
      <c r="U2224" s="6"/>
      <c r="V2224" s="6"/>
      <c r="W2224" s="6"/>
      <c r="X2224" s="6"/>
      <c r="Y2224" s="6"/>
      <c r="Z2224" s="6"/>
      <c r="AA2224" s="6"/>
      <c r="AB2224" s="6"/>
      <c r="AC2224" s="6"/>
      <c r="AD2224" s="6"/>
      <c r="AE2224" s="6"/>
      <c r="AF2224" s="6"/>
      <c r="AG2224" s="6"/>
    </row>
    <row r="2225" ht="14.25" customHeight="1">
      <c r="A2225" s="6"/>
      <c r="B2225" s="6"/>
      <c r="C2225" s="6"/>
      <c r="D2225" s="6"/>
      <c r="E2225" s="6"/>
      <c r="F2225" s="6"/>
      <c r="G2225" s="6"/>
      <c r="H2225" s="6"/>
      <c r="I2225" s="6"/>
      <c r="J2225" s="6"/>
      <c r="K2225" s="6"/>
      <c r="L2225" s="6"/>
      <c r="M2225" s="6"/>
      <c r="N2225" s="6" t="str">
        <f t="shared" ref="N2225:P2225" si="2228">IF(LEN($C2225)&gt;0,H2225-E2225,"")</f>
        <v/>
      </c>
      <c r="O2225" s="6" t="str">
        <f t="shared" si="2228"/>
        <v/>
      </c>
      <c r="P2225" s="6" t="str">
        <f t="shared" si="2228"/>
        <v/>
      </c>
      <c r="Q2225" s="6"/>
      <c r="R2225" s="6"/>
      <c r="S2225" s="6"/>
      <c r="T2225" s="6"/>
      <c r="U2225" s="6"/>
      <c r="V2225" s="6"/>
      <c r="W2225" s="6"/>
      <c r="X2225" s="6"/>
      <c r="Y2225" s="6"/>
      <c r="Z2225" s="6"/>
      <c r="AA2225" s="6"/>
      <c r="AB2225" s="6"/>
      <c r="AC2225" s="6"/>
      <c r="AD2225" s="6"/>
      <c r="AE2225" s="6"/>
      <c r="AF2225" s="6"/>
      <c r="AG2225" s="6"/>
    </row>
    <row r="2226" ht="14.25" customHeight="1">
      <c r="A2226" s="6"/>
      <c r="B2226" s="6"/>
      <c r="C2226" s="6"/>
      <c r="D2226" s="6"/>
      <c r="E2226" s="6"/>
      <c r="F2226" s="6"/>
      <c r="G2226" s="6"/>
      <c r="H2226" s="6"/>
      <c r="I2226" s="6"/>
      <c r="J2226" s="6"/>
      <c r="K2226" s="6"/>
      <c r="L2226" s="6"/>
      <c r="M2226" s="6"/>
      <c r="N2226" s="6" t="str">
        <f t="shared" ref="N2226:P2226" si="2229">IF(LEN($C2226)&gt;0,H2226-E2226,"")</f>
        <v/>
      </c>
      <c r="O2226" s="6" t="str">
        <f t="shared" si="2229"/>
        <v/>
      </c>
      <c r="P2226" s="6" t="str">
        <f t="shared" si="2229"/>
        <v/>
      </c>
      <c r="Q2226" s="6"/>
      <c r="R2226" s="6"/>
      <c r="S2226" s="6"/>
      <c r="T2226" s="6"/>
      <c r="U2226" s="6"/>
      <c r="V2226" s="6"/>
      <c r="W2226" s="6"/>
      <c r="X2226" s="6"/>
      <c r="Y2226" s="6"/>
      <c r="Z2226" s="6"/>
      <c r="AA2226" s="6"/>
      <c r="AB2226" s="6"/>
      <c r="AC2226" s="6"/>
      <c r="AD2226" s="6"/>
      <c r="AE2226" s="6"/>
      <c r="AF2226" s="6"/>
      <c r="AG2226" s="6"/>
    </row>
    <row r="2227" ht="14.25" customHeight="1">
      <c r="A2227" s="6"/>
      <c r="B2227" s="6"/>
      <c r="C2227" s="6"/>
      <c r="D2227" s="6"/>
      <c r="E2227" s="6"/>
      <c r="F2227" s="6"/>
      <c r="G2227" s="6"/>
      <c r="H2227" s="6"/>
      <c r="I2227" s="6"/>
      <c r="J2227" s="6"/>
      <c r="K2227" s="6"/>
      <c r="L2227" s="6"/>
      <c r="M2227" s="6"/>
      <c r="N2227" s="6" t="str">
        <f t="shared" ref="N2227:P2227" si="2230">IF(LEN($C2227)&gt;0,H2227-E2227,"")</f>
        <v/>
      </c>
      <c r="O2227" s="6" t="str">
        <f t="shared" si="2230"/>
        <v/>
      </c>
      <c r="P2227" s="6" t="str">
        <f t="shared" si="2230"/>
        <v/>
      </c>
      <c r="Q2227" s="6"/>
      <c r="R2227" s="6"/>
      <c r="S2227" s="6"/>
      <c r="T2227" s="6"/>
      <c r="U2227" s="6"/>
      <c r="V2227" s="6"/>
      <c r="W2227" s="6"/>
      <c r="X2227" s="6"/>
      <c r="Y2227" s="6"/>
      <c r="Z2227" s="6"/>
      <c r="AA2227" s="6"/>
      <c r="AB2227" s="6"/>
      <c r="AC2227" s="6"/>
      <c r="AD2227" s="6"/>
      <c r="AE2227" s="6"/>
      <c r="AF2227" s="6"/>
      <c r="AG2227" s="6"/>
    </row>
    <row r="2228" ht="14.25" customHeight="1">
      <c r="A2228" s="6"/>
      <c r="B2228" s="6"/>
      <c r="C2228" s="6"/>
      <c r="D2228" s="6"/>
      <c r="E2228" s="6"/>
      <c r="F2228" s="6"/>
      <c r="G2228" s="6"/>
      <c r="H2228" s="6"/>
      <c r="I2228" s="6"/>
      <c r="J2228" s="6"/>
      <c r="K2228" s="6"/>
      <c r="L2228" s="6"/>
      <c r="M2228" s="6"/>
      <c r="N2228" s="6" t="str">
        <f t="shared" ref="N2228:P2228" si="2231">IF(LEN($C2228)&gt;0,H2228-E2228,"")</f>
        <v/>
      </c>
      <c r="O2228" s="6" t="str">
        <f t="shared" si="2231"/>
        <v/>
      </c>
      <c r="P2228" s="6" t="str">
        <f t="shared" si="2231"/>
        <v/>
      </c>
      <c r="Q2228" s="6"/>
      <c r="R2228" s="6"/>
      <c r="S2228" s="6"/>
      <c r="T2228" s="6"/>
      <c r="U2228" s="6"/>
      <c r="V2228" s="6"/>
      <c r="W2228" s="6"/>
      <c r="X2228" s="6"/>
      <c r="Y2228" s="6"/>
      <c r="Z2228" s="6"/>
      <c r="AA2228" s="6"/>
      <c r="AB2228" s="6"/>
      <c r="AC2228" s="6"/>
      <c r="AD2228" s="6"/>
      <c r="AE2228" s="6"/>
      <c r="AF2228" s="6"/>
      <c r="AG2228" s="6"/>
    </row>
    <row r="2229" ht="14.25" customHeight="1">
      <c r="A2229" s="6"/>
      <c r="B2229" s="6"/>
      <c r="C2229" s="6"/>
      <c r="D2229" s="6"/>
      <c r="E2229" s="6"/>
      <c r="F2229" s="6"/>
      <c r="G2229" s="6"/>
      <c r="H2229" s="6"/>
      <c r="I2229" s="6"/>
      <c r="J2229" s="6"/>
      <c r="K2229" s="6"/>
      <c r="L2229" s="6"/>
      <c r="M2229" s="6"/>
      <c r="N2229" s="6" t="str">
        <f t="shared" ref="N2229:P2229" si="2232">IF(LEN($C2229)&gt;0,H2229-E2229,"")</f>
        <v/>
      </c>
      <c r="O2229" s="6" t="str">
        <f t="shared" si="2232"/>
        <v/>
      </c>
      <c r="P2229" s="6" t="str">
        <f t="shared" si="2232"/>
        <v/>
      </c>
      <c r="Q2229" s="6"/>
      <c r="R2229" s="6"/>
      <c r="S2229" s="6"/>
      <c r="T2229" s="6"/>
      <c r="U2229" s="6"/>
      <c r="V2229" s="6"/>
      <c r="W2229" s="6"/>
      <c r="X2229" s="6"/>
      <c r="Y2229" s="6"/>
      <c r="Z2229" s="6"/>
      <c r="AA2229" s="6"/>
      <c r="AB2229" s="6"/>
      <c r="AC2229" s="6"/>
      <c r="AD2229" s="6"/>
      <c r="AE2229" s="6"/>
      <c r="AF2229" s="6"/>
      <c r="AG2229" s="6"/>
    </row>
    <row r="2230" ht="14.25" customHeight="1">
      <c r="A2230" s="6"/>
      <c r="B2230" s="6"/>
      <c r="C2230" s="6"/>
      <c r="D2230" s="6"/>
      <c r="E2230" s="6"/>
      <c r="F2230" s="6"/>
      <c r="G2230" s="6"/>
      <c r="H2230" s="6"/>
      <c r="I2230" s="6"/>
      <c r="J2230" s="6"/>
      <c r="K2230" s="6"/>
      <c r="L2230" s="6"/>
      <c r="M2230" s="6"/>
      <c r="N2230" s="6" t="str">
        <f t="shared" ref="N2230:P2230" si="2233">IF(LEN($C2230)&gt;0,H2230-E2230,"")</f>
        <v/>
      </c>
      <c r="O2230" s="6" t="str">
        <f t="shared" si="2233"/>
        <v/>
      </c>
      <c r="P2230" s="6" t="str">
        <f t="shared" si="2233"/>
        <v/>
      </c>
      <c r="Q2230" s="6"/>
      <c r="R2230" s="6"/>
      <c r="S2230" s="6"/>
      <c r="T2230" s="6"/>
      <c r="U2230" s="6"/>
      <c r="V2230" s="6"/>
      <c r="W2230" s="6"/>
      <c r="X2230" s="6"/>
      <c r="Y2230" s="6"/>
      <c r="Z2230" s="6"/>
      <c r="AA2230" s="6"/>
      <c r="AB2230" s="6"/>
      <c r="AC2230" s="6"/>
      <c r="AD2230" s="6"/>
      <c r="AE2230" s="6"/>
      <c r="AF2230" s="6"/>
      <c r="AG2230" s="6"/>
    </row>
    <row r="2231" ht="14.25" customHeight="1">
      <c r="A2231" s="6"/>
      <c r="B2231" s="6"/>
      <c r="C2231" s="6"/>
      <c r="D2231" s="6"/>
      <c r="E2231" s="6"/>
      <c r="F2231" s="6"/>
      <c r="G2231" s="6"/>
      <c r="H2231" s="6"/>
      <c r="I2231" s="6"/>
      <c r="J2231" s="6"/>
      <c r="K2231" s="6"/>
      <c r="L2231" s="6"/>
      <c r="M2231" s="6"/>
      <c r="N2231" s="6" t="str">
        <f t="shared" ref="N2231:P2231" si="2234">IF(LEN($C2231)&gt;0,H2231-E2231,"")</f>
        <v/>
      </c>
      <c r="O2231" s="6" t="str">
        <f t="shared" si="2234"/>
        <v/>
      </c>
      <c r="P2231" s="6" t="str">
        <f t="shared" si="2234"/>
        <v/>
      </c>
      <c r="Q2231" s="6"/>
      <c r="R2231" s="6"/>
      <c r="S2231" s="6"/>
      <c r="T2231" s="6"/>
      <c r="U2231" s="6"/>
      <c r="V2231" s="6"/>
      <c r="W2231" s="6"/>
      <c r="X2231" s="6"/>
      <c r="Y2231" s="6"/>
      <c r="Z2231" s="6"/>
      <c r="AA2231" s="6"/>
      <c r="AB2231" s="6"/>
      <c r="AC2231" s="6"/>
      <c r="AD2231" s="6"/>
      <c r="AE2231" s="6"/>
      <c r="AF2231" s="6"/>
      <c r="AG2231" s="6"/>
    </row>
    <row r="2232" ht="14.25" customHeight="1">
      <c r="A2232" s="6"/>
      <c r="B2232" s="6"/>
      <c r="C2232" s="6"/>
      <c r="D2232" s="6"/>
      <c r="E2232" s="6"/>
      <c r="F2232" s="6"/>
      <c r="G2232" s="6"/>
      <c r="H2232" s="6"/>
      <c r="I2232" s="6"/>
      <c r="J2232" s="6"/>
      <c r="K2232" s="6"/>
      <c r="L2232" s="6"/>
      <c r="M2232" s="6"/>
      <c r="N2232" s="6" t="str">
        <f t="shared" ref="N2232:P2232" si="2235">IF(LEN($C2232)&gt;0,H2232-E2232,"")</f>
        <v/>
      </c>
      <c r="O2232" s="6" t="str">
        <f t="shared" si="2235"/>
        <v/>
      </c>
      <c r="P2232" s="6" t="str">
        <f t="shared" si="2235"/>
        <v/>
      </c>
      <c r="Q2232" s="6"/>
      <c r="R2232" s="6"/>
      <c r="S2232" s="6"/>
      <c r="T2232" s="6"/>
      <c r="U2232" s="6"/>
      <c r="V2232" s="6"/>
      <c r="W2232" s="6"/>
      <c r="X2232" s="6"/>
      <c r="Y2232" s="6"/>
      <c r="Z2232" s="6"/>
      <c r="AA2232" s="6"/>
      <c r="AB2232" s="6"/>
      <c r="AC2232" s="6"/>
      <c r="AD2232" s="6"/>
      <c r="AE2232" s="6"/>
      <c r="AF2232" s="6"/>
      <c r="AG2232" s="6"/>
    </row>
    <row r="2233" ht="14.25" customHeight="1">
      <c r="A2233" s="6"/>
      <c r="B2233" s="6"/>
      <c r="C2233" s="6"/>
      <c r="D2233" s="6"/>
      <c r="E2233" s="6"/>
      <c r="F2233" s="6"/>
      <c r="G2233" s="6"/>
      <c r="H2233" s="6"/>
      <c r="I2233" s="6"/>
      <c r="J2233" s="6"/>
      <c r="K2233" s="6"/>
      <c r="L2233" s="6"/>
      <c r="M2233" s="6"/>
      <c r="N2233" s="6" t="str">
        <f t="shared" ref="N2233:P2233" si="2236">IF(LEN($C2233)&gt;0,H2233-E2233,"")</f>
        <v/>
      </c>
      <c r="O2233" s="6" t="str">
        <f t="shared" si="2236"/>
        <v/>
      </c>
      <c r="P2233" s="6" t="str">
        <f t="shared" si="2236"/>
        <v/>
      </c>
      <c r="Q2233" s="6"/>
      <c r="R2233" s="6"/>
      <c r="S2233" s="6"/>
      <c r="T2233" s="6"/>
      <c r="U2233" s="6"/>
      <c r="V2233" s="6"/>
      <c r="W2233" s="6"/>
      <c r="X2233" s="6"/>
      <c r="Y2233" s="6"/>
      <c r="Z2233" s="6"/>
      <c r="AA2233" s="6"/>
      <c r="AB2233" s="6"/>
      <c r="AC2233" s="6"/>
      <c r="AD2233" s="6"/>
      <c r="AE2233" s="6"/>
      <c r="AF2233" s="6"/>
      <c r="AG2233" s="6"/>
    </row>
    <row r="2234" ht="14.25" customHeight="1">
      <c r="A2234" s="6"/>
      <c r="B2234" s="6"/>
      <c r="C2234" s="6"/>
      <c r="D2234" s="6"/>
      <c r="E2234" s="6"/>
      <c r="F2234" s="6"/>
      <c r="G2234" s="6"/>
      <c r="H2234" s="6"/>
      <c r="I2234" s="6"/>
      <c r="J2234" s="6"/>
      <c r="K2234" s="6"/>
      <c r="L2234" s="6"/>
      <c r="M2234" s="6"/>
      <c r="N2234" s="6" t="str">
        <f t="shared" ref="N2234:P2234" si="2237">IF(LEN($C2234)&gt;0,H2234-E2234,"")</f>
        <v/>
      </c>
      <c r="O2234" s="6" t="str">
        <f t="shared" si="2237"/>
        <v/>
      </c>
      <c r="P2234" s="6" t="str">
        <f t="shared" si="2237"/>
        <v/>
      </c>
      <c r="Q2234" s="6"/>
      <c r="R2234" s="6"/>
      <c r="S2234" s="6"/>
      <c r="T2234" s="6"/>
      <c r="U2234" s="6"/>
      <c r="V2234" s="6"/>
      <c r="W2234" s="6"/>
      <c r="X2234" s="6"/>
      <c r="Y2234" s="6"/>
      <c r="Z2234" s="6"/>
      <c r="AA2234" s="6"/>
      <c r="AB2234" s="6"/>
      <c r="AC2234" s="6"/>
      <c r="AD2234" s="6"/>
      <c r="AE2234" s="6"/>
      <c r="AF2234" s="6"/>
      <c r="AG2234" s="6"/>
    </row>
  </sheetData>
  <mergeCells count="3">
    <mergeCell ref="C1:U1"/>
    <mergeCell ref="C2:U2"/>
    <mergeCell ref="F4:V4"/>
  </mergeCells>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21.0"/>
    <col customWidth="1" min="2" max="2" width="8.63"/>
    <col customWidth="1" min="3" max="3" width="10.5"/>
    <col customWidth="1" min="4" max="4" width="15.38"/>
    <col customWidth="1" min="5" max="5" width="12.38"/>
    <col customWidth="1" min="6" max="10" width="21.25"/>
    <col customWidth="1" min="11" max="17" width="8.63"/>
    <col customWidth="1" min="18" max="18" width="10.5"/>
    <col customWidth="1" min="19" max="21" width="12.63"/>
    <col customWidth="1" min="22" max="27" width="8.63"/>
  </cols>
  <sheetData>
    <row r="1" ht="21.75" customHeight="1">
      <c r="A1" s="1"/>
      <c r="B1" s="2"/>
      <c r="C1" s="3" t="str">
        <f>ModelTitle</f>
        <v>Kendall DL use in cardiac monitoring associated with Coronary Artery Bypass Grafting (CABG)</v>
      </c>
      <c r="D1" s="4"/>
      <c r="E1" s="4"/>
      <c r="F1" s="4"/>
      <c r="G1" s="4"/>
      <c r="H1" s="4"/>
      <c r="I1" s="4"/>
      <c r="J1" s="4"/>
      <c r="K1" s="4"/>
      <c r="L1" s="4"/>
      <c r="M1" s="4"/>
      <c r="N1" s="4"/>
      <c r="O1" s="4"/>
      <c r="P1" s="4"/>
      <c r="Q1" s="4"/>
      <c r="R1" s="4"/>
      <c r="S1" s="4"/>
      <c r="T1" s="4"/>
      <c r="U1" s="5"/>
      <c r="V1" s="2"/>
      <c r="W1" s="2"/>
      <c r="X1" s="2"/>
      <c r="Y1" s="2"/>
      <c r="Z1" s="2"/>
      <c r="AA1" s="6"/>
    </row>
    <row r="2" ht="21.75" customHeight="1">
      <c r="A2" s="7"/>
      <c r="B2" s="8"/>
      <c r="C2" s="9" t="str">
        <f>ModelSubtitle</f>
        <v>Budget impact analysis in the United States of America</v>
      </c>
      <c r="D2" s="10"/>
      <c r="E2" s="10"/>
      <c r="F2" s="10"/>
      <c r="G2" s="10"/>
      <c r="H2" s="10"/>
      <c r="I2" s="10"/>
      <c r="J2" s="10"/>
      <c r="K2" s="10"/>
      <c r="L2" s="10"/>
      <c r="M2" s="10"/>
      <c r="N2" s="10"/>
      <c r="O2" s="10"/>
      <c r="P2" s="10"/>
      <c r="Q2" s="10"/>
      <c r="R2" s="10"/>
      <c r="S2" s="10"/>
      <c r="T2" s="10"/>
      <c r="U2" s="11"/>
      <c r="V2" s="8"/>
      <c r="W2" s="8"/>
      <c r="X2" s="8"/>
      <c r="Y2" s="8"/>
      <c r="Z2" s="8"/>
      <c r="AA2" s="6"/>
    </row>
    <row r="3" ht="14.25" customHeight="1">
      <c r="A3" s="12"/>
      <c r="B3" s="26"/>
      <c r="C3" s="26"/>
      <c r="D3" s="26"/>
      <c r="E3" s="26"/>
      <c r="F3" s="26"/>
      <c r="G3" s="26">
        <v>1000.0</v>
      </c>
      <c r="H3" s="26"/>
      <c r="I3" s="26"/>
      <c r="J3" s="26"/>
      <c r="K3" s="26"/>
      <c r="L3" s="26"/>
      <c r="M3" s="26"/>
      <c r="N3" s="26"/>
      <c r="O3" s="26"/>
      <c r="P3" s="26"/>
      <c r="Q3" s="26"/>
      <c r="R3" s="26"/>
      <c r="S3" s="26"/>
      <c r="T3" s="26"/>
      <c r="U3" s="26"/>
      <c r="V3" s="26"/>
      <c r="W3" s="26"/>
      <c r="X3" s="26"/>
      <c r="Y3" s="26"/>
      <c r="Z3" s="26"/>
      <c r="AA3" s="6"/>
    </row>
    <row r="4" ht="21.0" customHeight="1">
      <c r="A4" s="13" t="s">
        <v>2</v>
      </c>
      <c r="B4" s="14"/>
      <c r="C4" s="15" t="s">
        <v>458</v>
      </c>
      <c r="D4" s="15"/>
      <c r="E4" s="15"/>
      <c r="F4" s="16" t="s">
        <v>288</v>
      </c>
      <c r="G4" s="17"/>
      <c r="H4" s="17"/>
      <c r="I4" s="17"/>
      <c r="J4" s="17"/>
      <c r="K4" s="17"/>
      <c r="L4" s="17"/>
      <c r="M4" s="17"/>
      <c r="N4" s="17"/>
      <c r="O4" s="17"/>
      <c r="P4" s="17"/>
      <c r="Q4" s="17"/>
      <c r="R4" s="17"/>
      <c r="S4" s="17"/>
      <c r="T4" s="17"/>
      <c r="U4" s="17"/>
      <c r="V4" s="18"/>
      <c r="W4" s="14"/>
      <c r="X4" s="14"/>
      <c r="Y4" s="14"/>
      <c r="Z4" s="14"/>
      <c r="AA4" s="6"/>
    </row>
    <row r="5" ht="14.25" customHeight="1">
      <c r="A5" s="12"/>
      <c r="B5" s="26"/>
      <c r="C5" s="26"/>
      <c r="D5" s="26"/>
      <c r="E5" s="26"/>
      <c r="F5" s="26"/>
      <c r="G5" s="26"/>
      <c r="H5" s="26"/>
      <c r="I5" s="26"/>
      <c r="J5" s="26"/>
      <c r="K5" s="26"/>
      <c r="L5" s="26"/>
      <c r="M5" s="26"/>
      <c r="N5" s="26"/>
      <c r="O5" s="26"/>
      <c r="P5" s="26"/>
      <c r="Q5" s="26"/>
      <c r="R5" s="26"/>
      <c r="S5" s="26"/>
      <c r="T5" s="26"/>
      <c r="U5" s="26"/>
      <c r="V5" s="26"/>
      <c r="W5" s="26"/>
      <c r="X5" s="26"/>
      <c r="Y5" s="26"/>
      <c r="Z5" s="26"/>
      <c r="AA5" s="6"/>
    </row>
    <row r="6" ht="14.25" customHeight="1">
      <c r="A6" s="19" t="s">
        <v>7</v>
      </c>
      <c r="B6" s="6"/>
      <c r="C6" s="21"/>
      <c r="D6" s="21"/>
      <c r="E6" s="26"/>
      <c r="F6" s="21"/>
      <c r="G6" s="26"/>
      <c r="H6" s="26"/>
      <c r="I6" s="26"/>
      <c r="J6" s="26"/>
      <c r="K6" s="26"/>
      <c r="L6" s="26"/>
      <c r="M6" s="26"/>
      <c r="N6" s="26"/>
      <c r="O6" s="6"/>
      <c r="P6" s="6"/>
      <c r="Q6" s="6"/>
      <c r="R6" s="6"/>
      <c r="S6" s="6"/>
      <c r="T6" s="6"/>
      <c r="U6" s="6"/>
      <c r="V6" s="6"/>
      <c r="W6" s="6"/>
      <c r="X6" s="6"/>
      <c r="Y6" s="6"/>
      <c r="Z6" s="6"/>
      <c r="AA6" s="6"/>
    </row>
    <row r="7" ht="14.25" customHeight="1">
      <c r="A7" s="12"/>
      <c r="B7" s="6"/>
      <c r="C7" t="s">
        <v>459</v>
      </c>
      <c r="D7" s="26"/>
      <c r="E7" s="26"/>
      <c r="F7" s="26"/>
      <c r="G7" s="26"/>
      <c r="H7" s="26"/>
      <c r="I7" s="26"/>
      <c r="J7" s="26"/>
      <c r="K7" s="26"/>
      <c r="L7" s="26"/>
      <c r="M7" s="26"/>
      <c r="N7" s="6"/>
      <c r="O7" s="6"/>
      <c r="P7" s="6"/>
      <c r="Q7" s="6"/>
      <c r="R7" s="6"/>
      <c r="S7" s="26"/>
      <c r="T7" s="6"/>
      <c r="U7" s="6"/>
      <c r="V7" s="6"/>
      <c r="W7" s="6"/>
      <c r="X7" s="6"/>
      <c r="Y7" s="6"/>
      <c r="Z7" s="6"/>
      <c r="AA7" s="6"/>
    </row>
    <row r="8" ht="14.25" customHeight="1">
      <c r="A8" s="19" t="s">
        <v>4</v>
      </c>
      <c r="B8" s="6"/>
      <c r="D8" s="26"/>
      <c r="E8" s="26"/>
      <c r="F8" s="26"/>
      <c r="G8" s="26"/>
      <c r="H8" s="26"/>
      <c r="I8" s="26"/>
      <c r="J8" s="26"/>
      <c r="K8" s="26"/>
      <c r="L8" s="26"/>
      <c r="M8" s="26"/>
      <c r="N8" s="6"/>
      <c r="O8" s="6"/>
      <c r="P8" s="6"/>
      <c r="Q8" s="6"/>
      <c r="R8" s="6"/>
      <c r="S8" s="93"/>
      <c r="T8" s="93"/>
      <c r="U8" s="93"/>
      <c r="V8" s="6"/>
      <c r="W8" s="6"/>
      <c r="X8" s="6"/>
      <c r="Y8" s="6"/>
      <c r="Z8" s="6"/>
      <c r="AA8" s="6"/>
    </row>
    <row r="9" ht="14.25" customHeight="1">
      <c r="A9" s="12"/>
      <c r="B9" s="6"/>
      <c r="C9" s="152" t="s">
        <v>460</v>
      </c>
      <c r="D9" s="26"/>
      <c r="E9" s="26"/>
      <c r="F9" s="26"/>
      <c r="G9" s="26"/>
      <c r="H9" s="26"/>
      <c r="I9" s="26"/>
      <c r="J9" s="26"/>
      <c r="K9" s="26"/>
      <c r="L9" s="26"/>
      <c r="M9" s="26"/>
      <c r="N9" s="6"/>
      <c r="O9" s="6"/>
      <c r="P9" s="6"/>
      <c r="Q9" s="6"/>
      <c r="R9" s="6"/>
      <c r="S9" s="93"/>
      <c r="T9" s="93"/>
      <c r="U9" s="93"/>
      <c r="V9" s="6"/>
      <c r="W9" s="6"/>
      <c r="X9" s="6"/>
      <c r="Y9" s="6"/>
      <c r="Z9" s="6"/>
      <c r="AA9" s="6"/>
    </row>
    <row r="10" ht="14.25" customHeight="1">
      <c r="A10" s="19" t="s">
        <v>3</v>
      </c>
      <c r="B10" s="6"/>
      <c r="D10" s="26"/>
      <c r="E10" s="26"/>
      <c r="F10" s="26"/>
      <c r="G10" s="26"/>
      <c r="H10" s="26"/>
      <c r="I10" s="26"/>
      <c r="J10" s="26"/>
      <c r="K10" s="26"/>
      <c r="L10" s="26"/>
      <c r="M10" s="26"/>
      <c r="N10" s="6"/>
      <c r="O10" s="6"/>
      <c r="P10" s="6"/>
      <c r="Q10" s="6"/>
      <c r="R10" s="6"/>
      <c r="S10" s="93"/>
      <c r="T10" s="93"/>
      <c r="U10" s="93"/>
      <c r="V10" s="6"/>
      <c r="W10" s="6"/>
      <c r="X10" s="6"/>
      <c r="Y10" s="6"/>
      <c r="Z10" s="6"/>
      <c r="AA10" s="6"/>
    </row>
    <row r="11" ht="14.25" customHeight="1">
      <c r="A11" s="12"/>
      <c r="B11" s="6"/>
      <c r="C11" s="153" t="s">
        <v>461</v>
      </c>
      <c r="D11" s="26"/>
      <c r="E11" s="26"/>
      <c r="F11" s="26"/>
      <c r="G11" s="26"/>
      <c r="H11" s="26"/>
      <c r="I11" s="26"/>
      <c r="J11" s="26"/>
      <c r="K11" s="26"/>
      <c r="L11" s="26"/>
      <c r="M11" s="26"/>
      <c r="N11" s="6"/>
      <c r="O11" s="6"/>
      <c r="P11" s="6"/>
      <c r="Q11" s="6"/>
      <c r="R11" s="6"/>
      <c r="S11" s="6"/>
      <c r="T11" s="6"/>
      <c r="U11" s="6"/>
      <c r="V11" s="6"/>
      <c r="W11" s="6"/>
      <c r="X11" s="6"/>
      <c r="Y11" s="6"/>
      <c r="Z11" s="6"/>
      <c r="AA11" s="6"/>
    </row>
    <row r="12" ht="14.25" customHeight="1">
      <c r="A12" s="60" t="s">
        <v>22</v>
      </c>
      <c r="B12" s="6"/>
      <c r="C12" s="153" t="s">
        <v>462</v>
      </c>
      <c r="D12" s="26"/>
      <c r="E12" s="26"/>
      <c r="F12" s="26"/>
      <c r="G12" s="26"/>
      <c r="H12" s="26"/>
      <c r="I12" s="26"/>
      <c r="J12" s="26"/>
      <c r="K12" s="26"/>
      <c r="L12" s="26"/>
      <c r="M12" s="26"/>
      <c r="N12" s="6"/>
      <c r="O12" s="6"/>
      <c r="P12" s="6"/>
      <c r="Q12" s="6"/>
      <c r="R12" s="6"/>
      <c r="S12" s="6"/>
      <c r="T12" s="6"/>
      <c r="U12" s="6"/>
      <c r="V12" s="6"/>
      <c r="W12" s="6"/>
      <c r="X12" s="6"/>
      <c r="Y12" s="6"/>
      <c r="Z12" s="6"/>
      <c r="AA12" s="6"/>
    </row>
    <row r="13" ht="14.25" customHeight="1">
      <c r="A13" s="12"/>
      <c r="B13" s="6"/>
      <c r="D13" s="26"/>
      <c r="E13" s="26"/>
      <c r="F13" s="26"/>
      <c r="G13" s="26"/>
      <c r="H13" s="26"/>
      <c r="I13" s="26"/>
      <c r="J13" s="26"/>
      <c r="K13" s="26"/>
      <c r="L13" s="26"/>
      <c r="M13" s="26"/>
      <c r="N13" s="6"/>
      <c r="O13" s="6"/>
      <c r="P13" s="6"/>
      <c r="Q13" s="6"/>
      <c r="R13" s="6"/>
      <c r="S13" s="6"/>
      <c r="T13" s="6"/>
      <c r="U13" s="6"/>
      <c r="V13" s="6"/>
      <c r="W13" s="6"/>
      <c r="X13" s="6"/>
      <c r="Y13" s="6"/>
      <c r="Z13" s="6"/>
      <c r="AA13" s="6"/>
    </row>
    <row r="14" ht="14.25" customHeight="1">
      <c r="A14" s="60" t="s">
        <v>27</v>
      </c>
      <c r="B14" s="6"/>
      <c r="C14" s="153" t="s">
        <v>463</v>
      </c>
      <c r="D14" s="26"/>
      <c r="E14" s="26"/>
      <c r="F14" s="26"/>
      <c r="G14" s="26"/>
      <c r="H14" s="26"/>
      <c r="I14" s="26"/>
      <c r="J14" s="26"/>
      <c r="K14" s="26"/>
      <c r="L14" s="26"/>
      <c r="M14" s="26"/>
      <c r="N14" s="6"/>
      <c r="O14" s="6"/>
      <c r="P14" s="6"/>
      <c r="Q14" s="6"/>
      <c r="R14" s="6"/>
      <c r="S14" s="6"/>
      <c r="T14" s="6"/>
      <c r="U14" s="6"/>
      <c r="V14" s="6"/>
      <c r="W14" s="6"/>
      <c r="X14" s="6"/>
      <c r="Y14" s="6"/>
      <c r="Z14" s="6"/>
      <c r="AA14" s="6"/>
    </row>
    <row r="15" ht="14.25" customHeight="1">
      <c r="A15" s="12"/>
      <c r="B15" s="6"/>
      <c r="C15" s="153" t="s">
        <v>464</v>
      </c>
      <c r="D15" s="26"/>
      <c r="E15" s="26"/>
      <c r="F15" s="26"/>
      <c r="G15" s="26"/>
      <c r="H15" s="26"/>
      <c r="I15" s="26"/>
      <c r="J15" s="26"/>
      <c r="K15" s="26"/>
      <c r="L15" s="26"/>
      <c r="M15" s="26"/>
      <c r="N15" s="6"/>
      <c r="O15" s="6"/>
      <c r="P15" s="6"/>
      <c r="Q15" s="6"/>
      <c r="R15" s="6"/>
      <c r="S15" s="6"/>
      <c r="T15" s="6"/>
      <c r="U15" s="6"/>
      <c r="V15" s="6"/>
      <c r="W15" s="6"/>
      <c r="X15" s="6"/>
      <c r="Y15" s="6"/>
      <c r="Z15" s="6"/>
      <c r="AA15" s="6"/>
    </row>
    <row r="16" ht="14.25" customHeight="1">
      <c r="A16" s="60" t="s">
        <v>35</v>
      </c>
      <c r="B16" s="6"/>
      <c r="C16" s="153" t="s">
        <v>465</v>
      </c>
      <c r="D16" s="26"/>
      <c r="E16" s="26"/>
      <c r="F16" s="26"/>
      <c r="G16" s="26"/>
      <c r="H16" s="26"/>
      <c r="I16" s="26"/>
      <c r="J16" s="26"/>
      <c r="K16" s="26"/>
      <c r="L16" s="26"/>
      <c r="M16" s="26"/>
      <c r="N16" s="6"/>
      <c r="O16" s="6"/>
      <c r="P16" s="6"/>
      <c r="Q16" s="6"/>
      <c r="R16" s="6"/>
      <c r="S16" s="6"/>
      <c r="T16" s="6"/>
      <c r="U16" s="6"/>
      <c r="V16" s="6"/>
      <c r="W16" s="6"/>
      <c r="X16" s="6"/>
      <c r="Y16" s="6"/>
      <c r="Z16" s="6"/>
      <c r="AA16" s="6"/>
    </row>
    <row r="17" ht="14.25" customHeight="1">
      <c r="A17" s="12"/>
      <c r="B17" s="6"/>
      <c r="C17" s="153" t="s">
        <v>466</v>
      </c>
      <c r="D17" s="26"/>
      <c r="E17" s="26"/>
      <c r="F17" s="26"/>
      <c r="G17" s="26"/>
      <c r="H17" s="26"/>
      <c r="I17" s="26"/>
      <c r="J17" s="26"/>
      <c r="K17" s="26"/>
      <c r="L17" s="26"/>
      <c r="M17" s="26"/>
      <c r="N17" s="6"/>
      <c r="O17" s="6"/>
      <c r="P17" s="6"/>
      <c r="Q17" s="6"/>
      <c r="R17" s="6"/>
      <c r="S17" s="6"/>
      <c r="T17" s="6"/>
      <c r="U17" s="6"/>
      <c r="V17" s="6"/>
      <c r="W17" s="6"/>
      <c r="X17" s="6"/>
      <c r="Y17" s="6"/>
      <c r="Z17" s="6"/>
      <c r="AA17" s="6"/>
    </row>
    <row r="18" ht="14.25" customHeight="1">
      <c r="A18" s="60" t="s">
        <v>38</v>
      </c>
      <c r="B18" s="6"/>
      <c r="C18" s="153" t="s">
        <v>467</v>
      </c>
      <c r="D18" s="26"/>
      <c r="E18" s="26"/>
      <c r="F18" s="26"/>
      <c r="G18" s="26"/>
      <c r="H18" s="26"/>
      <c r="I18" s="26"/>
      <c r="J18" s="26"/>
      <c r="K18" s="26"/>
      <c r="L18" s="26"/>
      <c r="M18" s="26"/>
      <c r="N18" s="6"/>
      <c r="O18" s="6"/>
      <c r="P18" s="6"/>
      <c r="Q18" s="6"/>
      <c r="R18" s="6"/>
      <c r="S18" s="6"/>
      <c r="T18" s="6"/>
      <c r="U18" s="6"/>
      <c r="V18" s="6"/>
      <c r="W18" s="6"/>
      <c r="X18" s="6"/>
      <c r="Y18" s="6"/>
      <c r="Z18" s="6"/>
      <c r="AA18" s="6"/>
    </row>
    <row r="19" ht="14.25" customHeight="1">
      <c r="A19" s="12"/>
      <c r="B19" s="6"/>
      <c r="D19" s="26"/>
      <c r="E19" s="26"/>
      <c r="F19" s="26"/>
      <c r="G19" s="26"/>
      <c r="H19" s="26"/>
      <c r="I19" s="26"/>
      <c r="J19" s="26"/>
      <c r="K19" s="26"/>
      <c r="L19" s="26"/>
      <c r="M19" s="26"/>
      <c r="N19" s="6"/>
      <c r="O19" s="6"/>
      <c r="P19" s="6"/>
      <c r="Q19" s="6"/>
      <c r="R19" s="6"/>
      <c r="S19" s="6"/>
      <c r="T19" s="6"/>
      <c r="U19" s="6"/>
      <c r="V19" s="6"/>
      <c r="W19" s="6"/>
      <c r="X19" s="6"/>
      <c r="Y19" s="6"/>
      <c r="Z19" s="6"/>
      <c r="AA19" s="6"/>
    </row>
    <row r="20" ht="14.25" customHeight="1">
      <c r="A20" s="60" t="s">
        <v>183</v>
      </c>
      <c r="B20" s="6"/>
      <c r="D20" s="26"/>
      <c r="E20" s="26"/>
      <c r="F20" s="26"/>
      <c r="G20" s="26"/>
      <c r="H20" s="26"/>
      <c r="I20" s="26"/>
      <c r="J20" s="26"/>
      <c r="K20" s="26"/>
      <c r="L20" s="26"/>
      <c r="M20" s="26"/>
      <c r="N20" s="6"/>
      <c r="O20" s="6"/>
      <c r="P20" s="6"/>
      <c r="Q20" s="6"/>
      <c r="R20" s="6"/>
      <c r="S20" s="6"/>
      <c r="T20" s="6"/>
      <c r="U20" s="6"/>
      <c r="V20" s="6"/>
      <c r="W20" s="6"/>
      <c r="X20" s="6"/>
      <c r="Y20" s="6"/>
      <c r="Z20" s="6"/>
      <c r="AA20" s="6"/>
    </row>
    <row r="21" ht="14.25" customHeight="1">
      <c r="A21" s="12"/>
      <c r="B21" s="6"/>
      <c r="C21" s="154" t="s">
        <v>468</v>
      </c>
      <c r="D21" s="155" t="s">
        <v>469</v>
      </c>
      <c r="E21" s="155" t="s">
        <v>12</v>
      </c>
      <c r="F21" s="26"/>
      <c r="G21" s="26"/>
      <c r="H21" s="26"/>
      <c r="I21" s="26"/>
      <c r="J21" s="26"/>
      <c r="K21" s="26"/>
      <c r="L21" s="26"/>
      <c r="M21" s="26"/>
      <c r="N21" s="6"/>
      <c r="O21" s="6"/>
      <c r="P21" s="6"/>
      <c r="Q21" s="6"/>
      <c r="R21" s="6"/>
      <c r="S21" s="6"/>
      <c r="T21" s="6"/>
      <c r="U21" s="6"/>
      <c r="V21" s="6"/>
      <c r="W21" s="6"/>
      <c r="X21" s="6"/>
      <c r="Y21" s="6"/>
      <c r="Z21" s="6"/>
      <c r="AA21" s="6"/>
    </row>
    <row r="22" ht="14.25" customHeight="1">
      <c r="A22" s="12"/>
      <c r="B22" s="6"/>
      <c r="C22" s="153">
        <v>2000.0</v>
      </c>
      <c r="D22" s="26">
        <v>4.1</v>
      </c>
      <c r="E22" s="56">
        <v>100.0</v>
      </c>
      <c r="F22" s="26"/>
      <c r="G22" s="26"/>
      <c r="H22" s="26"/>
      <c r="I22" s="26"/>
      <c r="J22" s="26"/>
      <c r="K22" s="26"/>
      <c r="L22" s="26"/>
      <c r="M22" s="26"/>
      <c r="N22" s="6"/>
      <c r="O22" s="6"/>
      <c r="P22" s="6"/>
      <c r="Q22" s="6"/>
      <c r="R22" s="6"/>
      <c r="S22" s="6"/>
      <c r="T22" s="6"/>
      <c r="U22" s="6"/>
      <c r="V22" s="6"/>
      <c r="W22" s="6"/>
      <c r="X22" s="6"/>
      <c r="Y22" s="6"/>
      <c r="Z22" s="6"/>
      <c r="AA22" s="6"/>
    </row>
    <row r="23" ht="14.25" customHeight="1">
      <c r="A23" s="12"/>
      <c r="B23" s="6"/>
      <c r="C23" s="153">
        <v>2001.0</v>
      </c>
      <c r="D23" s="26">
        <v>4.6</v>
      </c>
      <c r="E23" s="56">
        <f t="shared" ref="E23:E38" si="1">E22/100*(100+D23)</f>
        <v>104.6</v>
      </c>
      <c r="F23" s="26"/>
      <c r="G23" s="26"/>
      <c r="H23" s="26"/>
      <c r="I23" s="26"/>
      <c r="J23" s="26"/>
      <c r="K23" s="26"/>
      <c r="L23" s="26"/>
      <c r="M23" s="26"/>
      <c r="N23" s="6"/>
      <c r="O23" s="6"/>
      <c r="P23" s="6"/>
      <c r="Q23" s="6"/>
      <c r="R23" s="6"/>
      <c r="S23" s="6"/>
      <c r="T23" s="6"/>
      <c r="U23" s="6"/>
      <c r="V23" s="6"/>
      <c r="W23" s="6"/>
      <c r="X23" s="6"/>
      <c r="Y23" s="6"/>
      <c r="Z23" s="6"/>
      <c r="AA23" s="6"/>
    </row>
    <row r="24" ht="14.25" customHeight="1">
      <c r="A24" s="12"/>
      <c r="B24" s="6"/>
      <c r="C24" s="153">
        <v>2002.0</v>
      </c>
      <c r="D24" s="6">
        <v>4.7</v>
      </c>
      <c r="E24" s="56">
        <f t="shared" si="1"/>
        <v>109.5162</v>
      </c>
      <c r="F24" s="6"/>
      <c r="G24" s="6"/>
      <c r="H24" s="6"/>
      <c r="I24" s="6"/>
      <c r="J24" s="6"/>
      <c r="K24" s="6"/>
      <c r="L24" s="6"/>
      <c r="M24" s="6"/>
      <c r="N24" s="6"/>
      <c r="O24" s="6"/>
      <c r="P24" s="6"/>
      <c r="Q24" s="6"/>
      <c r="R24" s="6"/>
      <c r="S24" s="6"/>
      <c r="T24" s="6"/>
      <c r="U24" s="6"/>
      <c r="V24" s="6"/>
      <c r="W24" s="6"/>
      <c r="X24" s="6"/>
      <c r="Y24" s="6"/>
      <c r="Z24" s="6"/>
      <c r="AA24" s="6"/>
    </row>
    <row r="25" ht="14.25" customHeight="1">
      <c r="A25" s="12"/>
      <c r="B25" s="6"/>
      <c r="C25" s="153">
        <v>2003.0</v>
      </c>
      <c r="D25" s="6">
        <v>4.0</v>
      </c>
      <c r="E25" s="56">
        <f t="shared" si="1"/>
        <v>113.896848</v>
      </c>
      <c r="F25" s="6"/>
      <c r="G25" s="6"/>
      <c r="H25" s="6"/>
      <c r="I25" s="6"/>
      <c r="J25" s="6"/>
      <c r="K25" s="6"/>
      <c r="L25" s="6"/>
      <c r="M25" s="6"/>
      <c r="N25" s="6"/>
      <c r="O25" s="6"/>
      <c r="P25" s="6"/>
      <c r="Q25" s="6"/>
      <c r="R25" s="6"/>
      <c r="S25" s="6"/>
      <c r="T25" s="6"/>
      <c r="U25" s="6"/>
      <c r="V25" s="6"/>
      <c r="W25" s="6"/>
      <c r="X25" s="6"/>
      <c r="Y25" s="6"/>
      <c r="Z25" s="6"/>
      <c r="AA25" s="6"/>
    </row>
    <row r="26" ht="14.25" customHeight="1">
      <c r="A26" s="12"/>
      <c r="B26" s="6"/>
      <c r="C26" s="153">
        <v>2004.0</v>
      </c>
      <c r="D26" s="6">
        <v>4.4</v>
      </c>
      <c r="E26" s="56">
        <f t="shared" si="1"/>
        <v>118.9083093</v>
      </c>
      <c r="F26" s="6"/>
      <c r="G26" s="6"/>
      <c r="H26" s="6"/>
      <c r="I26" s="6"/>
      <c r="J26" s="6"/>
      <c r="K26" s="6"/>
      <c r="L26" s="6"/>
      <c r="M26" s="6"/>
      <c r="N26" s="6"/>
      <c r="O26" s="6"/>
      <c r="P26" s="6"/>
      <c r="Q26" s="6"/>
      <c r="R26" s="6"/>
      <c r="S26" s="6"/>
      <c r="T26" s="6"/>
      <c r="U26" s="6"/>
      <c r="V26" s="6"/>
      <c r="W26" s="6"/>
      <c r="X26" s="6"/>
      <c r="Y26" s="6"/>
      <c r="Z26" s="6"/>
      <c r="AA26" s="6"/>
    </row>
    <row r="27" ht="14.25" customHeight="1">
      <c r="A27" s="12"/>
      <c r="B27" s="6"/>
      <c r="C27" s="153">
        <v>2005.0</v>
      </c>
      <c r="D27" s="6">
        <v>4.2</v>
      </c>
      <c r="E27" s="56">
        <f t="shared" si="1"/>
        <v>123.9024583</v>
      </c>
      <c r="F27" s="6"/>
      <c r="G27" s="6"/>
      <c r="H27" s="6"/>
      <c r="I27" s="6"/>
      <c r="J27" s="6"/>
      <c r="K27" s="6"/>
      <c r="L27" s="6"/>
      <c r="M27" s="6"/>
      <c r="N27" s="6"/>
      <c r="O27" s="6"/>
      <c r="P27" s="6"/>
      <c r="Q27" s="6"/>
      <c r="R27" s="6"/>
      <c r="S27" s="6"/>
      <c r="T27" s="6"/>
      <c r="U27" s="6"/>
      <c r="V27" s="6"/>
      <c r="W27" s="6"/>
      <c r="X27" s="6"/>
      <c r="Y27" s="6"/>
      <c r="Z27" s="6"/>
      <c r="AA27" s="6"/>
    </row>
    <row r="28" ht="14.25" customHeight="1">
      <c r="A28" s="12"/>
      <c r="B28" s="6"/>
      <c r="C28" s="153">
        <v>2006.0</v>
      </c>
      <c r="D28" s="6">
        <v>4.0</v>
      </c>
      <c r="E28" s="56">
        <f t="shared" si="1"/>
        <v>128.8585566</v>
      </c>
      <c r="F28" s="6"/>
      <c r="G28" s="6"/>
      <c r="H28" s="6"/>
      <c r="I28" s="6"/>
      <c r="J28" s="6"/>
      <c r="K28" s="6"/>
      <c r="L28" s="6"/>
      <c r="M28" s="6"/>
      <c r="N28" s="6"/>
      <c r="O28" s="6"/>
      <c r="P28" s="6"/>
      <c r="Q28" s="6"/>
      <c r="R28" s="6"/>
      <c r="S28" s="6"/>
      <c r="T28" s="6"/>
      <c r="U28" s="6"/>
      <c r="V28" s="6"/>
      <c r="W28" s="6"/>
      <c r="X28" s="6"/>
      <c r="Y28" s="6"/>
      <c r="Z28" s="6"/>
      <c r="AA28" s="6"/>
    </row>
    <row r="29" ht="14.25" customHeight="1">
      <c r="A29" s="12"/>
      <c r="B29" s="6"/>
      <c r="C29" s="153">
        <v>2007.0</v>
      </c>
      <c r="D29" s="6">
        <v>4.4</v>
      </c>
      <c r="E29" s="56">
        <f t="shared" si="1"/>
        <v>134.5283331</v>
      </c>
      <c r="F29" s="6"/>
      <c r="G29" s="6"/>
      <c r="H29" s="6"/>
      <c r="I29" s="6"/>
      <c r="J29" s="6"/>
      <c r="K29" s="6"/>
      <c r="L29" s="6"/>
      <c r="M29" s="6"/>
      <c r="N29" s="6"/>
      <c r="O29" s="6"/>
      <c r="P29" s="6"/>
      <c r="Q29" s="6"/>
      <c r="R29" s="6"/>
      <c r="S29" s="6"/>
      <c r="T29" s="6"/>
      <c r="U29" s="6"/>
      <c r="V29" s="6"/>
      <c r="W29" s="6"/>
      <c r="X29" s="6"/>
      <c r="Y29" s="6"/>
      <c r="Z29" s="6"/>
      <c r="AA29" s="6"/>
    </row>
    <row r="30" ht="14.25" customHeight="1">
      <c r="A30" s="12"/>
      <c r="B30" s="6"/>
      <c r="C30" s="153">
        <v>2008.0</v>
      </c>
      <c r="D30" s="6">
        <v>3.7</v>
      </c>
      <c r="E30" s="56">
        <f t="shared" si="1"/>
        <v>139.5058815</v>
      </c>
      <c r="F30" s="6"/>
      <c r="G30" s="6"/>
      <c r="H30" s="6"/>
      <c r="I30" s="6"/>
      <c r="J30" s="6"/>
      <c r="K30" s="6"/>
      <c r="L30" s="6"/>
      <c r="M30" s="6"/>
      <c r="N30" s="6"/>
      <c r="O30" s="6"/>
      <c r="P30" s="6"/>
      <c r="Q30" s="6"/>
      <c r="R30" s="6"/>
      <c r="S30" s="6"/>
      <c r="T30" s="6"/>
      <c r="U30" s="6"/>
      <c r="V30" s="6"/>
      <c r="W30" s="6"/>
      <c r="X30" s="6"/>
      <c r="Y30" s="6"/>
      <c r="Z30" s="6"/>
      <c r="AA30" s="6"/>
    </row>
    <row r="31" ht="14.25" customHeight="1">
      <c r="A31" s="12"/>
      <c r="B31" s="6"/>
      <c r="C31" s="153">
        <v>2009.0</v>
      </c>
      <c r="D31" s="6">
        <v>3.2</v>
      </c>
      <c r="E31" s="56">
        <f t="shared" si="1"/>
        <v>143.9700697</v>
      </c>
      <c r="F31" s="6"/>
      <c r="G31" s="6"/>
      <c r="H31" s="6"/>
      <c r="I31" s="6"/>
      <c r="J31" s="6"/>
      <c r="K31" s="6"/>
      <c r="L31" s="6"/>
      <c r="M31" s="6"/>
      <c r="N31" s="6"/>
      <c r="O31" s="6"/>
      <c r="P31" s="6"/>
      <c r="Q31" s="6"/>
      <c r="R31" s="6"/>
      <c r="S31" s="6"/>
      <c r="T31" s="6"/>
      <c r="U31" s="6"/>
      <c r="V31" s="6"/>
      <c r="W31" s="6"/>
      <c r="X31" s="6"/>
      <c r="Y31" s="6"/>
      <c r="Z31" s="6"/>
      <c r="AA31" s="6"/>
    </row>
    <row r="32" ht="14.25" customHeight="1">
      <c r="A32" s="12"/>
      <c r="B32" s="6"/>
      <c r="C32" s="153">
        <v>2010.0</v>
      </c>
      <c r="D32" s="6">
        <v>3.4</v>
      </c>
      <c r="E32" s="56">
        <f t="shared" si="1"/>
        <v>148.865052</v>
      </c>
      <c r="F32" s="6"/>
      <c r="G32" s="6"/>
      <c r="H32" s="6"/>
      <c r="I32" s="6"/>
      <c r="J32" s="6"/>
      <c r="K32" s="6"/>
      <c r="L32" s="6"/>
      <c r="M32" s="6"/>
      <c r="N32" s="6"/>
      <c r="O32" s="6"/>
      <c r="P32" s="6"/>
      <c r="Q32" s="6"/>
      <c r="R32" s="6"/>
      <c r="S32" s="6"/>
      <c r="T32" s="6"/>
      <c r="U32" s="6"/>
      <c r="V32" s="6"/>
      <c r="W32" s="6"/>
      <c r="X32" s="6"/>
      <c r="Y32" s="6"/>
      <c r="Z32" s="6"/>
      <c r="AA32" s="6"/>
    </row>
    <row r="33" ht="14.25" customHeight="1">
      <c r="A33" s="12"/>
      <c r="B33" s="6"/>
      <c r="C33" s="153">
        <v>2011.0</v>
      </c>
      <c r="D33" s="6">
        <v>3.0</v>
      </c>
      <c r="E33" s="56">
        <f t="shared" si="1"/>
        <v>153.3310036</v>
      </c>
      <c r="F33" s="6"/>
      <c r="G33" s="6"/>
      <c r="H33" s="6"/>
      <c r="I33" s="6"/>
      <c r="J33" s="6"/>
      <c r="K33" s="6"/>
      <c r="L33" s="6"/>
      <c r="M33" s="6"/>
      <c r="N33" s="6"/>
      <c r="O33" s="6"/>
      <c r="P33" s="6"/>
      <c r="Q33" s="6"/>
      <c r="R33" s="6"/>
      <c r="S33" s="6"/>
      <c r="T33" s="6"/>
      <c r="U33" s="6"/>
      <c r="V33" s="6"/>
      <c r="W33" s="6"/>
      <c r="X33" s="6"/>
      <c r="Y33" s="6"/>
      <c r="Z33" s="6"/>
      <c r="AA33" s="6"/>
    </row>
    <row r="34" ht="14.25" customHeight="1">
      <c r="A34" s="12"/>
      <c r="B34" s="6"/>
      <c r="C34" s="153">
        <v>2012.0</v>
      </c>
      <c r="D34" s="6">
        <v>3.7</v>
      </c>
      <c r="E34" s="56">
        <f t="shared" si="1"/>
        <v>159.0042507</v>
      </c>
      <c r="F34" s="6"/>
      <c r="G34" s="6"/>
      <c r="H34" s="6"/>
      <c r="I34" s="6"/>
      <c r="J34" s="6"/>
      <c r="K34" s="6"/>
      <c r="L34" s="6"/>
      <c r="M34" s="6"/>
      <c r="N34" s="6"/>
      <c r="O34" s="6"/>
      <c r="P34" s="6"/>
      <c r="Q34" s="6"/>
      <c r="R34" s="6"/>
      <c r="S34" s="6"/>
      <c r="T34" s="6"/>
      <c r="U34" s="6"/>
      <c r="V34" s="6"/>
      <c r="W34" s="6"/>
      <c r="X34" s="6"/>
      <c r="Y34" s="6"/>
      <c r="Z34" s="6"/>
      <c r="AA34" s="6"/>
    </row>
    <row r="35" ht="14.25" customHeight="1">
      <c r="A35" s="12"/>
      <c r="B35" s="6"/>
      <c r="C35" s="153">
        <v>2013.0</v>
      </c>
      <c r="D35" s="6">
        <v>2.5</v>
      </c>
      <c r="E35" s="56">
        <f t="shared" si="1"/>
        <v>162.979357</v>
      </c>
      <c r="F35" s="6"/>
      <c r="G35" s="6"/>
      <c r="H35" s="6"/>
      <c r="I35" s="6"/>
      <c r="J35" s="6"/>
      <c r="K35" s="6"/>
      <c r="L35" s="6"/>
      <c r="M35" s="6"/>
      <c r="N35" s="6"/>
      <c r="O35" s="6"/>
      <c r="P35" s="6"/>
      <c r="Q35" s="6"/>
      <c r="R35" s="6"/>
      <c r="S35" s="6"/>
      <c r="T35" s="6"/>
      <c r="U35" s="6"/>
      <c r="V35" s="6"/>
      <c r="W35" s="6"/>
      <c r="X35" s="6"/>
      <c r="Y35" s="6"/>
      <c r="Z35" s="6"/>
      <c r="AA35" s="6"/>
    </row>
    <row r="36" ht="14.25" customHeight="1">
      <c r="A36" s="12"/>
      <c r="B36" s="6"/>
      <c r="C36" s="153">
        <v>2014.0</v>
      </c>
      <c r="D36" s="6">
        <v>2.4</v>
      </c>
      <c r="E36" s="56">
        <f t="shared" si="1"/>
        <v>166.8908616</v>
      </c>
      <c r="F36" s="6"/>
      <c r="G36" s="6"/>
      <c r="H36" s="6"/>
      <c r="I36" s="6"/>
      <c r="J36" s="6"/>
      <c r="K36" s="6"/>
      <c r="L36" s="6"/>
      <c r="M36" s="6"/>
      <c r="N36" s="6"/>
      <c r="O36" s="6"/>
      <c r="P36" s="6"/>
      <c r="Q36" s="6"/>
      <c r="R36" s="6"/>
      <c r="S36" s="6"/>
      <c r="T36" s="6"/>
      <c r="U36" s="6"/>
      <c r="V36" s="6"/>
      <c r="W36" s="6"/>
      <c r="X36" s="6"/>
      <c r="Y36" s="6"/>
      <c r="Z36" s="6"/>
      <c r="AA36" s="6"/>
    </row>
    <row r="37" ht="14.25" customHeight="1">
      <c r="A37" s="12"/>
      <c r="B37" s="6"/>
      <c r="C37" s="153">
        <v>2015.0</v>
      </c>
      <c r="D37" s="6">
        <v>2.6</v>
      </c>
      <c r="E37" s="56">
        <f t="shared" si="1"/>
        <v>171.230024</v>
      </c>
      <c r="F37" s="6"/>
      <c r="G37" s="6"/>
      <c r="H37" s="6"/>
      <c r="I37" s="6"/>
      <c r="J37" s="6"/>
      <c r="K37" s="6"/>
      <c r="L37" s="6"/>
      <c r="M37" s="6"/>
      <c r="N37" s="6"/>
      <c r="O37" s="6"/>
      <c r="P37" s="6"/>
      <c r="Q37" s="6"/>
      <c r="R37" s="6"/>
      <c r="S37" s="6"/>
      <c r="T37" s="6"/>
      <c r="U37" s="6"/>
      <c r="V37" s="6"/>
      <c r="W37" s="6"/>
      <c r="X37" s="6"/>
      <c r="Y37" s="6"/>
      <c r="Z37" s="6"/>
      <c r="AA37" s="6"/>
    </row>
    <row r="38" ht="14.25" customHeight="1">
      <c r="A38" s="12"/>
      <c r="B38" s="6"/>
      <c r="C38" s="153">
        <v>2016.0</v>
      </c>
      <c r="D38" s="6">
        <v>3.8</v>
      </c>
      <c r="E38" s="56">
        <f t="shared" si="1"/>
        <v>177.7367649</v>
      </c>
      <c r="F38" s="6"/>
      <c r="G38" s="6"/>
      <c r="H38" s="6"/>
      <c r="I38" s="6"/>
      <c r="J38" s="6"/>
      <c r="K38" s="6"/>
      <c r="L38" s="6"/>
      <c r="M38" s="6"/>
      <c r="N38" s="6"/>
      <c r="O38" s="6"/>
      <c r="P38" s="6"/>
      <c r="Q38" s="6"/>
      <c r="R38" s="6"/>
      <c r="S38" s="6"/>
      <c r="T38" s="6"/>
      <c r="U38" s="6"/>
      <c r="V38" s="6"/>
      <c r="W38" s="6"/>
      <c r="X38" s="6"/>
      <c r="Y38" s="6"/>
      <c r="Z38" s="6"/>
      <c r="AA38" s="6"/>
    </row>
    <row r="39" ht="14.25" customHeight="1">
      <c r="A39" s="12"/>
      <c r="B39" s="6"/>
      <c r="C39" s="6"/>
      <c r="D39" s="6"/>
      <c r="E39" s="6"/>
      <c r="F39" s="6"/>
      <c r="G39" s="6"/>
      <c r="H39" s="6"/>
      <c r="I39" s="6"/>
      <c r="J39" s="6"/>
      <c r="K39" s="6"/>
      <c r="L39" s="6"/>
      <c r="M39" s="6"/>
      <c r="N39" s="6"/>
      <c r="O39" s="6"/>
      <c r="P39" s="6"/>
      <c r="Q39" s="6"/>
      <c r="R39" s="6"/>
      <c r="S39" s="6"/>
      <c r="T39" s="6"/>
      <c r="U39" s="6"/>
      <c r="V39" s="6"/>
      <c r="W39" s="6"/>
      <c r="X39" s="6"/>
      <c r="Y39" s="6"/>
      <c r="Z39" s="6"/>
      <c r="AA39" s="6"/>
    </row>
    <row r="40" ht="14.25" customHeight="1">
      <c r="A40" s="12"/>
      <c r="B40" s="6"/>
      <c r="C40" s="6"/>
      <c r="D40" s="6"/>
      <c r="E40" s="6"/>
      <c r="F40" s="6"/>
      <c r="G40" s="6"/>
      <c r="H40" s="6"/>
      <c r="I40" s="6"/>
      <c r="J40" s="6"/>
      <c r="K40" s="6"/>
      <c r="L40" s="6"/>
      <c r="M40" s="6"/>
      <c r="N40" s="6"/>
      <c r="O40" s="6"/>
      <c r="P40" s="6"/>
      <c r="Q40" s="6"/>
      <c r="R40" s="6"/>
      <c r="S40" s="6"/>
      <c r="T40" s="6"/>
      <c r="U40" s="6"/>
      <c r="V40" s="6"/>
      <c r="W40" s="6"/>
      <c r="X40" s="6"/>
      <c r="Y40" s="6"/>
      <c r="Z40" s="6"/>
      <c r="AA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row>
    <row r="1008"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row>
    <row r="1009" ht="14.2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row>
    <row r="1010" ht="14.25" customHeight="1">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row>
    <row r="1011" ht="14.25" customHeight="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row>
    <row r="1012" ht="14.25" customHeight="1">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row>
    <row r="1013" ht="14.25" customHeight="1">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row>
    <row r="1014" ht="14.25" customHeight="1">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row>
    <row r="1015" ht="14.25" customHeight="1">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row>
    <row r="1016" ht="14.25" customHeight="1">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row>
    <row r="1017" ht="14.25" customHeight="1">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row>
    <row r="1018" ht="14.25" customHeight="1">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row>
    <row r="1019" ht="14.25" customHeight="1">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row>
    <row r="1020" ht="14.25" customHeight="1">
      <c r="A1020" s="6"/>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row>
    <row r="1021" ht="14.25" customHeight="1">
      <c r="A1021" s="6"/>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row>
    <row r="1022" ht="14.25" customHeight="1">
      <c r="A1022" s="6"/>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row>
    <row r="1023" ht="14.25" customHeight="1">
      <c r="A1023" s="6"/>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row>
    <row r="1024" ht="14.25" customHeight="1">
      <c r="A1024" s="6"/>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row>
    <row r="1025" ht="14.25" customHeight="1">
      <c r="A1025" s="6"/>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row>
    <row r="1026" ht="14.25" customHeight="1">
      <c r="A1026" s="6"/>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row>
    <row r="1027" ht="14.25" customHeight="1">
      <c r="A1027" s="6"/>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row>
    <row r="1028" ht="14.25" customHeight="1">
      <c r="A1028" s="6"/>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row>
    <row r="1029" ht="14.25" customHeight="1">
      <c r="A1029" s="6"/>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row>
    <row r="1030" ht="14.25" customHeight="1">
      <c r="A1030" s="6"/>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row>
    <row r="1031" ht="14.25" customHeight="1">
      <c r="A1031" s="6"/>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row>
    <row r="1032" ht="14.25" customHeight="1">
      <c r="A1032" s="6"/>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row>
    <row r="1033" ht="14.25" customHeight="1">
      <c r="A1033" s="6"/>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row>
    <row r="1034" ht="14.25" customHeight="1">
      <c r="A1034" s="6"/>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row>
    <row r="1035" ht="14.25" customHeight="1">
      <c r="A1035" s="6"/>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row>
    <row r="1036" ht="14.25" customHeight="1">
      <c r="A1036" s="6"/>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row>
    <row r="1037" ht="14.25" customHeight="1">
      <c r="A1037" s="6"/>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row>
    <row r="1038" ht="14.25" customHeight="1">
      <c r="A1038" s="6"/>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row>
    <row r="1039" ht="14.25" customHeight="1">
      <c r="A1039" s="6"/>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row>
    <row r="1040" ht="14.25" customHeight="1">
      <c r="A1040" s="6"/>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row>
    <row r="1041" ht="14.25" customHeight="1">
      <c r="A1041" s="6"/>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row>
    <row r="1042" ht="14.25" customHeight="1">
      <c r="A1042" s="6"/>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row>
    <row r="1043" ht="14.25" customHeight="1">
      <c r="A1043" s="6"/>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row>
    <row r="1044" ht="14.25" customHeight="1">
      <c r="A1044" s="6"/>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row>
    <row r="1045" ht="14.25" customHeight="1">
      <c r="A1045" s="6"/>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row>
    <row r="1046" ht="14.25" customHeight="1">
      <c r="A1046" s="6"/>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row>
    <row r="1047" ht="14.25" customHeight="1">
      <c r="A1047" s="6"/>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row>
    <row r="1048" ht="14.25" customHeight="1">
      <c r="A1048" s="6"/>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row>
    <row r="1049" ht="14.25" customHeight="1">
      <c r="A1049" s="6"/>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row>
    <row r="1050" ht="14.25" customHeight="1">
      <c r="A1050" s="6"/>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row>
    <row r="1051" ht="14.25" customHeight="1">
      <c r="A1051" s="6"/>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row>
    <row r="1052" ht="14.25" customHeight="1">
      <c r="A1052" s="6"/>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row>
    <row r="1053" ht="14.25" customHeight="1">
      <c r="A1053" s="6"/>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row>
    <row r="1054" ht="14.25" customHeight="1">
      <c r="A1054" s="6"/>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row>
    <row r="1055" ht="14.25" customHeight="1">
      <c r="A1055" s="6"/>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row>
    <row r="1056" ht="14.25" customHeight="1">
      <c r="A1056" s="6"/>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row>
    <row r="1057" ht="14.25" customHeight="1">
      <c r="A1057" s="6"/>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row>
    <row r="1058" ht="14.25" customHeight="1">
      <c r="A1058" s="6"/>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row>
    <row r="1059" ht="14.25" customHeight="1">
      <c r="A1059" s="6"/>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row>
    <row r="1060" ht="14.25" customHeight="1">
      <c r="A1060" s="6"/>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row>
    <row r="1061" ht="14.25" customHeight="1">
      <c r="A1061" s="6"/>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row>
    <row r="1062" ht="14.25" customHeight="1">
      <c r="A1062" s="6"/>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row>
    <row r="1063" ht="14.25" customHeight="1">
      <c r="A1063" s="6"/>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row>
    <row r="1064" ht="14.25" customHeight="1">
      <c r="A1064" s="6"/>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row>
    <row r="1065" ht="14.25" customHeight="1">
      <c r="A1065" s="6"/>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row>
    <row r="1066" ht="14.25" customHeight="1">
      <c r="A1066" s="6"/>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row>
    <row r="1067" ht="14.25" customHeight="1">
      <c r="A1067" s="6"/>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row>
    <row r="1068" ht="14.25" customHeight="1">
      <c r="A1068" s="6"/>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row>
    <row r="1069" ht="14.25" customHeight="1">
      <c r="A1069" s="6"/>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row>
    <row r="1070" ht="14.25" customHeight="1">
      <c r="A1070" s="6"/>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row>
    <row r="1071" ht="14.25" customHeight="1">
      <c r="A1071" s="6"/>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row>
    <row r="1072" ht="14.25" customHeight="1">
      <c r="A1072" s="6"/>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row>
    <row r="1073" ht="14.25" customHeight="1">
      <c r="A1073" s="6"/>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row>
    <row r="1074" ht="14.25" customHeight="1">
      <c r="A1074" s="6"/>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row>
    <row r="1075" ht="14.25" customHeight="1">
      <c r="A1075" s="6"/>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row>
    <row r="1076" ht="14.25" customHeight="1">
      <c r="A1076" s="6"/>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row>
    <row r="1077" ht="14.25" customHeight="1">
      <c r="A1077" s="6"/>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row>
    <row r="1078" ht="14.25" customHeight="1">
      <c r="A1078" s="6"/>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row>
    <row r="1079" ht="14.25" customHeight="1">
      <c r="A1079" s="6"/>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row>
    <row r="1080" ht="14.25" customHeight="1">
      <c r="A1080" s="6"/>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row>
    <row r="1081" ht="14.25" customHeight="1">
      <c r="A1081" s="6"/>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row>
    <row r="1082" ht="14.25" customHeight="1">
      <c r="A1082" s="6"/>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row>
    <row r="1083" ht="14.25" customHeight="1">
      <c r="A1083" s="6"/>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row>
    <row r="1084" ht="14.25" customHeight="1">
      <c r="A1084" s="6"/>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row>
    <row r="1085" ht="14.25" customHeight="1">
      <c r="A1085" s="6"/>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row>
    <row r="1086" ht="14.25" customHeight="1">
      <c r="A1086" s="6"/>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row>
    <row r="1087" ht="14.25" customHeight="1">
      <c r="A1087" s="6"/>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row>
    <row r="1088" ht="14.25" customHeight="1">
      <c r="A1088" s="6"/>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row>
    <row r="1089" ht="14.25" customHeight="1">
      <c r="A1089" s="6"/>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row>
    <row r="1090" ht="14.25" customHeight="1">
      <c r="A1090" s="6"/>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row>
    <row r="1091" ht="14.25" customHeight="1">
      <c r="A1091" s="6"/>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row>
    <row r="1092" ht="14.25" customHeight="1">
      <c r="A1092" s="6"/>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row>
    <row r="1093" ht="14.25" customHeight="1">
      <c r="A1093" s="6"/>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row>
    <row r="1094" ht="14.25" customHeight="1">
      <c r="A1094" s="6"/>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row>
    <row r="1095" ht="14.25" customHeight="1">
      <c r="A1095" s="6"/>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row>
    <row r="1096" ht="14.25" customHeight="1">
      <c r="A1096" s="6"/>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row>
    <row r="1097" ht="14.25" customHeight="1">
      <c r="A1097" s="6"/>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row>
    <row r="1098" ht="14.25" customHeight="1">
      <c r="A1098" s="6"/>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row>
    <row r="1099" ht="14.25" customHeight="1">
      <c r="A1099" s="6"/>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row>
    <row r="1100" ht="14.25" customHeight="1">
      <c r="A1100" s="6"/>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row>
    <row r="1101" ht="14.25" customHeight="1">
      <c r="A1101" s="6"/>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row>
    <row r="1102" ht="14.25" customHeight="1">
      <c r="A1102" s="6"/>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row>
    <row r="1103" ht="14.25" customHeight="1">
      <c r="A1103" s="6"/>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row>
    <row r="1104" ht="14.25" customHeight="1">
      <c r="A1104" s="6"/>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row>
    <row r="1105" ht="14.25" customHeight="1">
      <c r="A1105" s="6"/>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row>
    <row r="1106" ht="14.25" customHeight="1">
      <c r="A1106" s="6"/>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row>
    <row r="1107" ht="14.25" customHeight="1">
      <c r="A1107" s="6"/>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row>
    <row r="1108" ht="14.25" customHeight="1">
      <c r="A1108" s="6"/>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row>
    <row r="1109" ht="14.25" customHeight="1">
      <c r="A1109" s="6"/>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row>
    <row r="1110" ht="14.25" customHeight="1">
      <c r="A1110" s="6"/>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row>
    <row r="1111" ht="14.25" customHeight="1">
      <c r="A1111" s="6"/>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row>
    <row r="1112" ht="14.25" customHeight="1">
      <c r="A1112" s="6"/>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row>
    <row r="1113" ht="14.25" customHeight="1">
      <c r="A1113" s="6"/>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row>
    <row r="1114" ht="14.25" customHeight="1">
      <c r="A1114" s="6"/>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row>
    <row r="1115" ht="14.25" customHeight="1">
      <c r="A1115" s="6"/>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row>
    <row r="1116" ht="14.25" customHeight="1">
      <c r="A1116" s="6"/>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row>
    <row r="1117" ht="14.25" customHeight="1">
      <c r="A1117" s="6"/>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row>
    <row r="1118" ht="14.25" customHeight="1">
      <c r="A1118" s="6"/>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row>
    <row r="1119" ht="14.25" customHeight="1">
      <c r="A1119" s="6"/>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row>
    <row r="1120" ht="14.25" customHeight="1">
      <c r="A1120" s="6"/>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row>
    <row r="1121" ht="14.25" customHeight="1">
      <c r="A1121" s="6"/>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row>
    <row r="1122" ht="14.25" customHeight="1">
      <c r="A1122" s="6"/>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row>
    <row r="1123" ht="14.25" customHeight="1">
      <c r="A1123" s="6"/>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row>
    <row r="1124" ht="14.25" customHeight="1">
      <c r="A1124" s="6"/>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row>
    <row r="1125" ht="14.25" customHeight="1">
      <c r="A1125" s="6"/>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row>
    <row r="1126" ht="14.25" customHeight="1">
      <c r="A1126" s="6"/>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row>
    <row r="1127" ht="14.25" customHeight="1">
      <c r="A1127" s="6"/>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row>
    <row r="1128" ht="14.25" customHeight="1">
      <c r="A1128" s="6"/>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row>
    <row r="1129" ht="14.25" customHeight="1">
      <c r="A1129" s="6"/>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row>
    <row r="1130" ht="14.25" customHeight="1">
      <c r="A1130" s="6"/>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row>
    <row r="1131" ht="14.25" customHeight="1">
      <c r="A1131" s="6"/>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row>
    <row r="1132" ht="14.25" customHeight="1">
      <c r="A1132" s="6"/>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row>
    <row r="1133" ht="14.25" customHeight="1">
      <c r="A1133" s="6"/>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row>
    <row r="1134" ht="14.25" customHeight="1">
      <c r="A1134" s="6"/>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row>
    <row r="1135" ht="14.25" customHeight="1">
      <c r="A1135" s="6"/>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row>
    <row r="1136" ht="14.25" customHeight="1">
      <c r="A1136" s="6"/>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row>
    <row r="1137" ht="14.25" customHeight="1">
      <c r="A1137" s="6"/>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row>
    <row r="1138" ht="14.25" customHeight="1">
      <c r="A1138" s="6"/>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row>
    <row r="1139" ht="14.25" customHeight="1">
      <c r="A1139" s="6"/>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row>
    <row r="1140" ht="14.25" customHeight="1">
      <c r="A1140" s="6"/>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row>
    <row r="1141" ht="14.25" customHeight="1">
      <c r="A1141" s="6"/>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row>
    <row r="1142" ht="14.25" customHeight="1">
      <c r="A1142" s="6"/>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row>
    <row r="1143" ht="14.25" customHeight="1">
      <c r="A1143" s="6"/>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row>
    <row r="1144" ht="14.25" customHeight="1">
      <c r="A1144" s="6"/>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row>
    <row r="1145" ht="14.25" customHeight="1">
      <c r="A1145" s="6"/>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row>
    <row r="1146" ht="14.25" customHeight="1">
      <c r="A1146" s="6"/>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row>
    <row r="1147" ht="14.25" customHeight="1">
      <c r="A1147" s="6"/>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row>
    <row r="1148" ht="14.25" customHeight="1">
      <c r="A1148" s="6"/>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row>
    <row r="1149" ht="14.25" customHeight="1">
      <c r="A1149" s="6"/>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row>
    <row r="1150" ht="14.25" customHeight="1">
      <c r="A1150" s="6"/>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row>
    <row r="1151" ht="14.25" customHeight="1">
      <c r="A1151" s="6"/>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row>
    <row r="1152" ht="14.25" customHeight="1">
      <c r="A1152" s="6"/>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row>
    <row r="1153" ht="14.25" customHeight="1">
      <c r="A1153" s="6"/>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row>
    <row r="1154" ht="14.25" customHeight="1">
      <c r="A1154" s="6"/>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row>
    <row r="1155" ht="14.25" customHeight="1">
      <c r="A1155" s="6"/>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row>
    <row r="1156" ht="14.25" customHeight="1">
      <c r="A1156" s="6"/>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row>
    <row r="1157" ht="14.25" customHeight="1">
      <c r="A1157" s="6"/>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row>
    <row r="1158" ht="14.25" customHeight="1">
      <c r="A1158" s="6"/>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row>
    <row r="1159" ht="14.25" customHeight="1">
      <c r="A1159" s="6"/>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row>
    <row r="1160" ht="14.25" customHeight="1">
      <c r="A1160" s="6"/>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row>
    <row r="1161" ht="14.25" customHeight="1">
      <c r="A1161" s="6"/>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row>
    <row r="1162" ht="14.25" customHeight="1">
      <c r="A1162" s="6"/>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row>
    <row r="1163" ht="14.25" customHeight="1">
      <c r="A1163" s="6"/>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row>
    <row r="1164" ht="14.25" customHeight="1">
      <c r="A1164" s="6"/>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row>
    <row r="1165" ht="14.25" customHeight="1">
      <c r="A1165" s="6"/>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row>
    <row r="1166" ht="14.25" customHeight="1">
      <c r="A1166" s="6"/>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row>
    <row r="1167" ht="14.25" customHeight="1">
      <c r="A1167" s="6"/>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row>
    <row r="1168" ht="14.25" customHeight="1">
      <c r="A1168" s="6"/>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row>
    <row r="1169" ht="14.25" customHeight="1">
      <c r="A1169" s="6"/>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row>
    <row r="1170" ht="14.25" customHeight="1">
      <c r="A1170" s="6"/>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row>
    <row r="1171" ht="14.25" customHeight="1">
      <c r="A1171" s="6"/>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row>
    <row r="1172" ht="14.25" customHeight="1">
      <c r="A1172" s="6"/>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row>
    <row r="1173" ht="14.25" customHeight="1">
      <c r="A1173" s="6"/>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row>
    <row r="1174" ht="14.25" customHeight="1">
      <c r="A1174" s="6"/>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row>
    <row r="1175" ht="14.25" customHeight="1">
      <c r="A1175" s="6"/>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row>
    <row r="1176" ht="14.25" customHeight="1">
      <c r="A1176" s="6"/>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row>
    <row r="1177" ht="14.25" customHeight="1">
      <c r="A1177" s="6"/>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row>
    <row r="1178" ht="14.25" customHeight="1">
      <c r="A1178" s="6"/>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row>
    <row r="1179" ht="14.25" customHeight="1">
      <c r="A1179" s="6"/>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row>
    <row r="1180" ht="14.25" customHeight="1">
      <c r="A1180" s="6"/>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row>
    <row r="1181" ht="14.25" customHeight="1">
      <c r="A1181" s="6"/>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row>
    <row r="1182" ht="14.25" customHeight="1">
      <c r="A1182" s="6"/>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row>
    <row r="1183" ht="14.25" customHeight="1">
      <c r="A1183" s="6"/>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row>
    <row r="1184" ht="14.25" customHeight="1">
      <c r="A1184" s="6"/>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row>
    <row r="1185" ht="14.25" customHeight="1">
      <c r="A1185" s="6"/>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row>
    <row r="1186" ht="14.25" customHeight="1">
      <c r="A1186" s="6"/>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row>
    <row r="1187" ht="14.25" customHeight="1">
      <c r="A1187" s="6"/>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row>
    <row r="1188" ht="14.25" customHeight="1">
      <c r="A1188" s="6"/>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row>
    <row r="1189" ht="14.25" customHeight="1">
      <c r="A1189" s="6"/>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row>
    <row r="1190" ht="14.25" customHeight="1">
      <c r="A1190" s="6"/>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row>
    <row r="1191" ht="14.25" customHeight="1">
      <c r="A1191" s="6"/>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row>
    <row r="1192" ht="14.25" customHeight="1">
      <c r="A1192" s="6"/>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row>
    <row r="1193" ht="14.25" customHeight="1">
      <c r="A1193" s="6"/>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row>
    <row r="1194" ht="14.25" customHeight="1">
      <c r="A1194" s="6"/>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row>
    <row r="1195" ht="14.25" customHeight="1">
      <c r="A1195" s="6"/>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row>
    <row r="1196" ht="14.25" customHeight="1">
      <c r="A1196" s="6"/>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row>
    <row r="1197" ht="14.25" customHeight="1">
      <c r="A1197" s="6"/>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row>
    <row r="1198" ht="14.25" customHeight="1">
      <c r="A1198" s="6"/>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row>
    <row r="1199" ht="14.25" customHeight="1">
      <c r="A1199" s="6"/>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row>
    <row r="1200" ht="14.25" customHeight="1">
      <c r="A1200" s="6"/>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row>
    <row r="1201" ht="14.25" customHeight="1">
      <c r="A1201" s="6"/>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row>
    <row r="1202" ht="14.25" customHeight="1">
      <c r="A1202" s="6"/>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row>
    <row r="1203" ht="14.25" customHeight="1">
      <c r="A1203" s="6"/>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row>
    <row r="1204" ht="14.25" customHeight="1">
      <c r="A1204" s="6"/>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row>
    <row r="1205" ht="14.25" customHeight="1">
      <c r="A1205" s="6"/>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row>
    <row r="1206" ht="14.25" customHeight="1">
      <c r="A1206" s="6"/>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row>
    <row r="1207" ht="14.25" customHeight="1">
      <c r="A1207" s="6"/>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row>
    <row r="1208" ht="14.25" customHeight="1">
      <c r="A1208" s="6"/>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row>
    <row r="1209" ht="14.25" customHeight="1">
      <c r="A1209" s="6"/>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row>
    <row r="1210" ht="14.25" customHeight="1">
      <c r="A1210" s="6"/>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row>
    <row r="1211" ht="14.25" customHeight="1">
      <c r="A1211" s="6"/>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row>
    <row r="1212" ht="14.25" customHeight="1">
      <c r="A1212" s="6"/>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row>
    <row r="1213" ht="14.25" customHeight="1">
      <c r="A1213" s="6"/>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row>
    <row r="1214" ht="14.25" customHeight="1">
      <c r="A1214" s="6"/>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row>
    <row r="1215" ht="14.25" customHeight="1">
      <c r="A1215" s="6"/>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row>
    <row r="1216" ht="14.25" customHeight="1">
      <c r="A1216" s="6"/>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row>
    <row r="1217" ht="14.25" customHeight="1">
      <c r="A1217" s="6"/>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row>
    <row r="1218" ht="14.25" customHeight="1">
      <c r="A1218" s="6"/>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row>
    <row r="1219" ht="14.25" customHeight="1">
      <c r="A1219" s="6"/>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row>
    <row r="1220" ht="14.25" customHeight="1">
      <c r="A1220" s="6"/>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row>
    <row r="1221" ht="14.25" customHeight="1">
      <c r="A1221" s="6"/>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row>
    <row r="1222" ht="14.25" customHeight="1">
      <c r="A1222" s="6"/>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row>
    <row r="1223" ht="14.25" customHeight="1">
      <c r="A1223" s="6"/>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row>
    <row r="1224" ht="14.25" customHeight="1">
      <c r="A1224" s="6"/>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row>
    <row r="1225" ht="14.25" customHeight="1">
      <c r="A1225" s="6"/>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row>
    <row r="1226" ht="14.25" customHeight="1">
      <c r="A1226" s="6"/>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row>
    <row r="1227" ht="14.25" customHeight="1">
      <c r="A1227" s="6"/>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row>
    <row r="1228" ht="14.25" customHeight="1">
      <c r="A1228" s="6"/>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row>
    <row r="1229" ht="14.25" customHeight="1">
      <c r="A1229" s="6"/>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row>
    <row r="1230" ht="14.25" customHeight="1">
      <c r="A1230" s="6"/>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row>
    <row r="1231" ht="14.25" customHeight="1">
      <c r="A1231" s="6"/>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row>
    <row r="1232" ht="14.25" customHeight="1">
      <c r="A1232" s="6"/>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row>
    <row r="1233" ht="14.25" customHeight="1">
      <c r="A1233" s="6"/>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row>
    <row r="1234" ht="14.25" customHeight="1">
      <c r="A1234" s="6"/>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row>
    <row r="1235" ht="14.25" customHeight="1">
      <c r="A1235" s="6"/>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row>
    <row r="1236" ht="14.25" customHeight="1">
      <c r="A1236" s="6"/>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row>
    <row r="1237" ht="14.25" customHeight="1">
      <c r="A1237" s="6"/>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row>
    <row r="1238" ht="14.25" customHeight="1">
      <c r="A1238" s="6"/>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row>
    <row r="1239" ht="14.25" customHeight="1">
      <c r="A1239" s="6"/>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row>
    <row r="1240" ht="14.25" customHeight="1">
      <c r="A1240" s="6"/>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row>
    <row r="1241" ht="14.25" customHeight="1">
      <c r="A1241" s="6"/>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row>
    <row r="1242" ht="14.25" customHeight="1">
      <c r="A1242" s="6"/>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row>
    <row r="1243" ht="14.25" customHeight="1">
      <c r="A1243" s="6"/>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row>
    <row r="1244" ht="14.25" customHeight="1">
      <c r="A1244" s="6"/>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row>
    <row r="1245" ht="14.25" customHeight="1">
      <c r="A1245" s="6"/>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row>
    <row r="1246" ht="14.25" customHeight="1">
      <c r="A1246" s="6"/>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row>
    <row r="1247" ht="14.25" customHeight="1">
      <c r="A1247" s="6"/>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row>
    <row r="1248" ht="14.25" customHeight="1">
      <c r="A1248" s="6"/>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row>
    <row r="1249" ht="14.25" customHeight="1">
      <c r="A1249" s="6"/>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row>
    <row r="1250" ht="14.25" customHeight="1">
      <c r="A1250" s="6"/>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row>
    <row r="1251" ht="14.25" customHeight="1">
      <c r="A1251" s="6"/>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row>
    <row r="1252" ht="14.25" customHeight="1">
      <c r="A1252" s="6"/>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row>
    <row r="1253" ht="14.25" customHeight="1">
      <c r="A1253" s="6"/>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row>
    <row r="1254" ht="14.25" customHeight="1">
      <c r="A1254" s="6"/>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row>
    <row r="1255" ht="14.25" customHeight="1">
      <c r="A1255" s="6"/>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row>
    <row r="1256" ht="14.25" customHeight="1">
      <c r="A1256" s="6"/>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row>
    <row r="1257" ht="14.25" customHeight="1">
      <c r="A1257" s="6"/>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row>
    <row r="1258" ht="14.25" customHeight="1">
      <c r="A1258" s="6"/>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row>
    <row r="1259" ht="14.25" customHeight="1">
      <c r="A1259" s="6"/>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row>
    <row r="1260" ht="14.25" customHeight="1">
      <c r="A1260" s="6"/>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row>
    <row r="1261" ht="14.25" customHeight="1">
      <c r="A1261" s="6"/>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row>
    <row r="1262" ht="14.25" customHeight="1">
      <c r="A1262" s="6"/>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row>
    <row r="1263" ht="14.25" customHeight="1">
      <c r="A1263" s="6"/>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row>
    <row r="1264" ht="14.25" customHeight="1">
      <c r="A1264" s="6"/>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row>
    <row r="1265" ht="14.25" customHeight="1">
      <c r="A1265" s="6"/>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row>
    <row r="1266" ht="14.25" customHeight="1">
      <c r="A1266" s="6"/>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row>
    <row r="1267" ht="14.25" customHeight="1">
      <c r="A1267" s="6"/>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row>
    <row r="1268" ht="14.25" customHeight="1">
      <c r="A1268" s="6"/>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row>
    <row r="1269" ht="14.25" customHeight="1">
      <c r="A1269" s="6"/>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row>
    <row r="1270" ht="14.25" customHeight="1">
      <c r="A1270" s="6"/>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row>
    <row r="1271" ht="14.25" customHeight="1">
      <c r="A1271" s="6"/>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row>
    <row r="1272" ht="14.25" customHeight="1">
      <c r="A1272" s="6"/>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row>
    <row r="1273" ht="14.25" customHeight="1">
      <c r="A1273" s="6"/>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row>
    <row r="1274" ht="14.25" customHeight="1">
      <c r="A1274" s="6"/>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row>
    <row r="1275" ht="14.25" customHeight="1">
      <c r="A1275" s="6"/>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row>
    <row r="1276" ht="14.25" customHeight="1">
      <c r="A1276" s="6"/>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row>
    <row r="1277" ht="14.25" customHeight="1">
      <c r="A1277" s="6"/>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row>
    <row r="1278" ht="14.25" customHeight="1">
      <c r="A1278" s="6"/>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row>
    <row r="1279" ht="14.25" customHeight="1">
      <c r="A1279" s="6"/>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row>
    <row r="1280" ht="14.25" customHeight="1">
      <c r="A1280" s="6"/>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row>
    <row r="1281" ht="14.25" customHeight="1">
      <c r="A1281" s="6"/>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row>
    <row r="1282" ht="14.25" customHeight="1">
      <c r="A1282" s="6"/>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row>
    <row r="1283" ht="14.25" customHeight="1">
      <c r="A1283" s="6"/>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row>
    <row r="1284" ht="14.25" customHeight="1">
      <c r="A1284" s="6"/>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row>
    <row r="1285" ht="14.25" customHeight="1">
      <c r="A1285" s="6"/>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row>
    <row r="1286" ht="14.25" customHeight="1">
      <c r="A1286" s="6"/>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row>
    <row r="1287" ht="14.25" customHeight="1">
      <c r="A1287" s="6"/>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row>
    <row r="1288" ht="14.25" customHeight="1">
      <c r="A1288" s="6"/>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row>
    <row r="1289" ht="14.25" customHeight="1">
      <c r="A1289" s="6"/>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row>
    <row r="1290" ht="14.25" customHeight="1">
      <c r="A1290" s="6"/>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row>
    <row r="1291" ht="14.25" customHeight="1">
      <c r="A1291" s="6"/>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row>
    <row r="1292" ht="14.25" customHeight="1">
      <c r="A1292" s="6"/>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row>
    <row r="1293" ht="14.25" customHeight="1">
      <c r="A1293" s="6"/>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row>
    <row r="1294" ht="14.25" customHeight="1">
      <c r="A1294" s="6"/>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row>
    <row r="1295" ht="14.25" customHeight="1">
      <c r="A1295" s="6"/>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row>
    <row r="1296" ht="14.25" customHeight="1">
      <c r="A1296" s="6"/>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row>
    <row r="1297" ht="14.25" customHeight="1">
      <c r="A1297" s="6"/>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row>
    <row r="1298" ht="14.25" customHeight="1">
      <c r="A1298" s="6"/>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row>
    <row r="1299" ht="14.25" customHeight="1">
      <c r="A1299" s="6"/>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row>
    <row r="1300" ht="14.25" customHeight="1">
      <c r="A1300" s="6"/>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row>
    <row r="1301" ht="14.25" customHeight="1">
      <c r="A1301" s="6"/>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row>
    <row r="1302" ht="14.25" customHeight="1">
      <c r="A1302" s="6"/>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row>
    <row r="1303" ht="14.25" customHeight="1">
      <c r="A1303" s="6"/>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row>
    <row r="1304" ht="14.25" customHeight="1">
      <c r="A1304" s="6"/>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row>
    <row r="1305" ht="14.25" customHeight="1">
      <c r="A1305" s="6"/>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row>
    <row r="1306" ht="14.25" customHeight="1">
      <c r="A1306" s="6"/>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row>
    <row r="1307" ht="14.25" customHeight="1">
      <c r="A1307" s="6"/>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row>
    <row r="1308" ht="14.25" customHeight="1">
      <c r="A1308" s="6"/>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row>
    <row r="1309" ht="14.25" customHeight="1">
      <c r="A1309" s="6"/>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row>
    <row r="1310" ht="14.25" customHeight="1">
      <c r="A1310" s="6"/>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row>
    <row r="1311" ht="14.25" customHeight="1">
      <c r="A1311" s="6"/>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row>
    <row r="1312" ht="14.25" customHeight="1">
      <c r="A1312" s="6"/>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row>
    <row r="1313" ht="14.25" customHeight="1">
      <c r="A1313" s="6"/>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row>
    <row r="1314" ht="14.25" customHeight="1">
      <c r="A1314" s="6"/>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row>
    <row r="1315" ht="14.25" customHeight="1">
      <c r="A1315" s="6"/>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row>
    <row r="1316" ht="14.25" customHeight="1">
      <c r="A1316" s="6"/>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row>
    <row r="1317" ht="14.25" customHeight="1">
      <c r="A1317" s="6"/>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row>
    <row r="1318" ht="14.25" customHeight="1">
      <c r="A1318" s="6"/>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row>
    <row r="1319" ht="14.25" customHeight="1">
      <c r="A1319" s="6"/>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row>
    <row r="1320" ht="14.25" customHeight="1">
      <c r="A1320" s="6"/>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row>
    <row r="1321" ht="14.25" customHeight="1">
      <c r="A1321" s="6"/>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row>
    <row r="1322" ht="14.25" customHeight="1">
      <c r="A1322" s="6"/>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row>
    <row r="1323" ht="14.25" customHeight="1">
      <c r="A1323" s="6"/>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row>
    <row r="1324" ht="14.25" customHeight="1">
      <c r="A1324" s="6"/>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row>
    <row r="1325" ht="14.25" customHeight="1">
      <c r="A1325" s="6"/>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row>
    <row r="1326" ht="14.25" customHeight="1">
      <c r="A1326" s="6"/>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row>
    <row r="1327" ht="14.25" customHeight="1">
      <c r="A1327" s="6"/>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row>
    <row r="1328" ht="14.25" customHeight="1">
      <c r="A1328" s="6"/>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row>
    <row r="1329" ht="14.25" customHeight="1">
      <c r="A1329" s="6"/>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row>
    <row r="1330" ht="14.25" customHeight="1">
      <c r="A1330" s="6"/>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row>
    <row r="1331" ht="14.25" customHeight="1">
      <c r="A1331" s="6"/>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row>
    <row r="1332" ht="14.25" customHeight="1">
      <c r="A1332" s="6"/>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row>
    <row r="1333" ht="14.25" customHeight="1">
      <c r="A1333" s="6"/>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row>
    <row r="1334" ht="14.25" customHeight="1">
      <c r="A1334" s="6"/>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row>
    <row r="1335" ht="14.25" customHeight="1">
      <c r="A1335" s="6"/>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row>
    <row r="1336" ht="14.25" customHeight="1">
      <c r="A1336" s="6"/>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row>
    <row r="1337" ht="14.25" customHeight="1">
      <c r="A1337" s="6"/>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row>
    <row r="1338" ht="14.25" customHeight="1">
      <c r="A1338" s="6"/>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row>
    <row r="1339" ht="14.25" customHeight="1">
      <c r="A1339" s="6"/>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row>
    <row r="1340" ht="14.25" customHeight="1">
      <c r="A1340" s="6"/>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row>
    <row r="1341" ht="14.25" customHeight="1">
      <c r="A1341" s="6"/>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row>
    <row r="1342" ht="14.25" customHeight="1">
      <c r="A1342" s="6"/>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row>
    <row r="1343" ht="14.25" customHeight="1">
      <c r="A1343" s="6"/>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row>
    <row r="1344" ht="14.25" customHeight="1">
      <c r="A1344" s="6"/>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row>
    <row r="1345" ht="14.25" customHeight="1">
      <c r="A1345" s="6"/>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row>
    <row r="1346" ht="14.25" customHeight="1">
      <c r="A1346" s="6"/>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row>
    <row r="1347" ht="14.25" customHeight="1">
      <c r="A1347" s="6"/>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row>
    <row r="1348" ht="14.25" customHeight="1">
      <c r="A1348" s="6"/>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row>
    <row r="1349" ht="14.25" customHeight="1">
      <c r="A1349" s="6"/>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row>
    <row r="1350" ht="14.25" customHeight="1">
      <c r="A1350" s="6"/>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row>
    <row r="1351" ht="14.25" customHeight="1">
      <c r="A1351" s="6"/>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row>
    <row r="1352" ht="14.25" customHeight="1">
      <c r="A1352" s="6"/>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row>
    <row r="1353" ht="14.25" customHeight="1">
      <c r="A1353" s="6"/>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row>
    <row r="1354" ht="14.25" customHeight="1">
      <c r="A1354" s="6"/>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row>
    <row r="1355" ht="14.25" customHeight="1">
      <c r="A1355" s="6"/>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row>
    <row r="1356" ht="14.25" customHeight="1">
      <c r="A1356" s="6"/>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row>
    <row r="1357" ht="14.25" customHeight="1">
      <c r="A1357" s="6"/>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row>
    <row r="1358" ht="14.25" customHeight="1">
      <c r="A1358" s="6"/>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row>
    <row r="1359" ht="14.25" customHeight="1">
      <c r="A1359" s="6"/>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row>
    <row r="1360" ht="14.25" customHeight="1">
      <c r="A1360" s="6"/>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row>
    <row r="1361" ht="14.25" customHeight="1">
      <c r="A1361" s="6"/>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row>
    <row r="1362" ht="14.25" customHeight="1">
      <c r="A1362" s="6"/>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row>
    <row r="1363" ht="14.25" customHeight="1">
      <c r="A1363" s="6"/>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row>
    <row r="1364" ht="14.25" customHeight="1">
      <c r="A1364" s="6"/>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row>
    <row r="1365" ht="14.25" customHeight="1">
      <c r="A1365" s="6"/>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row>
    <row r="1366" ht="14.25" customHeight="1">
      <c r="A1366" s="6"/>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row>
    <row r="1367" ht="14.25" customHeight="1">
      <c r="A1367" s="6"/>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row>
    <row r="1368" ht="14.25" customHeight="1">
      <c r="A1368" s="6"/>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row>
    <row r="1369" ht="14.25" customHeight="1">
      <c r="A1369" s="6"/>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row>
    <row r="1370" ht="14.25" customHeight="1">
      <c r="A1370" s="6"/>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row>
    <row r="1371" ht="14.25" customHeight="1">
      <c r="A1371" s="6"/>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row>
    <row r="1372" ht="14.25" customHeight="1">
      <c r="A1372" s="6"/>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row>
    <row r="1373" ht="14.25" customHeight="1">
      <c r="A1373" s="6"/>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row>
    <row r="1374" ht="14.25" customHeight="1">
      <c r="A1374" s="6"/>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row>
    <row r="1375" ht="14.25" customHeight="1">
      <c r="A1375" s="6"/>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row>
    <row r="1376" ht="14.25" customHeight="1">
      <c r="A1376" s="6"/>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row>
    <row r="1377" ht="14.25" customHeight="1">
      <c r="A1377" s="6"/>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row>
    <row r="1378" ht="14.25" customHeight="1">
      <c r="A1378" s="6"/>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row>
    <row r="1379" ht="14.25" customHeight="1">
      <c r="A1379" s="6"/>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row>
    <row r="1380" ht="14.25" customHeight="1">
      <c r="A1380" s="6"/>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row>
    <row r="1381" ht="14.25" customHeight="1">
      <c r="A1381" s="6"/>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row>
    <row r="1382" ht="14.25" customHeight="1">
      <c r="A1382" s="6"/>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row>
    <row r="1383" ht="14.25" customHeight="1">
      <c r="A1383" s="6"/>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row>
    <row r="1384" ht="14.25" customHeight="1">
      <c r="A1384" s="6"/>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row>
    <row r="1385" ht="14.25" customHeight="1">
      <c r="A1385" s="6"/>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row>
    <row r="1386" ht="14.25" customHeight="1">
      <c r="A1386" s="6"/>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row>
    <row r="1387" ht="14.25" customHeight="1">
      <c r="A1387" s="6"/>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row>
    <row r="1388" ht="14.25" customHeight="1">
      <c r="A1388" s="6"/>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row>
    <row r="1389" ht="14.25" customHeight="1">
      <c r="A1389" s="6"/>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row>
    <row r="1390" ht="14.25" customHeight="1">
      <c r="A1390" s="6"/>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row>
    <row r="1391" ht="14.25" customHeight="1">
      <c r="A1391" s="6"/>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row>
    <row r="1392" ht="14.25" customHeight="1">
      <c r="A1392" s="6"/>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row>
    <row r="1393" ht="14.25" customHeight="1">
      <c r="A1393" s="6"/>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row>
    <row r="1394" ht="14.25" customHeight="1">
      <c r="A1394" s="6"/>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row>
    <row r="1395" ht="14.25" customHeight="1">
      <c r="A1395" s="6"/>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row>
    <row r="1396" ht="14.25" customHeight="1">
      <c r="A1396" s="6"/>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row>
    <row r="1397" ht="14.25" customHeight="1">
      <c r="A1397" s="6"/>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row>
    <row r="1398" ht="14.25" customHeight="1">
      <c r="A1398" s="6"/>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row>
    <row r="1399" ht="14.25" customHeight="1">
      <c r="A1399" s="6"/>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row>
    <row r="1400" ht="14.25" customHeight="1">
      <c r="A1400" s="6"/>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row>
    <row r="1401" ht="14.25" customHeight="1">
      <c r="A1401" s="6"/>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row>
    <row r="1402" ht="14.25" customHeight="1">
      <c r="A1402" s="6"/>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row>
    <row r="1403" ht="14.25" customHeight="1">
      <c r="A1403" s="6"/>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row>
    <row r="1404" ht="14.25" customHeight="1">
      <c r="A1404" s="6"/>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row>
    <row r="1405" ht="14.25" customHeight="1">
      <c r="A1405" s="6"/>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row>
    <row r="1406" ht="14.25" customHeight="1">
      <c r="A1406" s="6"/>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row>
    <row r="1407" ht="14.25" customHeight="1">
      <c r="A1407" s="6"/>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row>
    <row r="1408" ht="14.25" customHeight="1">
      <c r="A1408" s="6"/>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row>
    <row r="1409" ht="14.25" customHeight="1">
      <c r="A1409" s="6"/>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row>
    <row r="1410" ht="14.25" customHeight="1">
      <c r="A1410" s="6"/>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row>
    <row r="1411" ht="14.25" customHeight="1">
      <c r="A1411" s="6"/>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row>
    <row r="1412" ht="14.25" customHeight="1">
      <c r="A1412" s="6"/>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row>
    <row r="1413" ht="14.25" customHeight="1">
      <c r="A1413" s="6"/>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row>
    <row r="1414" ht="14.25" customHeight="1">
      <c r="A1414" s="6"/>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row>
    <row r="1415" ht="14.25" customHeight="1">
      <c r="A1415" s="6"/>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row>
    <row r="1416" ht="14.25" customHeight="1">
      <c r="A1416" s="6"/>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row>
    <row r="1417" ht="14.25" customHeight="1">
      <c r="A1417" s="6"/>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row>
    <row r="1418" ht="14.25" customHeight="1">
      <c r="A1418" s="6"/>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row>
    <row r="1419" ht="14.25" customHeight="1">
      <c r="A1419" s="6"/>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row>
    <row r="1420" ht="14.25" customHeight="1">
      <c r="A1420" s="6"/>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row>
    <row r="1421" ht="14.25" customHeight="1">
      <c r="A1421" s="6"/>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row>
    <row r="1422" ht="14.25" customHeight="1">
      <c r="A1422" s="6"/>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row>
    <row r="1423" ht="14.25" customHeight="1">
      <c r="A1423" s="6"/>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row>
    <row r="1424" ht="14.25" customHeight="1">
      <c r="A1424" s="6"/>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row>
    <row r="1425" ht="14.25" customHeight="1">
      <c r="A1425" s="6"/>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row>
    <row r="1426" ht="14.25" customHeight="1">
      <c r="A1426" s="6"/>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row>
    <row r="1427" ht="14.25" customHeight="1">
      <c r="A1427" s="6"/>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row>
    <row r="1428" ht="14.25" customHeight="1">
      <c r="A1428" s="6"/>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row>
    <row r="1429" ht="14.25" customHeight="1">
      <c r="A1429" s="6"/>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row>
    <row r="1430" ht="14.25" customHeight="1">
      <c r="A1430" s="6"/>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row>
    <row r="1431" ht="14.25" customHeight="1">
      <c r="A1431" s="6"/>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row>
    <row r="1432" ht="14.25" customHeight="1">
      <c r="A1432" s="6"/>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row>
    <row r="1433" ht="14.25" customHeight="1">
      <c r="A1433" s="6"/>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row>
    <row r="1434" ht="14.25" customHeight="1">
      <c r="A1434" s="6"/>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row>
    <row r="1435" ht="14.25" customHeight="1">
      <c r="A1435" s="6"/>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row>
    <row r="1436" ht="14.25" customHeight="1">
      <c r="A1436" s="6"/>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row>
    <row r="1437" ht="14.25" customHeight="1">
      <c r="A1437" s="6"/>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row>
    <row r="1438" ht="14.25" customHeight="1">
      <c r="A1438" s="6"/>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row>
    <row r="1439" ht="14.25" customHeight="1">
      <c r="A1439" s="6"/>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row>
    <row r="1440" ht="14.25" customHeight="1">
      <c r="A1440" s="6"/>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row>
    <row r="1441" ht="14.25" customHeight="1">
      <c r="A1441" s="6"/>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row>
    <row r="1442" ht="14.25" customHeight="1">
      <c r="A1442" s="6"/>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row>
    <row r="1443" ht="14.25" customHeight="1">
      <c r="A1443" s="6"/>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row>
    <row r="1444" ht="14.25" customHeight="1">
      <c r="A1444" s="6"/>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row>
    <row r="1445" ht="14.25" customHeight="1">
      <c r="A1445" s="6"/>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row>
    <row r="1446" ht="14.25" customHeight="1">
      <c r="A1446" s="6"/>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row>
    <row r="1447" ht="14.25" customHeight="1">
      <c r="A1447" s="6"/>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row>
    <row r="1448" ht="14.25" customHeight="1">
      <c r="A1448" s="6"/>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row>
    <row r="1449" ht="14.25" customHeight="1">
      <c r="A1449" s="6"/>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row>
    <row r="1450" ht="14.25" customHeight="1">
      <c r="A1450" s="6"/>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row>
    <row r="1451" ht="14.25" customHeight="1">
      <c r="A1451" s="6"/>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row>
    <row r="1452" ht="14.25" customHeight="1">
      <c r="A1452" s="6"/>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row>
    <row r="1453" ht="14.25" customHeight="1">
      <c r="A1453" s="6"/>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row>
    <row r="1454" ht="14.25" customHeight="1">
      <c r="A1454" s="6"/>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row>
    <row r="1455" ht="14.25" customHeight="1">
      <c r="A1455" s="6"/>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row>
    <row r="1456" ht="14.25" customHeight="1">
      <c r="A1456" s="6"/>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row>
    <row r="1457" ht="14.25" customHeight="1">
      <c r="A1457" s="6"/>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row>
    <row r="1458" ht="14.25" customHeight="1">
      <c r="A1458" s="6"/>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row>
    <row r="1459" ht="14.25" customHeight="1">
      <c r="A1459" s="6"/>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row>
    <row r="1460" ht="14.25" customHeight="1">
      <c r="A1460" s="6"/>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row>
    <row r="1461" ht="14.25" customHeight="1">
      <c r="A1461" s="6"/>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row>
    <row r="1462" ht="14.25" customHeight="1">
      <c r="A1462" s="6"/>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row>
    <row r="1463" ht="14.25" customHeight="1">
      <c r="A1463" s="6"/>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row>
    <row r="1464" ht="14.25" customHeight="1">
      <c r="A1464" s="6"/>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row>
    <row r="1465" ht="14.25" customHeight="1">
      <c r="A1465" s="6"/>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row>
    <row r="1466" ht="14.25" customHeight="1">
      <c r="A1466" s="6"/>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row>
    <row r="1467" ht="14.25" customHeight="1">
      <c r="A1467" s="6"/>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row>
    <row r="1468" ht="14.25" customHeight="1">
      <c r="A1468" s="6"/>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row>
    <row r="1469" ht="14.25" customHeight="1">
      <c r="A1469" s="6"/>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row>
    <row r="1470" ht="14.25" customHeight="1">
      <c r="A1470" s="6"/>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row>
    <row r="1471" ht="14.25" customHeight="1">
      <c r="A1471" s="6"/>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row>
    <row r="1472" ht="14.25" customHeight="1">
      <c r="A1472" s="6"/>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row>
    <row r="1473" ht="14.25" customHeight="1">
      <c r="A1473" s="6"/>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row>
    <row r="1474" ht="14.25" customHeight="1">
      <c r="A1474" s="6"/>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row>
    <row r="1475" ht="14.25" customHeight="1">
      <c r="A1475" s="6"/>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row>
    <row r="1476" ht="14.25" customHeight="1">
      <c r="A1476" s="6"/>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row>
    <row r="1477" ht="14.25" customHeight="1">
      <c r="A1477" s="6"/>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row>
    <row r="1478" ht="14.25" customHeight="1">
      <c r="A1478" s="6"/>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row>
    <row r="1479" ht="14.25" customHeight="1">
      <c r="A1479" s="6"/>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row>
    <row r="1480" ht="14.25" customHeight="1">
      <c r="A1480" s="6"/>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row>
    <row r="1481" ht="14.25" customHeight="1">
      <c r="A1481" s="6"/>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row>
    <row r="1482" ht="14.25" customHeight="1">
      <c r="A1482" s="6"/>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row>
    <row r="1483" ht="14.25" customHeight="1">
      <c r="A1483" s="6"/>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row>
    <row r="1484" ht="14.25" customHeight="1">
      <c r="A1484" s="6"/>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row>
    <row r="1485" ht="14.25" customHeight="1">
      <c r="A1485" s="6"/>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row>
    <row r="1486" ht="14.25" customHeight="1">
      <c r="A1486" s="6"/>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row>
    <row r="1487" ht="14.25" customHeight="1">
      <c r="A1487" s="6"/>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row>
    <row r="1488" ht="14.25" customHeight="1">
      <c r="A1488" s="6"/>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row>
    <row r="1489" ht="14.25" customHeight="1">
      <c r="A1489" s="6"/>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row>
    <row r="1490" ht="14.25" customHeight="1">
      <c r="A1490" s="6"/>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row>
    <row r="1491" ht="14.25" customHeight="1">
      <c r="A1491" s="6"/>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row>
    <row r="1492" ht="14.25" customHeight="1">
      <c r="A1492" s="6"/>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row>
    <row r="1493" ht="14.25" customHeight="1">
      <c r="A1493" s="6"/>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row>
    <row r="1494" ht="14.25" customHeight="1">
      <c r="A1494" s="6"/>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row>
    <row r="1495" ht="14.25" customHeight="1">
      <c r="A1495" s="6"/>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row>
    <row r="1496" ht="14.25" customHeight="1">
      <c r="A1496" s="6"/>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row>
    <row r="1497" ht="14.25" customHeight="1">
      <c r="A1497" s="6"/>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row>
    <row r="1498" ht="14.25" customHeight="1">
      <c r="A1498" s="6"/>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row>
    <row r="1499" ht="14.25" customHeight="1">
      <c r="A1499" s="6"/>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row>
    <row r="1500" ht="14.25" customHeight="1">
      <c r="A1500" s="6"/>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row>
    <row r="1501" ht="14.25" customHeight="1">
      <c r="A1501" s="6"/>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row>
    <row r="1502" ht="14.25" customHeight="1">
      <c r="A1502" s="6"/>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row>
    <row r="1503" ht="14.25" customHeight="1">
      <c r="A1503" s="6"/>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row>
    <row r="1504" ht="14.25" customHeight="1">
      <c r="A1504" s="6"/>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row>
    <row r="1505" ht="14.25" customHeight="1">
      <c r="A1505" s="6"/>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row>
    <row r="1506" ht="14.25" customHeight="1">
      <c r="A1506" s="6"/>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row>
    <row r="1507" ht="14.25" customHeight="1">
      <c r="A1507" s="6"/>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row>
    <row r="1508" ht="14.25" customHeight="1">
      <c r="A1508" s="6"/>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row>
    <row r="1509" ht="14.25" customHeight="1">
      <c r="A1509" s="6"/>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row>
    <row r="1510" ht="14.25" customHeight="1">
      <c r="A1510" s="6"/>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row>
    <row r="1511" ht="14.25" customHeight="1">
      <c r="A1511" s="6"/>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row>
    <row r="1512" ht="14.25" customHeight="1">
      <c r="A1512" s="6"/>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row>
    <row r="1513" ht="14.25" customHeight="1">
      <c r="A1513" s="6"/>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row>
    <row r="1514" ht="14.25" customHeight="1">
      <c r="A1514" s="6"/>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row>
    <row r="1515" ht="14.25" customHeight="1">
      <c r="A1515" s="6"/>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row>
    <row r="1516" ht="14.25" customHeight="1">
      <c r="A1516" s="6"/>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row>
    <row r="1517" ht="14.25" customHeight="1">
      <c r="A1517" s="6"/>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row>
    <row r="1518" ht="14.25" customHeight="1">
      <c r="A1518" s="6"/>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row>
    <row r="1519" ht="14.25" customHeight="1">
      <c r="A1519" s="6"/>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row>
    <row r="1520" ht="14.25" customHeight="1">
      <c r="A1520" s="6"/>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row>
    <row r="1521" ht="14.25" customHeight="1">
      <c r="A1521" s="6"/>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row>
    <row r="1522" ht="14.25" customHeight="1">
      <c r="A1522" s="6"/>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row>
    <row r="1523" ht="14.25" customHeight="1">
      <c r="A1523" s="6"/>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row>
    <row r="1524" ht="14.25" customHeight="1">
      <c r="A1524" s="6"/>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row>
    <row r="1525" ht="14.25" customHeight="1">
      <c r="A1525" s="6"/>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row>
    <row r="1526" ht="14.25" customHeight="1">
      <c r="A1526" s="6"/>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row>
    <row r="1527" ht="14.25" customHeight="1">
      <c r="A1527" s="6"/>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row>
    <row r="1528" ht="14.25" customHeight="1">
      <c r="A1528" s="6"/>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row>
    <row r="1529" ht="14.25" customHeight="1">
      <c r="A1529" s="6"/>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row>
    <row r="1530" ht="14.25" customHeight="1">
      <c r="A1530" s="6"/>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row>
    <row r="1531" ht="14.25" customHeight="1">
      <c r="A1531" s="6"/>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row>
    <row r="1532" ht="14.25" customHeight="1">
      <c r="A1532" s="6"/>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row>
    <row r="1533" ht="14.25" customHeight="1">
      <c r="A1533" s="6"/>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row>
    <row r="1534" ht="14.25" customHeight="1">
      <c r="A1534" s="6"/>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row>
    <row r="1535" ht="14.25" customHeight="1">
      <c r="A1535" s="6"/>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row>
    <row r="1536" ht="14.25" customHeight="1">
      <c r="A1536" s="6"/>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row>
    <row r="1537" ht="14.25" customHeight="1">
      <c r="A1537" s="6"/>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row>
    <row r="1538" ht="14.25" customHeight="1">
      <c r="A1538" s="6"/>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row>
    <row r="1539" ht="14.25" customHeight="1">
      <c r="A1539" s="6"/>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row>
    <row r="1540" ht="14.25" customHeight="1">
      <c r="A1540" s="6"/>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row>
    <row r="1541" ht="14.25" customHeight="1">
      <c r="A1541" s="6"/>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row>
    <row r="1542" ht="14.25" customHeight="1">
      <c r="A1542" s="6"/>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row>
    <row r="1543" ht="14.25" customHeight="1">
      <c r="A1543" s="6"/>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row>
    <row r="1544" ht="14.25" customHeight="1">
      <c r="A1544" s="6"/>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row>
    <row r="1545" ht="14.25" customHeight="1">
      <c r="A1545" s="6"/>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row>
    <row r="1546" ht="14.25" customHeight="1">
      <c r="A1546" s="6"/>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row>
    <row r="1547" ht="14.25" customHeight="1">
      <c r="A1547" s="6"/>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row>
    <row r="1548" ht="14.25" customHeight="1">
      <c r="A1548" s="6"/>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row>
    <row r="1549" ht="14.25" customHeight="1">
      <c r="A1549" s="6"/>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row>
    <row r="1550" ht="14.25" customHeight="1">
      <c r="A1550" s="6"/>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row>
    <row r="1551" ht="14.25" customHeight="1">
      <c r="A1551" s="6"/>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row>
    <row r="1552" ht="14.25" customHeight="1">
      <c r="A1552" s="6"/>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row>
    <row r="1553" ht="14.25" customHeight="1">
      <c r="A1553" s="6"/>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row>
    <row r="1554" ht="14.25" customHeight="1">
      <c r="A1554" s="6"/>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row>
    <row r="1555" ht="14.25" customHeight="1">
      <c r="A1555" s="6"/>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row>
    <row r="1556" ht="14.25" customHeight="1">
      <c r="A1556" s="6"/>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row>
    <row r="1557" ht="14.25" customHeight="1">
      <c r="A1557" s="6"/>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row>
    <row r="1558" ht="14.25" customHeight="1">
      <c r="A1558" s="6"/>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row>
    <row r="1559" ht="14.25" customHeight="1">
      <c r="A1559" s="6"/>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row>
    <row r="1560" ht="14.25" customHeight="1">
      <c r="A1560" s="6"/>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row>
    <row r="1561" ht="14.25" customHeight="1">
      <c r="A1561" s="6"/>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row>
    <row r="1562" ht="14.25" customHeight="1">
      <c r="A1562" s="6"/>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row>
    <row r="1563" ht="14.25" customHeight="1">
      <c r="A1563" s="6"/>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row>
    <row r="1564" ht="14.25" customHeight="1">
      <c r="A1564" s="6"/>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row>
    <row r="1565" ht="14.25" customHeight="1">
      <c r="A1565" s="6"/>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row>
    <row r="1566" ht="14.25" customHeight="1">
      <c r="A1566" s="6"/>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row>
    <row r="1567" ht="14.25" customHeight="1">
      <c r="A1567" s="6"/>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row>
    <row r="1568" ht="14.25" customHeight="1">
      <c r="A1568" s="6"/>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row>
    <row r="1569" ht="14.25" customHeight="1">
      <c r="A1569" s="6"/>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row>
    <row r="1570" ht="14.25" customHeight="1">
      <c r="A1570" s="6"/>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row>
    <row r="1571" ht="14.25" customHeight="1">
      <c r="A1571" s="6"/>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row>
    <row r="1572" ht="14.25" customHeight="1">
      <c r="A1572" s="6"/>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row>
    <row r="1573" ht="14.25" customHeight="1">
      <c r="A1573" s="6"/>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row>
    <row r="1574" ht="14.25" customHeight="1">
      <c r="A1574" s="6"/>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row>
    <row r="1575" ht="14.25" customHeight="1">
      <c r="A1575" s="6"/>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row>
    <row r="1576" ht="14.25" customHeight="1">
      <c r="A1576" s="6"/>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row>
    <row r="1577" ht="14.25" customHeight="1">
      <c r="A1577" s="6"/>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row>
    <row r="1578" ht="14.25" customHeight="1">
      <c r="A1578" s="6"/>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row>
    <row r="1579" ht="14.25" customHeight="1">
      <c r="A1579" s="6"/>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row>
    <row r="1580" ht="14.25" customHeight="1">
      <c r="A1580" s="6"/>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row>
    <row r="1581" ht="14.25" customHeight="1">
      <c r="A1581" s="6"/>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row>
    <row r="1582" ht="14.25" customHeight="1">
      <c r="A1582" s="6"/>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row>
    <row r="1583" ht="14.25" customHeight="1">
      <c r="A1583" s="6"/>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row>
    <row r="1584" ht="14.25" customHeight="1">
      <c r="A1584" s="6"/>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row>
    <row r="1585" ht="14.25" customHeight="1">
      <c r="A1585" s="6"/>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row>
    <row r="1586" ht="14.25" customHeight="1">
      <c r="A1586" s="6"/>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row>
    <row r="1587" ht="14.25" customHeight="1">
      <c r="A1587" s="6"/>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row>
    <row r="1588" ht="14.25" customHeight="1">
      <c r="A1588" s="6"/>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row>
    <row r="1589" ht="14.25" customHeight="1">
      <c r="A1589" s="6"/>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row>
    <row r="1590" ht="14.25" customHeight="1">
      <c r="A1590" s="6"/>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row>
    <row r="1591" ht="14.25" customHeight="1">
      <c r="A1591" s="6"/>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row>
    <row r="1592" ht="14.25" customHeight="1">
      <c r="A1592" s="6"/>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row>
    <row r="1593" ht="14.25" customHeight="1">
      <c r="A1593" s="6"/>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row>
    <row r="1594" ht="14.25" customHeight="1">
      <c r="A1594" s="6"/>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row>
    <row r="1595" ht="14.25" customHeight="1">
      <c r="A1595" s="6"/>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row>
    <row r="1596" ht="14.25" customHeight="1">
      <c r="A1596" s="6"/>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row>
    <row r="1597" ht="14.25" customHeight="1">
      <c r="A1597" s="6"/>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row>
    <row r="1598" ht="14.25" customHeight="1">
      <c r="A1598" s="6"/>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row>
    <row r="1599" ht="14.25" customHeight="1">
      <c r="A1599" s="6"/>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row>
    <row r="1600" ht="14.25" customHeight="1">
      <c r="A1600" s="6"/>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row>
    <row r="1601" ht="14.25" customHeight="1">
      <c r="A1601" s="6"/>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row>
    <row r="1602" ht="14.25" customHeight="1">
      <c r="A1602" s="6"/>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row>
    <row r="1603" ht="14.25" customHeight="1">
      <c r="A1603" s="6"/>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row>
    <row r="1604" ht="14.25" customHeight="1">
      <c r="A1604" s="6"/>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row>
    <row r="1605" ht="14.25" customHeight="1">
      <c r="A1605" s="6"/>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row>
    <row r="1606" ht="14.25" customHeight="1">
      <c r="A1606" s="6"/>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row>
    <row r="1607" ht="14.25" customHeight="1">
      <c r="A1607" s="6"/>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row>
    <row r="1608" ht="14.25" customHeight="1">
      <c r="A1608" s="6"/>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row>
    <row r="1609" ht="14.25" customHeight="1">
      <c r="A1609" s="6"/>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row>
    <row r="1610" ht="14.25" customHeight="1">
      <c r="A1610" s="6"/>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row>
    <row r="1611" ht="14.25" customHeight="1">
      <c r="A1611" s="6"/>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row>
    <row r="1612" ht="14.25" customHeight="1">
      <c r="A1612" s="6"/>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row>
    <row r="1613" ht="14.25" customHeight="1">
      <c r="A1613" s="6"/>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row>
    <row r="1614" ht="14.25" customHeight="1">
      <c r="A1614" s="6"/>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row>
    <row r="1615" ht="14.25" customHeight="1">
      <c r="A1615" s="6"/>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row>
    <row r="1616" ht="14.25" customHeight="1">
      <c r="A1616" s="6"/>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row>
    <row r="1617" ht="14.25" customHeight="1">
      <c r="A1617" s="6"/>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row>
    <row r="1618" ht="14.25" customHeight="1">
      <c r="A1618" s="6"/>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row>
    <row r="1619" ht="14.25" customHeight="1">
      <c r="A1619" s="6"/>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row>
    <row r="1620" ht="14.25" customHeight="1">
      <c r="A1620" s="6"/>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row>
    <row r="1621" ht="14.25" customHeight="1">
      <c r="A1621" s="6"/>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row>
    <row r="1622" ht="14.25" customHeight="1">
      <c r="A1622" s="6"/>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row>
    <row r="1623" ht="14.25" customHeight="1">
      <c r="A1623" s="6"/>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row>
    <row r="1624" ht="14.25" customHeight="1">
      <c r="A1624" s="6"/>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row>
    <row r="1625" ht="14.25" customHeight="1">
      <c r="A1625" s="6"/>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row>
    <row r="1626" ht="14.25" customHeight="1">
      <c r="A1626" s="6"/>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row>
    <row r="1627" ht="14.25" customHeight="1">
      <c r="A1627" s="6"/>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row>
    <row r="1628" ht="14.25" customHeight="1">
      <c r="A1628" s="6"/>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row>
    <row r="1629" ht="14.25" customHeight="1">
      <c r="A1629" s="6"/>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row>
    <row r="1630" ht="14.25" customHeight="1">
      <c r="A1630" s="6"/>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row>
    <row r="1631" ht="14.25" customHeight="1">
      <c r="A1631" s="6"/>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row>
    <row r="1632" ht="14.25" customHeight="1">
      <c r="A1632" s="6"/>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row>
    <row r="1633" ht="14.25" customHeight="1">
      <c r="A1633" s="6"/>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row>
    <row r="1634" ht="14.25" customHeight="1">
      <c r="A1634" s="6"/>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row>
    <row r="1635" ht="14.25" customHeight="1">
      <c r="A1635" s="6"/>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row>
    <row r="1636" ht="14.25" customHeight="1">
      <c r="A1636" s="6"/>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row>
    <row r="1637" ht="14.25" customHeight="1">
      <c r="A1637" s="6"/>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row>
    <row r="1638" ht="14.25" customHeight="1">
      <c r="A1638" s="6"/>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row>
    <row r="1639" ht="14.25" customHeight="1">
      <c r="A1639" s="6"/>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row>
    <row r="1640" ht="14.25" customHeight="1">
      <c r="A1640" s="6"/>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row>
    <row r="1641" ht="14.25" customHeight="1">
      <c r="A1641" s="6"/>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row>
    <row r="1642" ht="14.25" customHeight="1">
      <c r="A1642" s="6"/>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row>
    <row r="1643" ht="14.25" customHeight="1">
      <c r="A1643" s="6"/>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row>
    <row r="1644" ht="14.25" customHeight="1">
      <c r="A1644" s="6"/>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row>
    <row r="1645" ht="14.25" customHeight="1">
      <c r="A1645" s="6"/>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row>
    <row r="1646" ht="14.25" customHeight="1">
      <c r="A1646" s="6"/>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row>
    <row r="1647" ht="14.25" customHeight="1">
      <c r="A1647" s="6"/>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row>
    <row r="1648" ht="14.25" customHeight="1">
      <c r="A1648" s="6"/>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row>
    <row r="1649" ht="14.25" customHeight="1">
      <c r="A1649" s="6"/>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row>
    <row r="1650" ht="14.25" customHeight="1">
      <c r="A1650" s="6"/>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row>
    <row r="1651" ht="14.25" customHeight="1">
      <c r="A1651" s="6"/>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row>
    <row r="1652" ht="14.25" customHeight="1">
      <c r="A1652" s="6"/>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row>
    <row r="1653" ht="14.25" customHeight="1">
      <c r="A1653" s="6"/>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row>
    <row r="1654" ht="14.25" customHeight="1">
      <c r="A1654" s="6"/>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row>
    <row r="1655" ht="14.25" customHeight="1">
      <c r="A1655" s="6"/>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row>
    <row r="1656" ht="14.25" customHeight="1">
      <c r="A1656" s="6"/>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row>
    <row r="1657" ht="14.25" customHeight="1">
      <c r="A1657" s="6"/>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row>
    <row r="1658" ht="14.25" customHeight="1">
      <c r="A1658" s="6"/>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row>
    <row r="1659" ht="14.25" customHeight="1">
      <c r="A1659" s="6"/>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row>
    <row r="1660" ht="14.25" customHeight="1">
      <c r="A1660" s="6"/>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row>
    <row r="1661" ht="14.25" customHeight="1">
      <c r="A1661" s="6"/>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row>
    <row r="1662" ht="14.25" customHeight="1">
      <c r="A1662" s="6"/>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row>
    <row r="1663" ht="14.25" customHeight="1">
      <c r="A1663" s="6"/>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row>
    <row r="1664" ht="14.25" customHeight="1">
      <c r="A1664" s="6"/>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row>
    <row r="1665" ht="14.25" customHeight="1">
      <c r="A1665" s="6"/>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row>
    <row r="1666" ht="14.25" customHeight="1">
      <c r="A1666" s="6"/>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row>
    <row r="1667" ht="14.25" customHeight="1">
      <c r="A1667" s="6"/>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row>
    <row r="1668" ht="14.25" customHeight="1">
      <c r="A1668" s="6"/>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row>
    <row r="1669" ht="14.25" customHeight="1">
      <c r="A1669" s="6"/>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row>
    <row r="1670" ht="14.25" customHeight="1">
      <c r="A1670" s="6"/>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row>
    <row r="1671" ht="14.25" customHeight="1">
      <c r="A1671" s="6"/>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row>
    <row r="1672" ht="14.25" customHeight="1">
      <c r="A1672" s="6"/>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row>
    <row r="1673" ht="14.25" customHeight="1">
      <c r="A1673" s="6"/>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row>
    <row r="1674" ht="14.25" customHeight="1">
      <c r="A1674" s="6"/>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row>
    <row r="1675" ht="14.25" customHeight="1">
      <c r="A1675" s="6"/>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row>
    <row r="1676" ht="14.25" customHeight="1">
      <c r="A1676" s="6"/>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row>
    <row r="1677" ht="14.25" customHeight="1">
      <c r="A1677" s="6"/>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row>
    <row r="1678" ht="14.25" customHeight="1">
      <c r="A1678" s="6"/>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row>
    <row r="1679" ht="14.25" customHeight="1">
      <c r="A1679" s="6"/>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row>
    <row r="1680" ht="14.25" customHeight="1">
      <c r="A1680" s="6"/>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row>
    <row r="1681" ht="14.25" customHeight="1">
      <c r="A1681" s="6"/>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row>
    <row r="1682" ht="14.25" customHeight="1">
      <c r="A1682" s="6"/>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row>
    <row r="1683" ht="14.25" customHeight="1">
      <c r="A1683" s="6"/>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row>
    <row r="1684" ht="14.25" customHeight="1">
      <c r="A1684" s="6"/>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row>
    <row r="1685" ht="14.25" customHeight="1">
      <c r="A1685" s="6"/>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row>
    <row r="1686" ht="14.25" customHeight="1">
      <c r="A1686" s="6"/>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row>
    <row r="1687" ht="14.25" customHeight="1">
      <c r="A1687" s="6"/>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row>
    <row r="1688" ht="14.25" customHeight="1">
      <c r="A1688" s="6"/>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row>
    <row r="1689" ht="14.25" customHeight="1">
      <c r="A1689" s="6"/>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row>
    <row r="1690" ht="14.25" customHeight="1">
      <c r="A1690" s="6"/>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row>
    <row r="1691" ht="14.25" customHeight="1">
      <c r="A1691" s="6"/>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row>
    <row r="1692" ht="14.25" customHeight="1">
      <c r="A1692" s="6"/>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row>
    <row r="1693" ht="14.25" customHeight="1">
      <c r="A1693" s="6"/>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row>
    <row r="1694" ht="14.25" customHeight="1">
      <c r="A1694" s="6"/>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row>
    <row r="1695" ht="14.25" customHeight="1">
      <c r="A1695" s="6"/>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row>
    <row r="1696" ht="14.25" customHeight="1">
      <c r="A1696" s="6"/>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row>
    <row r="1697" ht="14.25" customHeight="1">
      <c r="A1697" s="6"/>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row>
    <row r="1698" ht="14.25" customHeight="1">
      <c r="A1698" s="6"/>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row>
    <row r="1699" ht="14.25" customHeight="1">
      <c r="A1699" s="6"/>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row>
    <row r="1700" ht="14.25" customHeight="1">
      <c r="A1700" s="6"/>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row>
    <row r="1701" ht="14.25" customHeight="1">
      <c r="A1701" s="6"/>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row>
    <row r="1702" ht="14.25" customHeight="1">
      <c r="A1702" s="6"/>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row>
    <row r="1703" ht="14.25" customHeight="1">
      <c r="A1703" s="6"/>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row>
    <row r="1704" ht="14.25" customHeight="1">
      <c r="A1704" s="6"/>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row>
    <row r="1705" ht="14.25" customHeight="1">
      <c r="A1705" s="6"/>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row>
    <row r="1706" ht="14.25" customHeight="1">
      <c r="A1706" s="6"/>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row>
    <row r="1707" ht="14.25" customHeight="1">
      <c r="A1707" s="6"/>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row>
    <row r="1708" ht="14.25" customHeight="1">
      <c r="A1708" s="6"/>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row>
    <row r="1709" ht="14.25" customHeight="1">
      <c r="A1709" s="6"/>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row>
    <row r="1710" ht="14.25" customHeight="1">
      <c r="A1710" s="6"/>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row>
    <row r="1711" ht="14.25" customHeight="1">
      <c r="A1711" s="6"/>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row>
    <row r="1712" ht="14.25" customHeight="1">
      <c r="A1712" s="6"/>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row>
    <row r="1713" ht="14.25" customHeight="1">
      <c r="A1713" s="6"/>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row>
    <row r="1714" ht="14.25" customHeight="1">
      <c r="A1714" s="6"/>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row>
    <row r="1715" ht="14.25" customHeight="1">
      <c r="A1715" s="6"/>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row>
    <row r="1716" ht="14.25" customHeight="1">
      <c r="A1716" s="6"/>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row>
    <row r="1717" ht="14.25" customHeight="1">
      <c r="A1717" s="6"/>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row>
    <row r="1718" ht="14.25" customHeight="1">
      <c r="A1718" s="6"/>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row>
    <row r="1719" ht="14.25" customHeight="1">
      <c r="A1719" s="6"/>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row>
    <row r="1720" ht="14.25" customHeight="1">
      <c r="A1720" s="6"/>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row>
    <row r="1721" ht="14.25" customHeight="1">
      <c r="A1721" s="6"/>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row>
    <row r="1722" ht="14.25" customHeight="1">
      <c r="A1722" s="6"/>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row>
    <row r="1723" ht="14.25" customHeight="1">
      <c r="A1723" s="6"/>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row>
    <row r="1724" ht="14.25" customHeight="1">
      <c r="A1724" s="6"/>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row>
    <row r="1725" ht="14.25" customHeight="1">
      <c r="A1725" s="6"/>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row>
    <row r="1726" ht="14.25" customHeight="1">
      <c r="A1726" s="6"/>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row>
    <row r="1727" ht="14.25" customHeight="1">
      <c r="A1727" s="6"/>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row>
    <row r="1728" ht="14.25" customHeight="1">
      <c r="A1728" s="6"/>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row>
    <row r="1729" ht="14.25" customHeight="1">
      <c r="A1729" s="6"/>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row>
    <row r="1730" ht="14.25" customHeight="1">
      <c r="A1730" s="6"/>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row>
    <row r="1731" ht="14.25" customHeight="1">
      <c r="A1731" s="6"/>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row>
    <row r="1732" ht="14.25" customHeight="1">
      <c r="A1732" s="6"/>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row>
    <row r="1733" ht="14.25" customHeight="1">
      <c r="A1733" s="6"/>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row>
    <row r="1734" ht="14.25" customHeight="1">
      <c r="A1734" s="6"/>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row>
    <row r="1735" ht="14.25" customHeight="1">
      <c r="A1735" s="6"/>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row>
    <row r="1736" ht="14.25" customHeight="1">
      <c r="A1736" s="6"/>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row>
    <row r="1737" ht="14.25" customHeight="1">
      <c r="A1737" s="6"/>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row>
    <row r="1738" ht="14.25" customHeight="1">
      <c r="A1738" s="6"/>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row>
    <row r="1739" ht="14.25" customHeight="1">
      <c r="A1739" s="6"/>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row>
    <row r="1740" ht="14.25" customHeight="1">
      <c r="A1740" s="6"/>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row>
    <row r="1741" ht="14.25" customHeight="1">
      <c r="A1741" s="6"/>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row>
    <row r="1742" ht="14.25" customHeight="1">
      <c r="A1742" s="6"/>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row>
    <row r="1743" ht="14.25" customHeight="1">
      <c r="A1743" s="6"/>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row>
    <row r="1744" ht="14.25" customHeight="1">
      <c r="A1744" s="6"/>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row>
    <row r="1745" ht="14.25" customHeight="1">
      <c r="A1745" s="6"/>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row>
    <row r="1746" ht="14.25" customHeight="1">
      <c r="A1746" s="6"/>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row>
    <row r="1747" ht="14.25" customHeight="1">
      <c r="A1747" s="6"/>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row>
    <row r="1748" ht="14.25" customHeight="1">
      <c r="A1748" s="6"/>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row>
    <row r="1749" ht="14.25" customHeight="1">
      <c r="A1749" s="6"/>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row>
    <row r="1750" ht="14.25" customHeight="1">
      <c r="A1750" s="6"/>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row>
    <row r="1751" ht="14.25" customHeight="1">
      <c r="A1751" s="6"/>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row>
    <row r="1752" ht="14.25" customHeight="1">
      <c r="A1752" s="6"/>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row>
    <row r="1753" ht="14.25" customHeight="1">
      <c r="A1753" s="6"/>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row>
    <row r="1754" ht="14.25" customHeight="1">
      <c r="A1754" s="6"/>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row>
    <row r="1755" ht="14.25" customHeight="1">
      <c r="A1755" s="6"/>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row>
    <row r="1756" ht="14.25" customHeight="1">
      <c r="A1756" s="6"/>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row>
    <row r="1757" ht="14.25" customHeight="1">
      <c r="A1757" s="6"/>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row>
    <row r="1758" ht="14.25" customHeight="1">
      <c r="A1758" s="6"/>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row>
    <row r="1759" ht="14.25" customHeight="1">
      <c r="A1759" s="6"/>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row>
    <row r="1760" ht="14.25" customHeight="1">
      <c r="A1760" s="6"/>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row>
    <row r="1761" ht="14.25" customHeight="1">
      <c r="A1761" s="6"/>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row>
    <row r="1762" ht="14.25" customHeight="1">
      <c r="A1762" s="6"/>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row>
    <row r="1763" ht="14.25" customHeight="1">
      <c r="A1763" s="6"/>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row>
    <row r="1764" ht="14.25" customHeight="1">
      <c r="A1764" s="6"/>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row>
    <row r="1765" ht="14.25" customHeight="1">
      <c r="A1765" s="6"/>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row>
    <row r="1766" ht="14.25" customHeight="1">
      <c r="A1766" s="6"/>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row>
    <row r="1767" ht="14.25" customHeight="1">
      <c r="A1767" s="6"/>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row>
    <row r="1768" ht="14.25" customHeight="1">
      <c r="A1768" s="6"/>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row>
    <row r="1769" ht="14.25" customHeight="1">
      <c r="A1769" s="6"/>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row>
    <row r="1770" ht="14.25" customHeight="1">
      <c r="A1770" s="6"/>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row>
    <row r="1771" ht="14.25" customHeight="1">
      <c r="A1771" s="6"/>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row>
    <row r="1772" ht="14.25" customHeight="1">
      <c r="A1772" s="6"/>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row>
    <row r="1773" ht="14.25" customHeight="1">
      <c r="A1773" s="6"/>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row>
    <row r="1774" ht="14.25" customHeight="1">
      <c r="A1774" s="6"/>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row>
    <row r="1775" ht="14.25" customHeight="1">
      <c r="A1775" s="6"/>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row>
    <row r="1776" ht="14.25" customHeight="1">
      <c r="A1776" s="6"/>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row>
    <row r="1777" ht="14.25" customHeight="1">
      <c r="A1777" s="6"/>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row>
    <row r="1778" ht="14.25" customHeight="1">
      <c r="A1778" s="6"/>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row>
    <row r="1779" ht="14.25" customHeight="1">
      <c r="A1779" s="6"/>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row>
    <row r="1780" ht="14.25" customHeight="1">
      <c r="A1780" s="6"/>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row>
    <row r="1781" ht="14.25" customHeight="1">
      <c r="A1781" s="6"/>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row>
    <row r="1782" ht="14.25" customHeight="1">
      <c r="A1782" s="6"/>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row>
    <row r="1783" ht="14.25" customHeight="1">
      <c r="A1783" s="6"/>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row>
    <row r="1784" ht="14.25" customHeight="1">
      <c r="A1784" s="6"/>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row>
    <row r="1785" ht="14.25" customHeight="1">
      <c r="A1785" s="6"/>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row>
    <row r="1786" ht="14.25" customHeight="1">
      <c r="A1786" s="6"/>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row>
    <row r="1787" ht="14.25" customHeight="1">
      <c r="A1787" s="6"/>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row>
    <row r="1788" ht="14.25" customHeight="1">
      <c r="A1788" s="6"/>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row>
    <row r="1789" ht="14.25" customHeight="1">
      <c r="A1789" s="6"/>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row>
    <row r="1790" ht="14.25" customHeight="1">
      <c r="A1790" s="6"/>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row>
    <row r="1791" ht="14.25" customHeight="1">
      <c r="A1791" s="6"/>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row>
    <row r="1792" ht="14.25" customHeight="1">
      <c r="A1792" s="6"/>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row>
    <row r="1793" ht="14.25" customHeight="1">
      <c r="A1793" s="6"/>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row>
    <row r="1794" ht="14.25" customHeight="1">
      <c r="A1794" s="6"/>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row>
    <row r="1795" ht="14.25" customHeight="1">
      <c r="A1795" s="6"/>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row>
    <row r="1796" ht="14.25" customHeight="1">
      <c r="A1796" s="6"/>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row>
    <row r="1797" ht="14.25" customHeight="1">
      <c r="A1797" s="6"/>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row>
    <row r="1798" ht="14.25" customHeight="1">
      <c r="A1798" s="6"/>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row>
    <row r="1799" ht="14.25" customHeight="1">
      <c r="A1799" s="6"/>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row>
    <row r="1800" ht="14.25" customHeight="1">
      <c r="A1800" s="6"/>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row>
    <row r="1801" ht="14.25" customHeight="1">
      <c r="A1801" s="6"/>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row>
    <row r="1802" ht="14.25" customHeight="1">
      <c r="A1802" s="6"/>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row>
    <row r="1803" ht="14.25" customHeight="1">
      <c r="A1803" s="6"/>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row>
    <row r="1804" ht="14.25" customHeight="1">
      <c r="A1804" s="6"/>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row>
    <row r="1805" ht="14.25" customHeight="1">
      <c r="A1805" s="6"/>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row>
    <row r="1806" ht="14.25" customHeight="1">
      <c r="A1806" s="6"/>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row>
    <row r="1807" ht="14.25" customHeight="1">
      <c r="A1807" s="6"/>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row>
    <row r="1808" ht="14.25" customHeight="1">
      <c r="A1808" s="6"/>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row>
    <row r="1809" ht="14.25" customHeight="1">
      <c r="A1809" s="6"/>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row>
    <row r="1810" ht="14.25" customHeight="1">
      <c r="A1810" s="6"/>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row>
    <row r="1811" ht="14.25" customHeight="1">
      <c r="A1811" s="6"/>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row>
    <row r="1812" ht="14.25" customHeight="1">
      <c r="A1812" s="6"/>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row>
    <row r="1813" ht="14.25" customHeight="1">
      <c r="A1813" s="6"/>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row>
    <row r="1814" ht="14.25" customHeight="1">
      <c r="A1814" s="6"/>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row>
    <row r="1815" ht="14.25" customHeight="1">
      <c r="A1815" s="6"/>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row>
    <row r="1816" ht="14.25" customHeight="1">
      <c r="A1816" s="6"/>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row>
    <row r="1817" ht="14.25" customHeight="1">
      <c r="A1817" s="6"/>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row>
    <row r="1818" ht="14.25" customHeight="1">
      <c r="A1818" s="6"/>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row>
    <row r="1819" ht="14.25" customHeight="1">
      <c r="A1819" s="6"/>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row>
    <row r="1820" ht="14.25" customHeight="1">
      <c r="A1820" s="6"/>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row>
    <row r="1821" ht="14.25" customHeight="1">
      <c r="A1821" s="6"/>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row>
    <row r="1822" ht="14.25" customHeight="1">
      <c r="A1822" s="6"/>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row>
    <row r="1823" ht="14.25" customHeight="1">
      <c r="A1823" s="6"/>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row>
    <row r="1824" ht="14.25" customHeight="1">
      <c r="A1824" s="6"/>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row>
    <row r="1825" ht="14.25" customHeight="1">
      <c r="A1825" s="6"/>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row>
    <row r="1826" ht="14.25" customHeight="1">
      <c r="A1826" s="6"/>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row>
    <row r="1827" ht="14.25" customHeight="1">
      <c r="A1827" s="6"/>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row>
    <row r="1828" ht="14.25" customHeight="1">
      <c r="A1828" s="6"/>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row>
    <row r="1829" ht="14.25" customHeight="1">
      <c r="A1829" s="6"/>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row>
    <row r="1830" ht="14.25" customHeight="1">
      <c r="A1830" s="6"/>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row>
    <row r="1831" ht="14.25" customHeight="1">
      <c r="A1831" s="6"/>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row>
    <row r="1832" ht="14.25" customHeight="1">
      <c r="A1832" s="6"/>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row>
    <row r="1833" ht="14.25" customHeight="1">
      <c r="A1833" s="6"/>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row>
    <row r="1834" ht="14.25" customHeight="1">
      <c r="A1834" s="6"/>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row>
    <row r="1835" ht="14.25" customHeight="1">
      <c r="A1835" s="6"/>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row>
    <row r="1836" ht="14.25" customHeight="1">
      <c r="A1836" s="6"/>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row>
    <row r="1837" ht="14.25" customHeight="1">
      <c r="A1837" s="6"/>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row>
    <row r="1838" ht="14.25" customHeight="1">
      <c r="A1838" s="6"/>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row>
    <row r="1839" ht="14.25" customHeight="1">
      <c r="A1839" s="6"/>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row>
    <row r="1840" ht="14.25" customHeight="1">
      <c r="A1840" s="6"/>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row>
    <row r="1841" ht="14.25" customHeight="1">
      <c r="A1841" s="6"/>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row>
    <row r="1842" ht="14.25" customHeight="1">
      <c r="A1842" s="6"/>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row>
    <row r="1843" ht="14.25" customHeight="1">
      <c r="A1843" s="6"/>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row>
    <row r="1844" ht="14.25" customHeight="1">
      <c r="A1844" s="6"/>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row>
    <row r="1845" ht="14.25" customHeight="1">
      <c r="A1845" s="6"/>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row>
    <row r="1846" ht="14.25" customHeight="1">
      <c r="A1846" s="6"/>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row>
    <row r="1847" ht="14.25" customHeight="1">
      <c r="A1847" s="6"/>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row>
    <row r="1848" ht="14.25" customHeight="1">
      <c r="A1848" s="6"/>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row>
    <row r="1849" ht="14.25" customHeight="1">
      <c r="A1849" s="6"/>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row>
    <row r="1850" ht="14.25" customHeight="1">
      <c r="A1850" s="6"/>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row>
    <row r="1851" ht="14.25" customHeight="1">
      <c r="A1851" s="6"/>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row>
    <row r="1852" ht="14.25" customHeight="1">
      <c r="A1852" s="6"/>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row>
    <row r="1853" ht="14.25" customHeight="1">
      <c r="A1853" s="6"/>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row>
    <row r="1854" ht="14.25" customHeight="1">
      <c r="A1854" s="6"/>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row>
    <row r="1855" ht="14.25" customHeight="1">
      <c r="A1855" s="6"/>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row>
    <row r="1856" ht="14.25" customHeight="1">
      <c r="A1856" s="6"/>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row>
    <row r="1857" ht="14.25" customHeight="1">
      <c r="A1857" s="6"/>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row>
    <row r="1858" ht="14.25" customHeight="1">
      <c r="A1858" s="6"/>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row>
    <row r="1859" ht="14.25" customHeight="1">
      <c r="A1859" s="6"/>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row>
    <row r="1860" ht="14.25" customHeight="1">
      <c r="A1860" s="6"/>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row>
    <row r="1861" ht="14.25" customHeight="1">
      <c r="A1861" s="6"/>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row>
    <row r="1862" ht="14.25" customHeight="1">
      <c r="A1862" s="6"/>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row>
    <row r="1863" ht="14.25" customHeight="1">
      <c r="A1863" s="6"/>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row>
    <row r="1864" ht="14.25" customHeight="1">
      <c r="A1864" s="6"/>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row>
    <row r="1865" ht="14.25" customHeight="1">
      <c r="A1865" s="6"/>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row>
    <row r="1866" ht="14.25" customHeight="1">
      <c r="A1866" s="6"/>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row>
    <row r="1867" ht="14.25" customHeight="1">
      <c r="A1867" s="6"/>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row>
    <row r="1868" ht="14.25" customHeight="1">
      <c r="A1868" s="6"/>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row>
    <row r="1869" ht="14.25" customHeight="1">
      <c r="A1869" s="6"/>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row>
    <row r="1870" ht="14.25" customHeight="1">
      <c r="A1870" s="6"/>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row>
    <row r="1871" ht="14.25" customHeight="1">
      <c r="A1871" s="6"/>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row>
    <row r="1872" ht="14.25" customHeight="1">
      <c r="A1872" s="6"/>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row>
    <row r="1873" ht="14.25" customHeight="1">
      <c r="A1873" s="6"/>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row>
    <row r="1874" ht="14.25" customHeight="1">
      <c r="A1874" s="6"/>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row>
    <row r="1875" ht="14.25" customHeight="1">
      <c r="A1875" s="6"/>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row>
    <row r="1876" ht="14.25" customHeight="1">
      <c r="A1876" s="6"/>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row>
    <row r="1877" ht="14.25" customHeight="1">
      <c r="A1877" s="6"/>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row>
    <row r="1878" ht="14.25" customHeight="1">
      <c r="A1878" s="6"/>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row>
    <row r="1879" ht="14.25" customHeight="1">
      <c r="A1879" s="6"/>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row>
    <row r="1880" ht="14.25" customHeight="1">
      <c r="A1880" s="6"/>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row>
    <row r="1881" ht="14.25" customHeight="1">
      <c r="A1881" s="6"/>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row>
    <row r="1882" ht="14.25" customHeight="1">
      <c r="A1882" s="6"/>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row>
    <row r="1883" ht="14.25" customHeight="1">
      <c r="A1883" s="6"/>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row>
    <row r="1884" ht="14.25" customHeight="1">
      <c r="A1884" s="6"/>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row>
    <row r="1885" ht="14.25" customHeight="1">
      <c r="A1885" s="6"/>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row>
    <row r="1886" ht="14.25" customHeight="1">
      <c r="A1886" s="6"/>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row>
    <row r="1887" ht="14.25" customHeight="1">
      <c r="A1887" s="6"/>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row>
    <row r="1888" ht="14.25" customHeight="1">
      <c r="A1888" s="6"/>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row>
    <row r="1889" ht="14.25" customHeight="1">
      <c r="A1889" s="6"/>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row>
    <row r="1890" ht="14.25" customHeight="1">
      <c r="A1890" s="6"/>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row>
    <row r="1891" ht="14.25" customHeight="1">
      <c r="A1891" s="6"/>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row>
    <row r="1892" ht="14.25" customHeight="1">
      <c r="A1892" s="6"/>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row>
    <row r="1893" ht="14.25" customHeight="1">
      <c r="A1893" s="6"/>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row>
    <row r="1894" ht="14.25" customHeight="1">
      <c r="A1894" s="6"/>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row>
    <row r="1895" ht="14.25" customHeight="1">
      <c r="A1895" s="6"/>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row>
    <row r="1896" ht="14.25" customHeight="1">
      <c r="A1896" s="6"/>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row>
    <row r="1897" ht="14.25" customHeight="1">
      <c r="A1897" s="6"/>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row>
    <row r="1898" ht="14.25" customHeight="1">
      <c r="A1898" s="6"/>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row>
    <row r="1899" ht="14.25" customHeight="1">
      <c r="A1899" s="6"/>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row>
    <row r="1900" ht="14.25" customHeight="1">
      <c r="A1900" s="6"/>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row>
    <row r="1901" ht="14.25" customHeight="1">
      <c r="A1901" s="6"/>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row>
    <row r="1902" ht="14.25" customHeight="1">
      <c r="A1902" s="6"/>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row>
    <row r="1903" ht="14.25" customHeight="1">
      <c r="A1903" s="6"/>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row>
    <row r="1904" ht="14.25" customHeight="1">
      <c r="A1904" s="6"/>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row>
    <row r="1905" ht="14.25" customHeight="1">
      <c r="A1905" s="6"/>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row>
    <row r="1906" ht="14.25" customHeight="1">
      <c r="A1906" s="6"/>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row>
    <row r="1907" ht="14.25" customHeight="1">
      <c r="A1907" s="6"/>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row>
    <row r="1908" ht="14.25" customHeight="1">
      <c r="A1908" s="6"/>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row>
    <row r="1909" ht="14.25" customHeight="1">
      <c r="A1909" s="6"/>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row>
    <row r="1910" ht="14.25" customHeight="1">
      <c r="A1910" s="6"/>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row>
    <row r="1911" ht="14.25" customHeight="1">
      <c r="A1911" s="6"/>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row>
    <row r="1912" ht="14.25" customHeight="1">
      <c r="A1912" s="6"/>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row>
    <row r="1913" ht="14.25" customHeight="1">
      <c r="A1913" s="6"/>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row>
    <row r="1914" ht="14.25" customHeight="1">
      <c r="A1914" s="6"/>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row>
    <row r="1915" ht="14.25" customHeight="1">
      <c r="A1915" s="6"/>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row>
    <row r="1916" ht="14.25" customHeight="1">
      <c r="A1916" s="6"/>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row>
    <row r="1917" ht="14.25" customHeight="1">
      <c r="A1917" s="6"/>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row>
    <row r="1918" ht="14.25" customHeight="1">
      <c r="A1918" s="6"/>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row>
    <row r="1919" ht="14.25" customHeight="1">
      <c r="A1919" s="6"/>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row>
    <row r="1920" ht="14.25" customHeight="1">
      <c r="A1920" s="6"/>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row>
    <row r="1921" ht="14.25" customHeight="1">
      <c r="A1921" s="6"/>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row>
    <row r="1922" ht="14.25" customHeight="1">
      <c r="A1922" s="6"/>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row>
    <row r="1923" ht="14.25" customHeight="1">
      <c r="A1923" s="6"/>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row>
    <row r="1924" ht="14.25" customHeight="1">
      <c r="A1924" s="6"/>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row>
    <row r="1925" ht="14.25" customHeight="1">
      <c r="A1925" s="6"/>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row>
    <row r="1926" ht="14.25" customHeight="1">
      <c r="A1926" s="6"/>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row>
    <row r="1927" ht="14.25" customHeight="1">
      <c r="A1927" s="6"/>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row>
    <row r="1928" ht="14.25" customHeight="1">
      <c r="A1928" s="6"/>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row>
    <row r="1929" ht="14.25" customHeight="1">
      <c r="A1929" s="6"/>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row>
    <row r="1930" ht="14.25" customHeight="1">
      <c r="A1930" s="6"/>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row>
    <row r="1931" ht="14.25" customHeight="1">
      <c r="A1931" s="6"/>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row>
    <row r="1932" ht="14.25" customHeight="1">
      <c r="A1932" s="6"/>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row>
    <row r="1933" ht="14.25" customHeight="1">
      <c r="A1933" s="6"/>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row>
    <row r="1934" ht="14.25" customHeight="1">
      <c r="A1934" s="6"/>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row>
    <row r="1935" ht="14.25" customHeight="1">
      <c r="A1935" s="6"/>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row>
    <row r="1936" ht="14.25" customHeight="1">
      <c r="A1936" s="6"/>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row>
    <row r="1937" ht="14.25" customHeight="1">
      <c r="A1937" s="6"/>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row>
    <row r="1938" ht="14.25" customHeight="1">
      <c r="A1938" s="6"/>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row>
    <row r="1939" ht="14.25" customHeight="1">
      <c r="A1939" s="6"/>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row>
    <row r="1940" ht="14.25" customHeight="1">
      <c r="A1940" s="6"/>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row>
    <row r="1941" ht="14.25" customHeight="1">
      <c r="A1941" s="6"/>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row>
    <row r="1942" ht="14.25" customHeight="1">
      <c r="A1942" s="6"/>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row>
    <row r="1943" ht="14.25" customHeight="1">
      <c r="A1943" s="6"/>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row>
    <row r="1944" ht="14.25" customHeight="1">
      <c r="A1944" s="6"/>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row>
    <row r="1945" ht="14.25" customHeight="1">
      <c r="A1945" s="6"/>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row>
    <row r="1946" ht="14.25" customHeight="1">
      <c r="A1946" s="6"/>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row>
    <row r="1947" ht="14.25" customHeight="1">
      <c r="A1947" s="6"/>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row>
    <row r="1948" ht="14.25" customHeight="1">
      <c r="A1948" s="6"/>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row>
    <row r="1949" ht="14.25" customHeight="1">
      <c r="A1949" s="6"/>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row>
    <row r="1950" ht="14.25" customHeight="1">
      <c r="A1950" s="6"/>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row>
    <row r="1951" ht="14.25" customHeight="1">
      <c r="A1951" s="6"/>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row>
    <row r="1952" ht="14.25" customHeight="1">
      <c r="A1952" s="6"/>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row>
    <row r="1953" ht="14.25" customHeight="1">
      <c r="A1953" s="6"/>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row>
    <row r="1954" ht="14.25" customHeight="1">
      <c r="A1954" s="6"/>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row>
    <row r="1955" ht="14.25" customHeight="1">
      <c r="A1955" s="6"/>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row>
    <row r="1956" ht="14.25" customHeight="1">
      <c r="A1956" s="6"/>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row>
    <row r="1957" ht="14.25" customHeight="1">
      <c r="A1957" s="6"/>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row>
    <row r="1958" ht="14.25" customHeight="1">
      <c r="A1958" s="6"/>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row>
    <row r="1959" ht="14.25" customHeight="1">
      <c r="A1959" s="6"/>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row>
    <row r="1960" ht="14.25" customHeight="1">
      <c r="A1960" s="6"/>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row>
    <row r="1961" ht="14.25" customHeight="1">
      <c r="A1961" s="6"/>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row>
    <row r="1962" ht="14.25" customHeight="1">
      <c r="A1962" s="6"/>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row>
    <row r="1963" ht="14.25" customHeight="1">
      <c r="A1963" s="6"/>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row>
    <row r="1964" ht="14.25" customHeight="1">
      <c r="A1964" s="6"/>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row>
    <row r="1965" ht="14.25" customHeight="1">
      <c r="A1965" s="6"/>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row>
    <row r="1966" ht="14.25" customHeight="1">
      <c r="A1966" s="6"/>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row>
    <row r="1967" ht="14.25" customHeight="1">
      <c r="A1967" s="6"/>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row>
    <row r="1968" ht="14.25" customHeight="1">
      <c r="A1968" s="6"/>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row>
    <row r="1969" ht="14.25" customHeight="1">
      <c r="A1969" s="6"/>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row>
    <row r="1970" ht="14.25" customHeight="1">
      <c r="A1970" s="6"/>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row>
    <row r="1971" ht="14.25" customHeight="1">
      <c r="A1971" s="6"/>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row>
    <row r="1972" ht="14.25" customHeight="1">
      <c r="A1972" s="6"/>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row>
    <row r="1973" ht="14.25" customHeight="1">
      <c r="A1973" s="6"/>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row>
    <row r="1974" ht="14.25" customHeight="1">
      <c r="A1974" s="6"/>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row>
    <row r="1975" ht="14.25" customHeight="1">
      <c r="A1975" s="6"/>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row>
    <row r="1976" ht="14.25" customHeight="1">
      <c r="A1976" s="6"/>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row>
    <row r="1977" ht="14.25" customHeight="1">
      <c r="A1977" s="6"/>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row>
    <row r="1978" ht="14.25" customHeight="1">
      <c r="A1978" s="6"/>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row>
    <row r="1979" ht="14.25" customHeight="1">
      <c r="A1979" s="6"/>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row>
    <row r="1980" ht="14.25" customHeight="1">
      <c r="A1980" s="6"/>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row>
    <row r="1981" ht="14.25" customHeight="1">
      <c r="A1981" s="6"/>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row>
    <row r="1982" ht="14.25" customHeight="1">
      <c r="A1982" s="6"/>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row>
    <row r="1983" ht="14.25" customHeight="1">
      <c r="A1983" s="6"/>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row>
    <row r="1984" ht="14.25" customHeight="1">
      <c r="A1984" s="6"/>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row>
    <row r="1985" ht="14.25" customHeight="1">
      <c r="A1985" s="6"/>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row>
    <row r="1986" ht="14.25" customHeight="1">
      <c r="A1986" s="6"/>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row>
    <row r="1987" ht="14.25" customHeight="1">
      <c r="A1987" s="6"/>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row>
    <row r="1988" ht="14.25" customHeight="1">
      <c r="A1988" s="6"/>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row>
    <row r="1989" ht="14.25" customHeight="1">
      <c r="A1989" s="6"/>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row>
    <row r="1990" ht="14.25" customHeight="1">
      <c r="A1990" s="6"/>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row>
    <row r="1991" ht="14.25" customHeight="1">
      <c r="A1991" s="6"/>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row>
    <row r="1992" ht="14.25" customHeight="1">
      <c r="A1992" s="6"/>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row>
    <row r="1993" ht="14.25" customHeight="1">
      <c r="A1993" s="6"/>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row>
    <row r="1994" ht="14.25" customHeight="1">
      <c r="A1994" s="6"/>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row>
    <row r="1995" ht="14.25" customHeight="1">
      <c r="A1995" s="6"/>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row>
    <row r="1996" ht="14.25" customHeight="1">
      <c r="A1996" s="6"/>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row>
    <row r="1997" ht="14.25" customHeight="1">
      <c r="A1997" s="6"/>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row>
    <row r="1998" ht="14.25" customHeight="1">
      <c r="A1998" s="6"/>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row>
    <row r="1999" ht="14.25" customHeight="1">
      <c r="A1999" s="6"/>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row>
    <row r="2000" ht="14.25" customHeight="1">
      <c r="A2000" s="6"/>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row>
    <row r="2001" ht="14.25" customHeight="1">
      <c r="A2001" s="6"/>
      <c r="B2001" s="6"/>
      <c r="C2001" s="6"/>
      <c r="D2001" s="6"/>
      <c r="E2001" s="6"/>
      <c r="F2001" s="6"/>
      <c r="G2001" s="6"/>
      <c r="H2001" s="6"/>
      <c r="I2001" s="6"/>
      <c r="J2001" s="6"/>
      <c r="K2001" s="6"/>
      <c r="L2001" s="6"/>
      <c r="M2001" s="6"/>
      <c r="N2001" s="6"/>
      <c r="O2001" s="6"/>
      <c r="P2001" s="6"/>
      <c r="Q2001" s="6"/>
      <c r="R2001" s="6"/>
      <c r="S2001" s="6"/>
      <c r="T2001" s="6"/>
      <c r="U2001" s="6"/>
      <c r="V2001" s="6"/>
      <c r="W2001" s="6"/>
      <c r="X2001" s="6"/>
      <c r="Y2001" s="6"/>
      <c r="Z2001" s="6"/>
      <c r="AA2001" s="6"/>
    </row>
    <row r="2002" ht="14.25" customHeight="1">
      <c r="A2002" s="6"/>
      <c r="B2002" s="6"/>
      <c r="C2002" s="6"/>
      <c r="D2002" s="6"/>
      <c r="E2002" s="6"/>
      <c r="F2002" s="6"/>
      <c r="G2002" s="6"/>
      <c r="H2002" s="6"/>
      <c r="I2002" s="6"/>
      <c r="J2002" s="6"/>
      <c r="K2002" s="6"/>
      <c r="L2002" s="6"/>
      <c r="M2002" s="6"/>
      <c r="N2002" s="6"/>
      <c r="O2002" s="6"/>
      <c r="P2002" s="6"/>
      <c r="Q2002" s="6"/>
      <c r="R2002" s="6"/>
      <c r="S2002" s="6"/>
      <c r="T2002" s="6"/>
      <c r="U2002" s="6"/>
      <c r="V2002" s="6"/>
      <c r="W2002" s="6"/>
      <c r="X2002" s="6"/>
      <c r="Y2002" s="6"/>
      <c r="Z2002" s="6"/>
      <c r="AA2002" s="6"/>
    </row>
    <row r="2003" ht="14.25" customHeight="1">
      <c r="A2003" s="6"/>
      <c r="B2003" s="6"/>
      <c r="C2003" s="6"/>
      <c r="D2003" s="6"/>
      <c r="E2003" s="6"/>
      <c r="F2003" s="6"/>
      <c r="G2003" s="6"/>
      <c r="H2003" s="6"/>
      <c r="I2003" s="6"/>
      <c r="J2003" s="6"/>
      <c r="K2003" s="6"/>
      <c r="L2003" s="6"/>
      <c r="M2003" s="6"/>
      <c r="N2003" s="6"/>
      <c r="O2003" s="6"/>
      <c r="P2003" s="6"/>
      <c r="Q2003" s="6"/>
      <c r="R2003" s="6"/>
      <c r="S2003" s="6"/>
      <c r="T2003" s="6"/>
      <c r="U2003" s="6"/>
      <c r="V2003" s="6"/>
      <c r="W2003" s="6"/>
      <c r="X2003" s="6"/>
      <c r="Y2003" s="6"/>
      <c r="Z2003" s="6"/>
      <c r="AA2003" s="6"/>
    </row>
    <row r="2004" ht="14.25" customHeight="1">
      <c r="A2004" s="6"/>
      <c r="B2004" s="6"/>
      <c r="C2004" s="6"/>
      <c r="D2004" s="6"/>
      <c r="E2004" s="6"/>
      <c r="F2004" s="6"/>
      <c r="G2004" s="6"/>
      <c r="H2004" s="6"/>
      <c r="I2004" s="6"/>
      <c r="J2004" s="6"/>
      <c r="K2004" s="6"/>
      <c r="L2004" s="6"/>
      <c r="M2004" s="6"/>
      <c r="N2004" s="6"/>
      <c r="O2004" s="6"/>
      <c r="P2004" s="6"/>
      <c r="Q2004" s="6"/>
      <c r="R2004" s="6"/>
      <c r="S2004" s="6"/>
      <c r="T2004" s="6"/>
      <c r="U2004" s="6"/>
      <c r="V2004" s="6"/>
      <c r="W2004" s="6"/>
      <c r="X2004" s="6"/>
      <c r="Y2004" s="6"/>
      <c r="Z2004" s="6"/>
      <c r="AA2004" s="6"/>
    </row>
    <row r="2005" ht="14.25" customHeight="1">
      <c r="A2005" s="6"/>
      <c r="B2005" s="6"/>
      <c r="C2005" s="6"/>
      <c r="D2005" s="6"/>
      <c r="E2005" s="6"/>
      <c r="F2005" s="6"/>
      <c r="G2005" s="6"/>
      <c r="H2005" s="6"/>
      <c r="I2005" s="6"/>
      <c r="J2005" s="6"/>
      <c r="K2005" s="6"/>
      <c r="L2005" s="6"/>
      <c r="M2005" s="6"/>
      <c r="N2005" s="6"/>
      <c r="O2005" s="6"/>
      <c r="P2005" s="6"/>
      <c r="Q2005" s="6"/>
      <c r="R2005" s="6"/>
      <c r="S2005" s="6"/>
      <c r="T2005" s="6"/>
      <c r="U2005" s="6"/>
      <c r="V2005" s="6"/>
      <c r="W2005" s="6"/>
      <c r="X2005" s="6"/>
      <c r="Y2005" s="6"/>
      <c r="Z2005" s="6"/>
      <c r="AA2005" s="6"/>
    </row>
    <row r="2006" ht="14.25" customHeight="1">
      <c r="A2006" s="6"/>
      <c r="B2006" s="6"/>
      <c r="C2006" s="6"/>
      <c r="D2006" s="6"/>
      <c r="E2006" s="6"/>
      <c r="F2006" s="6"/>
      <c r="G2006" s="6"/>
      <c r="H2006" s="6"/>
      <c r="I2006" s="6"/>
      <c r="J2006" s="6"/>
      <c r="K2006" s="6"/>
      <c r="L2006" s="6"/>
      <c r="M2006" s="6"/>
      <c r="N2006" s="6"/>
      <c r="O2006" s="6"/>
      <c r="P2006" s="6"/>
      <c r="Q2006" s="6"/>
      <c r="R2006" s="6"/>
      <c r="S2006" s="6"/>
      <c r="T2006" s="6"/>
      <c r="U2006" s="6"/>
      <c r="V2006" s="6"/>
      <c r="W2006" s="6"/>
      <c r="X2006" s="6"/>
      <c r="Y2006" s="6"/>
      <c r="Z2006" s="6"/>
      <c r="AA2006" s="6"/>
    </row>
    <row r="2007" ht="14.25" customHeight="1">
      <c r="A2007" s="6"/>
      <c r="B2007" s="6"/>
      <c r="C2007" s="6"/>
      <c r="D2007" s="6"/>
      <c r="E2007" s="6"/>
      <c r="F2007" s="6"/>
      <c r="G2007" s="6"/>
      <c r="H2007" s="6"/>
      <c r="I2007" s="6"/>
      <c r="J2007" s="6"/>
      <c r="K2007" s="6"/>
      <c r="L2007" s="6"/>
      <c r="M2007" s="6"/>
      <c r="N2007" s="6"/>
      <c r="O2007" s="6"/>
      <c r="P2007" s="6"/>
      <c r="Q2007" s="6"/>
      <c r="R2007" s="6"/>
      <c r="S2007" s="6"/>
      <c r="T2007" s="6"/>
      <c r="U2007" s="6"/>
      <c r="V2007" s="6"/>
      <c r="W2007" s="6"/>
      <c r="X2007" s="6"/>
      <c r="Y2007" s="6"/>
      <c r="Z2007" s="6"/>
      <c r="AA2007" s="6"/>
    </row>
    <row r="2008" ht="14.25" customHeight="1">
      <c r="A2008" s="6"/>
      <c r="B2008" s="6"/>
      <c r="C2008" s="6"/>
      <c r="D2008" s="6"/>
      <c r="E2008" s="6"/>
      <c r="F2008" s="6"/>
      <c r="G2008" s="6"/>
      <c r="H2008" s="6"/>
      <c r="I2008" s="6"/>
      <c r="J2008" s="6"/>
      <c r="K2008" s="6"/>
      <c r="L2008" s="6"/>
      <c r="M2008" s="6"/>
      <c r="N2008" s="6"/>
      <c r="O2008" s="6"/>
      <c r="P2008" s="6"/>
      <c r="Q2008" s="6"/>
      <c r="R2008" s="6"/>
      <c r="S2008" s="6"/>
      <c r="T2008" s="6"/>
      <c r="U2008" s="6"/>
      <c r="V2008" s="6"/>
      <c r="W2008" s="6"/>
      <c r="X2008" s="6"/>
      <c r="Y2008" s="6"/>
      <c r="Z2008" s="6"/>
      <c r="AA2008" s="6"/>
    </row>
    <row r="2009" ht="14.25" customHeight="1">
      <c r="A2009" s="6"/>
      <c r="B2009" s="6"/>
      <c r="C2009" s="6"/>
      <c r="D2009" s="6"/>
      <c r="E2009" s="6"/>
      <c r="F2009" s="6"/>
      <c r="G2009" s="6"/>
      <c r="H2009" s="6"/>
      <c r="I2009" s="6"/>
      <c r="J2009" s="6"/>
      <c r="K2009" s="6"/>
      <c r="L2009" s="6"/>
      <c r="M2009" s="6"/>
      <c r="N2009" s="6"/>
      <c r="O2009" s="6"/>
      <c r="P2009" s="6"/>
      <c r="Q2009" s="6"/>
      <c r="R2009" s="6"/>
      <c r="S2009" s="6"/>
      <c r="T2009" s="6"/>
      <c r="U2009" s="6"/>
      <c r="V2009" s="6"/>
      <c r="W2009" s="6"/>
      <c r="X2009" s="6"/>
      <c r="Y2009" s="6"/>
      <c r="Z2009" s="6"/>
      <c r="AA2009" s="6"/>
    </row>
    <row r="2010" ht="14.25" customHeight="1">
      <c r="A2010" s="6"/>
      <c r="B2010" s="6"/>
      <c r="C2010" s="6"/>
      <c r="D2010" s="6"/>
      <c r="E2010" s="6"/>
      <c r="F2010" s="6"/>
      <c r="G2010" s="6"/>
      <c r="H2010" s="6"/>
      <c r="I2010" s="6"/>
      <c r="J2010" s="6"/>
      <c r="K2010" s="6"/>
      <c r="L2010" s="6"/>
      <c r="M2010" s="6"/>
      <c r="N2010" s="6"/>
      <c r="O2010" s="6"/>
      <c r="P2010" s="6"/>
      <c r="Q2010" s="6"/>
      <c r="R2010" s="6"/>
      <c r="S2010" s="6"/>
      <c r="T2010" s="6"/>
      <c r="U2010" s="6"/>
      <c r="V2010" s="6"/>
      <c r="W2010" s="6"/>
      <c r="X2010" s="6"/>
      <c r="Y2010" s="6"/>
      <c r="Z2010" s="6"/>
      <c r="AA2010" s="6"/>
    </row>
    <row r="2011" ht="14.25" customHeight="1">
      <c r="A2011" s="6"/>
      <c r="B2011" s="6"/>
      <c r="C2011" s="6"/>
      <c r="D2011" s="6"/>
      <c r="E2011" s="6"/>
      <c r="F2011" s="6"/>
      <c r="G2011" s="6"/>
      <c r="H2011" s="6"/>
      <c r="I2011" s="6"/>
      <c r="J2011" s="6"/>
      <c r="K2011" s="6"/>
      <c r="L2011" s="6"/>
      <c r="M2011" s="6"/>
      <c r="N2011" s="6"/>
      <c r="O2011" s="6"/>
      <c r="P2011" s="6"/>
      <c r="Q2011" s="6"/>
      <c r="R2011" s="6"/>
      <c r="S2011" s="6"/>
      <c r="T2011" s="6"/>
      <c r="U2011" s="6"/>
      <c r="V2011" s="6"/>
      <c r="W2011" s="6"/>
      <c r="X2011" s="6"/>
      <c r="Y2011" s="6"/>
      <c r="Z2011" s="6"/>
      <c r="AA2011" s="6"/>
    </row>
    <row r="2012" ht="14.25" customHeight="1">
      <c r="A2012" s="6"/>
      <c r="B2012" s="6"/>
      <c r="C2012" s="6"/>
      <c r="D2012" s="6"/>
      <c r="E2012" s="6"/>
      <c r="F2012" s="6"/>
      <c r="G2012" s="6"/>
      <c r="H2012" s="6"/>
      <c r="I2012" s="6"/>
      <c r="J2012" s="6"/>
      <c r="K2012" s="6"/>
      <c r="L2012" s="6"/>
      <c r="M2012" s="6"/>
      <c r="N2012" s="6"/>
      <c r="O2012" s="6"/>
      <c r="P2012" s="6"/>
      <c r="Q2012" s="6"/>
      <c r="R2012" s="6"/>
      <c r="S2012" s="6"/>
      <c r="T2012" s="6"/>
      <c r="U2012" s="6"/>
      <c r="V2012" s="6"/>
      <c r="W2012" s="6"/>
      <c r="X2012" s="6"/>
      <c r="Y2012" s="6"/>
      <c r="Z2012" s="6"/>
      <c r="AA2012" s="6"/>
    </row>
    <row r="2013" ht="14.25" customHeight="1">
      <c r="A2013" s="6"/>
      <c r="B2013" s="6"/>
      <c r="C2013" s="6"/>
      <c r="D2013" s="6"/>
      <c r="E2013" s="6"/>
      <c r="F2013" s="6"/>
      <c r="G2013" s="6"/>
      <c r="H2013" s="6"/>
      <c r="I2013" s="6"/>
      <c r="J2013" s="6"/>
      <c r="K2013" s="6"/>
      <c r="L2013" s="6"/>
      <c r="M2013" s="6"/>
      <c r="N2013" s="6"/>
      <c r="O2013" s="6"/>
      <c r="P2013" s="6"/>
      <c r="Q2013" s="6"/>
      <c r="R2013" s="6"/>
      <c r="S2013" s="6"/>
      <c r="T2013" s="6"/>
      <c r="U2013" s="6"/>
      <c r="V2013" s="6"/>
      <c r="W2013" s="6"/>
      <c r="X2013" s="6"/>
      <c r="Y2013" s="6"/>
      <c r="Z2013" s="6"/>
      <c r="AA2013" s="6"/>
    </row>
    <row r="2014" ht="14.25" customHeight="1">
      <c r="A2014" s="6"/>
      <c r="B2014" s="6"/>
      <c r="C2014" s="6"/>
      <c r="D2014" s="6"/>
      <c r="E2014" s="6"/>
      <c r="F2014" s="6"/>
      <c r="G2014" s="6"/>
      <c r="H2014" s="6"/>
      <c r="I2014" s="6"/>
      <c r="J2014" s="6"/>
      <c r="K2014" s="6"/>
      <c r="L2014" s="6"/>
      <c r="M2014" s="6"/>
      <c r="N2014" s="6"/>
      <c r="O2014" s="6"/>
      <c r="P2014" s="6"/>
      <c r="Q2014" s="6"/>
      <c r="R2014" s="6"/>
      <c r="S2014" s="6"/>
      <c r="T2014" s="6"/>
      <c r="U2014" s="6"/>
      <c r="V2014" s="6"/>
      <c r="W2014" s="6"/>
      <c r="X2014" s="6"/>
      <c r="Y2014" s="6"/>
      <c r="Z2014" s="6"/>
      <c r="AA2014" s="6"/>
    </row>
    <row r="2015" ht="14.25" customHeight="1">
      <c r="A2015" s="6"/>
      <c r="B2015" s="6"/>
      <c r="C2015" s="6"/>
      <c r="D2015" s="6"/>
      <c r="E2015" s="6"/>
      <c r="F2015" s="6"/>
      <c r="G2015" s="6"/>
      <c r="H2015" s="6"/>
      <c r="I2015" s="6"/>
      <c r="J2015" s="6"/>
      <c r="K2015" s="6"/>
      <c r="L2015" s="6"/>
      <c r="M2015" s="6"/>
      <c r="N2015" s="6"/>
      <c r="O2015" s="6"/>
      <c r="P2015" s="6"/>
      <c r="Q2015" s="6"/>
      <c r="R2015" s="6"/>
      <c r="S2015" s="6"/>
      <c r="T2015" s="6"/>
      <c r="U2015" s="6"/>
      <c r="V2015" s="6"/>
      <c r="W2015" s="6"/>
      <c r="X2015" s="6"/>
      <c r="Y2015" s="6"/>
      <c r="Z2015" s="6"/>
      <c r="AA2015" s="6"/>
    </row>
    <row r="2016" ht="14.25" customHeight="1">
      <c r="A2016" s="6"/>
      <c r="B2016" s="6"/>
      <c r="C2016" s="6"/>
      <c r="D2016" s="6"/>
      <c r="E2016" s="6"/>
      <c r="F2016" s="6"/>
      <c r="G2016" s="6"/>
      <c r="H2016" s="6"/>
      <c r="I2016" s="6"/>
      <c r="J2016" s="6"/>
      <c r="K2016" s="6"/>
      <c r="L2016" s="6"/>
      <c r="M2016" s="6"/>
      <c r="N2016" s="6"/>
      <c r="O2016" s="6"/>
      <c r="P2016" s="6"/>
      <c r="Q2016" s="6"/>
      <c r="R2016" s="6"/>
      <c r="S2016" s="6"/>
      <c r="T2016" s="6"/>
      <c r="U2016" s="6"/>
      <c r="V2016" s="6"/>
      <c r="W2016" s="6"/>
      <c r="X2016" s="6"/>
      <c r="Y2016" s="6"/>
      <c r="Z2016" s="6"/>
      <c r="AA2016" s="6"/>
    </row>
    <row r="2017" ht="14.25" customHeight="1">
      <c r="A2017" s="6"/>
      <c r="B2017" s="6"/>
      <c r="C2017" s="6"/>
      <c r="D2017" s="6"/>
      <c r="E2017" s="6"/>
      <c r="F2017" s="6"/>
      <c r="G2017" s="6"/>
      <c r="H2017" s="6"/>
      <c r="I2017" s="6"/>
      <c r="J2017" s="6"/>
      <c r="K2017" s="6"/>
      <c r="L2017" s="6"/>
      <c r="M2017" s="6"/>
      <c r="N2017" s="6"/>
      <c r="O2017" s="6"/>
      <c r="P2017" s="6"/>
      <c r="Q2017" s="6"/>
      <c r="R2017" s="6"/>
      <c r="S2017" s="6"/>
      <c r="T2017" s="6"/>
      <c r="U2017" s="6"/>
      <c r="V2017" s="6"/>
      <c r="W2017" s="6"/>
      <c r="X2017" s="6"/>
      <c r="Y2017" s="6"/>
      <c r="Z2017" s="6"/>
      <c r="AA2017" s="6"/>
    </row>
    <row r="2018" ht="14.25" customHeight="1">
      <c r="A2018" s="6"/>
      <c r="B2018" s="6"/>
      <c r="C2018" s="6"/>
      <c r="D2018" s="6"/>
      <c r="E2018" s="6"/>
      <c r="F2018" s="6"/>
      <c r="G2018" s="6"/>
      <c r="H2018" s="6"/>
      <c r="I2018" s="6"/>
      <c r="J2018" s="6"/>
      <c r="K2018" s="6"/>
      <c r="L2018" s="6"/>
      <c r="M2018" s="6"/>
      <c r="N2018" s="6"/>
      <c r="O2018" s="6"/>
      <c r="P2018" s="6"/>
      <c r="Q2018" s="6"/>
      <c r="R2018" s="6"/>
      <c r="S2018" s="6"/>
      <c r="T2018" s="6"/>
      <c r="U2018" s="6"/>
      <c r="V2018" s="6"/>
      <c r="W2018" s="6"/>
      <c r="X2018" s="6"/>
      <c r="Y2018" s="6"/>
      <c r="Z2018" s="6"/>
      <c r="AA2018" s="6"/>
    </row>
    <row r="2019" ht="14.25" customHeight="1">
      <c r="A2019" s="6"/>
      <c r="B2019" s="6"/>
      <c r="C2019" s="6"/>
      <c r="D2019" s="6"/>
      <c r="E2019" s="6"/>
      <c r="F2019" s="6"/>
      <c r="G2019" s="6"/>
      <c r="H2019" s="6"/>
      <c r="I2019" s="6"/>
      <c r="J2019" s="6"/>
      <c r="K2019" s="6"/>
      <c r="L2019" s="6"/>
      <c r="M2019" s="6"/>
      <c r="N2019" s="6"/>
      <c r="O2019" s="6"/>
      <c r="P2019" s="6"/>
      <c r="Q2019" s="6"/>
      <c r="R2019" s="6"/>
      <c r="S2019" s="6"/>
      <c r="T2019" s="6"/>
      <c r="U2019" s="6"/>
      <c r="V2019" s="6"/>
      <c r="W2019" s="6"/>
      <c r="X2019" s="6"/>
      <c r="Y2019" s="6"/>
      <c r="Z2019" s="6"/>
      <c r="AA2019" s="6"/>
    </row>
    <row r="2020" ht="14.25" customHeight="1">
      <c r="A2020" s="6"/>
      <c r="B2020" s="6"/>
      <c r="C2020" s="6"/>
      <c r="D2020" s="6"/>
      <c r="E2020" s="6"/>
      <c r="F2020" s="6"/>
      <c r="G2020" s="6"/>
      <c r="H2020" s="6"/>
      <c r="I2020" s="6"/>
      <c r="J2020" s="6"/>
      <c r="K2020" s="6"/>
      <c r="L2020" s="6"/>
      <c r="M2020" s="6"/>
      <c r="N2020" s="6"/>
      <c r="O2020" s="6"/>
      <c r="P2020" s="6"/>
      <c r="Q2020" s="6"/>
      <c r="R2020" s="6"/>
      <c r="S2020" s="6"/>
      <c r="T2020" s="6"/>
      <c r="U2020" s="6"/>
      <c r="V2020" s="6"/>
      <c r="W2020" s="6"/>
      <c r="X2020" s="6"/>
      <c r="Y2020" s="6"/>
      <c r="Z2020" s="6"/>
      <c r="AA2020" s="6"/>
    </row>
    <row r="2021" ht="14.25" customHeight="1">
      <c r="A2021" s="6"/>
      <c r="B2021" s="6"/>
      <c r="C2021" s="6"/>
      <c r="D2021" s="6"/>
      <c r="E2021" s="6"/>
      <c r="F2021" s="6"/>
      <c r="G2021" s="6"/>
      <c r="H2021" s="6"/>
      <c r="I2021" s="6"/>
      <c r="J2021" s="6"/>
      <c r="K2021" s="6"/>
      <c r="L2021" s="6"/>
      <c r="M2021" s="6"/>
      <c r="N2021" s="6"/>
      <c r="O2021" s="6"/>
      <c r="P2021" s="6"/>
      <c r="Q2021" s="6"/>
      <c r="R2021" s="6"/>
      <c r="S2021" s="6"/>
      <c r="T2021" s="6"/>
      <c r="U2021" s="6"/>
      <c r="V2021" s="6"/>
      <c r="W2021" s="6"/>
      <c r="X2021" s="6"/>
      <c r="Y2021" s="6"/>
      <c r="Z2021" s="6"/>
      <c r="AA2021" s="6"/>
    </row>
    <row r="2022" ht="14.25" customHeight="1">
      <c r="A2022" s="6"/>
      <c r="B2022" s="6"/>
      <c r="C2022" s="6"/>
      <c r="D2022" s="6"/>
      <c r="E2022" s="6"/>
      <c r="F2022" s="6"/>
      <c r="G2022" s="6"/>
      <c r="H2022" s="6"/>
      <c r="I2022" s="6"/>
      <c r="J2022" s="6"/>
      <c r="K2022" s="6"/>
      <c r="L2022" s="6"/>
      <c r="M2022" s="6"/>
      <c r="N2022" s="6"/>
      <c r="O2022" s="6"/>
      <c r="P2022" s="6"/>
      <c r="Q2022" s="6"/>
      <c r="R2022" s="6"/>
      <c r="S2022" s="6"/>
      <c r="T2022" s="6"/>
      <c r="U2022" s="6"/>
      <c r="V2022" s="6"/>
      <c r="W2022" s="6"/>
      <c r="X2022" s="6"/>
      <c r="Y2022" s="6"/>
      <c r="Z2022" s="6"/>
      <c r="AA2022" s="6"/>
    </row>
    <row r="2023" ht="14.25" customHeight="1">
      <c r="A2023" s="6"/>
      <c r="B2023" s="6"/>
      <c r="C2023" s="6"/>
      <c r="D2023" s="6"/>
      <c r="E2023" s="6"/>
      <c r="F2023" s="6"/>
      <c r="G2023" s="6"/>
      <c r="H2023" s="6"/>
      <c r="I2023" s="6"/>
      <c r="J2023" s="6"/>
      <c r="K2023" s="6"/>
      <c r="L2023" s="6"/>
      <c r="M2023" s="6"/>
      <c r="N2023" s="6"/>
      <c r="O2023" s="6"/>
      <c r="P2023" s="6"/>
      <c r="Q2023" s="6"/>
      <c r="R2023" s="6"/>
      <c r="S2023" s="6"/>
      <c r="T2023" s="6"/>
      <c r="U2023" s="6"/>
      <c r="V2023" s="6"/>
      <c r="W2023" s="6"/>
      <c r="X2023" s="6"/>
      <c r="Y2023" s="6"/>
      <c r="Z2023" s="6"/>
      <c r="AA2023" s="6"/>
    </row>
    <row r="2024" ht="14.25" customHeight="1">
      <c r="A2024" s="6"/>
      <c r="B2024" s="6"/>
      <c r="C2024" s="6"/>
      <c r="D2024" s="6"/>
      <c r="E2024" s="6"/>
      <c r="F2024" s="6"/>
      <c r="G2024" s="6"/>
      <c r="H2024" s="6"/>
      <c r="I2024" s="6"/>
      <c r="J2024" s="6"/>
      <c r="K2024" s="6"/>
      <c r="L2024" s="6"/>
      <c r="M2024" s="6"/>
      <c r="N2024" s="6"/>
      <c r="O2024" s="6"/>
      <c r="P2024" s="6"/>
      <c r="Q2024" s="6"/>
      <c r="R2024" s="6"/>
      <c r="S2024" s="6"/>
      <c r="T2024" s="6"/>
      <c r="U2024" s="6"/>
      <c r="V2024" s="6"/>
      <c r="W2024" s="6"/>
      <c r="X2024" s="6"/>
      <c r="Y2024" s="6"/>
      <c r="Z2024" s="6"/>
      <c r="AA2024" s="6"/>
    </row>
    <row r="2025" ht="14.25" customHeight="1">
      <c r="A2025" s="6"/>
      <c r="B2025" s="6"/>
      <c r="C2025" s="6"/>
      <c r="D2025" s="6"/>
      <c r="E2025" s="6"/>
      <c r="F2025" s="6"/>
      <c r="G2025" s="6"/>
      <c r="H2025" s="6"/>
      <c r="I2025" s="6"/>
      <c r="J2025" s="6"/>
      <c r="K2025" s="6"/>
      <c r="L2025" s="6"/>
      <c r="M2025" s="6"/>
      <c r="N2025" s="6"/>
      <c r="O2025" s="6"/>
      <c r="P2025" s="6"/>
      <c r="Q2025" s="6"/>
      <c r="R2025" s="6"/>
      <c r="S2025" s="6"/>
      <c r="T2025" s="6"/>
      <c r="U2025" s="6"/>
      <c r="V2025" s="6"/>
      <c r="W2025" s="6"/>
      <c r="X2025" s="6"/>
      <c r="Y2025" s="6"/>
      <c r="Z2025" s="6"/>
      <c r="AA2025" s="6"/>
    </row>
    <row r="2026" ht="14.25" customHeight="1">
      <c r="A2026" s="6"/>
      <c r="B2026" s="6"/>
      <c r="C2026" s="6"/>
      <c r="D2026" s="6"/>
      <c r="E2026" s="6"/>
      <c r="F2026" s="6"/>
      <c r="G2026" s="6"/>
      <c r="H2026" s="6"/>
      <c r="I2026" s="6"/>
      <c r="J2026" s="6"/>
      <c r="K2026" s="6"/>
      <c r="L2026" s="6"/>
      <c r="M2026" s="6"/>
      <c r="N2026" s="6"/>
      <c r="O2026" s="6"/>
      <c r="P2026" s="6"/>
      <c r="Q2026" s="6"/>
      <c r="R2026" s="6"/>
      <c r="S2026" s="6"/>
      <c r="T2026" s="6"/>
      <c r="U2026" s="6"/>
      <c r="V2026" s="6"/>
      <c r="W2026" s="6"/>
      <c r="X2026" s="6"/>
      <c r="Y2026" s="6"/>
      <c r="Z2026" s="6"/>
      <c r="AA2026" s="6"/>
    </row>
    <row r="2027" ht="14.25" customHeight="1">
      <c r="A2027" s="6"/>
      <c r="B2027" s="6"/>
      <c r="C2027" s="6"/>
      <c r="D2027" s="6"/>
      <c r="E2027" s="6"/>
      <c r="F2027" s="6"/>
      <c r="G2027" s="6"/>
      <c r="H2027" s="6"/>
      <c r="I2027" s="6"/>
      <c r="J2027" s="6"/>
      <c r="K2027" s="6"/>
      <c r="L2027" s="6"/>
      <c r="M2027" s="6"/>
      <c r="N2027" s="6"/>
      <c r="O2027" s="6"/>
      <c r="P2027" s="6"/>
      <c r="Q2027" s="6"/>
      <c r="R2027" s="6"/>
      <c r="S2027" s="6"/>
      <c r="T2027" s="6"/>
      <c r="U2027" s="6"/>
      <c r="V2027" s="6"/>
      <c r="W2027" s="6"/>
      <c r="X2027" s="6"/>
      <c r="Y2027" s="6"/>
      <c r="Z2027" s="6"/>
      <c r="AA2027" s="6"/>
    </row>
    <row r="2028" ht="14.25" customHeight="1">
      <c r="A2028" s="6"/>
      <c r="B2028" s="6"/>
      <c r="C2028" s="6"/>
      <c r="D2028" s="6"/>
      <c r="E2028" s="6"/>
      <c r="F2028" s="6"/>
      <c r="G2028" s="6"/>
      <c r="H2028" s="6"/>
      <c r="I2028" s="6"/>
      <c r="J2028" s="6"/>
      <c r="K2028" s="6"/>
      <c r="L2028" s="6"/>
      <c r="M2028" s="6"/>
      <c r="N2028" s="6"/>
      <c r="O2028" s="6"/>
      <c r="P2028" s="6"/>
      <c r="Q2028" s="6"/>
      <c r="R2028" s="6"/>
      <c r="S2028" s="6"/>
      <c r="T2028" s="6"/>
      <c r="U2028" s="6"/>
      <c r="V2028" s="6"/>
      <c r="W2028" s="6"/>
      <c r="X2028" s="6"/>
      <c r="Y2028" s="6"/>
      <c r="Z2028" s="6"/>
      <c r="AA2028" s="6"/>
    </row>
    <row r="2029" ht="14.25" customHeight="1">
      <c r="A2029" s="6"/>
      <c r="B2029" s="6"/>
      <c r="C2029" s="6"/>
      <c r="D2029" s="6"/>
      <c r="E2029" s="6"/>
      <c r="F2029" s="6"/>
      <c r="G2029" s="6"/>
      <c r="H2029" s="6"/>
      <c r="I2029" s="6"/>
      <c r="J2029" s="6"/>
      <c r="K2029" s="6"/>
      <c r="L2029" s="6"/>
      <c r="M2029" s="6"/>
      <c r="N2029" s="6"/>
      <c r="O2029" s="6"/>
      <c r="P2029" s="6"/>
      <c r="Q2029" s="6"/>
      <c r="R2029" s="6"/>
      <c r="S2029" s="6"/>
      <c r="T2029" s="6"/>
      <c r="U2029" s="6"/>
      <c r="V2029" s="6"/>
      <c r="W2029" s="6"/>
      <c r="X2029" s="6"/>
      <c r="Y2029" s="6"/>
      <c r="Z2029" s="6"/>
      <c r="AA2029" s="6"/>
    </row>
    <row r="2030" ht="14.25" customHeight="1">
      <c r="A2030" s="6"/>
      <c r="B2030" s="6"/>
      <c r="C2030" s="6"/>
      <c r="D2030" s="6"/>
      <c r="E2030" s="6"/>
      <c r="F2030" s="6"/>
      <c r="G2030" s="6"/>
      <c r="H2030" s="6"/>
      <c r="I2030" s="6"/>
      <c r="J2030" s="6"/>
      <c r="K2030" s="6"/>
      <c r="L2030" s="6"/>
      <c r="M2030" s="6"/>
      <c r="N2030" s="6"/>
      <c r="O2030" s="6"/>
      <c r="P2030" s="6"/>
      <c r="Q2030" s="6"/>
      <c r="R2030" s="6"/>
      <c r="S2030" s="6"/>
      <c r="T2030" s="6"/>
      <c r="U2030" s="6"/>
      <c r="V2030" s="6"/>
      <c r="W2030" s="6"/>
      <c r="X2030" s="6"/>
      <c r="Y2030" s="6"/>
      <c r="Z2030" s="6"/>
      <c r="AA2030" s="6"/>
    </row>
    <row r="2031" ht="14.25" customHeight="1">
      <c r="A2031" s="6"/>
      <c r="B2031" s="6"/>
      <c r="C2031" s="6"/>
      <c r="D2031" s="6"/>
      <c r="E2031" s="6"/>
      <c r="F2031" s="6"/>
      <c r="G2031" s="6"/>
      <c r="H2031" s="6"/>
      <c r="I2031" s="6"/>
      <c r="J2031" s="6"/>
      <c r="K2031" s="6"/>
      <c r="L2031" s="6"/>
      <c r="M2031" s="6"/>
      <c r="N2031" s="6"/>
      <c r="O2031" s="6"/>
      <c r="P2031" s="6"/>
      <c r="Q2031" s="6"/>
      <c r="R2031" s="6"/>
      <c r="S2031" s="6"/>
      <c r="T2031" s="6"/>
      <c r="U2031" s="6"/>
      <c r="V2031" s="6"/>
      <c r="W2031" s="6"/>
      <c r="X2031" s="6"/>
      <c r="Y2031" s="6"/>
      <c r="Z2031" s="6"/>
      <c r="AA2031" s="6"/>
    </row>
    <row r="2032" ht="14.25" customHeight="1">
      <c r="A2032" s="6"/>
      <c r="B2032" s="6"/>
      <c r="C2032" s="6"/>
      <c r="D2032" s="6"/>
      <c r="E2032" s="6"/>
      <c r="F2032" s="6"/>
      <c r="G2032" s="6"/>
      <c r="H2032" s="6"/>
      <c r="I2032" s="6"/>
      <c r="J2032" s="6"/>
      <c r="K2032" s="6"/>
      <c r="L2032" s="6"/>
      <c r="M2032" s="6"/>
      <c r="N2032" s="6"/>
      <c r="O2032" s="6"/>
      <c r="P2032" s="6"/>
      <c r="Q2032" s="6"/>
      <c r="R2032" s="6"/>
      <c r="S2032" s="6"/>
      <c r="T2032" s="6"/>
      <c r="U2032" s="6"/>
      <c r="V2032" s="6"/>
      <c r="W2032" s="6"/>
      <c r="X2032" s="6"/>
      <c r="Y2032" s="6"/>
      <c r="Z2032" s="6"/>
      <c r="AA2032" s="6"/>
    </row>
    <row r="2033" ht="14.25" customHeight="1">
      <c r="A2033" s="6"/>
      <c r="B2033" s="6"/>
      <c r="C2033" s="6"/>
      <c r="D2033" s="6"/>
      <c r="E2033" s="6"/>
      <c r="F2033" s="6"/>
      <c r="G2033" s="6"/>
      <c r="H2033" s="6"/>
      <c r="I2033" s="6"/>
      <c r="J2033" s="6"/>
      <c r="K2033" s="6"/>
      <c r="L2033" s="6"/>
      <c r="M2033" s="6"/>
      <c r="N2033" s="6"/>
      <c r="O2033" s="6"/>
      <c r="P2033" s="6"/>
      <c r="Q2033" s="6"/>
      <c r="R2033" s="6"/>
      <c r="S2033" s="6"/>
      <c r="T2033" s="6"/>
      <c r="U2033" s="6"/>
      <c r="V2033" s="6"/>
      <c r="W2033" s="6"/>
      <c r="X2033" s="6"/>
      <c r="Y2033" s="6"/>
      <c r="Z2033" s="6"/>
      <c r="AA2033" s="6"/>
    </row>
    <row r="2034" ht="14.25" customHeight="1">
      <c r="A2034" s="6"/>
      <c r="B2034" s="6"/>
      <c r="C2034" s="6"/>
      <c r="D2034" s="6"/>
      <c r="E2034" s="6"/>
      <c r="F2034" s="6"/>
      <c r="G2034" s="6"/>
      <c r="H2034" s="6"/>
      <c r="I2034" s="6"/>
      <c r="J2034" s="6"/>
      <c r="K2034" s="6"/>
      <c r="L2034" s="6"/>
      <c r="M2034" s="6"/>
      <c r="N2034" s="6"/>
      <c r="O2034" s="6"/>
      <c r="P2034" s="6"/>
      <c r="Q2034" s="6"/>
      <c r="R2034" s="6"/>
      <c r="S2034" s="6"/>
      <c r="T2034" s="6"/>
      <c r="U2034" s="6"/>
      <c r="V2034" s="6"/>
      <c r="W2034" s="6"/>
      <c r="X2034" s="6"/>
      <c r="Y2034" s="6"/>
      <c r="Z2034" s="6"/>
      <c r="AA2034" s="6"/>
    </row>
    <row r="2035" ht="14.25" customHeight="1">
      <c r="A2035" s="6"/>
      <c r="B2035" s="6"/>
      <c r="C2035" s="6"/>
      <c r="D2035" s="6"/>
      <c r="E2035" s="6"/>
      <c r="F2035" s="6"/>
      <c r="G2035" s="6"/>
      <c r="H2035" s="6"/>
      <c r="I2035" s="6"/>
      <c r="J2035" s="6"/>
      <c r="K2035" s="6"/>
      <c r="L2035" s="6"/>
      <c r="M2035" s="6"/>
      <c r="N2035" s="6"/>
      <c r="O2035" s="6"/>
      <c r="P2035" s="6"/>
      <c r="Q2035" s="6"/>
      <c r="R2035" s="6"/>
      <c r="S2035" s="6"/>
      <c r="T2035" s="6"/>
      <c r="U2035" s="6"/>
      <c r="V2035" s="6"/>
      <c r="W2035" s="6"/>
      <c r="X2035" s="6"/>
      <c r="Y2035" s="6"/>
      <c r="Z2035" s="6"/>
      <c r="AA2035" s="6"/>
    </row>
    <row r="2036" ht="14.25" customHeight="1">
      <c r="A2036" s="6"/>
      <c r="B2036" s="6"/>
      <c r="C2036" s="6"/>
      <c r="D2036" s="6"/>
      <c r="E2036" s="6"/>
      <c r="F2036" s="6"/>
      <c r="G2036" s="6"/>
      <c r="H2036" s="6"/>
      <c r="I2036" s="6"/>
      <c r="J2036" s="6"/>
      <c r="K2036" s="6"/>
      <c r="L2036" s="6"/>
      <c r="M2036" s="6"/>
      <c r="N2036" s="6"/>
      <c r="O2036" s="6"/>
      <c r="P2036" s="6"/>
      <c r="Q2036" s="6"/>
      <c r="R2036" s="6"/>
      <c r="S2036" s="6"/>
      <c r="T2036" s="6"/>
      <c r="U2036" s="6"/>
      <c r="V2036" s="6"/>
      <c r="W2036" s="6"/>
      <c r="X2036" s="6"/>
      <c r="Y2036" s="6"/>
      <c r="Z2036" s="6"/>
      <c r="AA2036" s="6"/>
    </row>
    <row r="2037" ht="14.25" customHeight="1">
      <c r="A2037" s="6"/>
      <c r="B2037" s="6"/>
      <c r="C2037" s="6"/>
      <c r="D2037" s="6"/>
      <c r="E2037" s="6"/>
      <c r="F2037" s="6"/>
      <c r="G2037" s="6"/>
      <c r="H2037" s="6"/>
      <c r="I2037" s="6"/>
      <c r="J2037" s="6"/>
      <c r="K2037" s="6"/>
      <c r="L2037" s="6"/>
      <c r="M2037" s="6"/>
      <c r="N2037" s="6"/>
      <c r="O2037" s="6"/>
      <c r="P2037" s="6"/>
      <c r="Q2037" s="6"/>
      <c r="R2037" s="6"/>
      <c r="S2037" s="6"/>
      <c r="T2037" s="6"/>
      <c r="U2037" s="6"/>
      <c r="V2037" s="6"/>
      <c r="W2037" s="6"/>
      <c r="X2037" s="6"/>
      <c r="Y2037" s="6"/>
      <c r="Z2037" s="6"/>
      <c r="AA2037" s="6"/>
    </row>
    <row r="2038" ht="14.25" customHeight="1">
      <c r="A2038" s="6"/>
      <c r="B2038" s="6"/>
      <c r="C2038" s="6"/>
      <c r="D2038" s="6"/>
      <c r="E2038" s="6"/>
      <c r="F2038" s="6"/>
      <c r="G2038" s="6"/>
      <c r="H2038" s="6"/>
      <c r="I2038" s="6"/>
      <c r="J2038" s="6"/>
      <c r="K2038" s="6"/>
      <c r="L2038" s="6"/>
      <c r="M2038" s="6"/>
      <c r="N2038" s="6"/>
      <c r="O2038" s="6"/>
      <c r="P2038" s="6"/>
      <c r="Q2038" s="6"/>
      <c r="R2038" s="6"/>
      <c r="S2038" s="6"/>
      <c r="T2038" s="6"/>
      <c r="U2038" s="6"/>
      <c r="V2038" s="6"/>
      <c r="W2038" s="6"/>
      <c r="X2038" s="6"/>
      <c r="Y2038" s="6"/>
      <c r="Z2038" s="6"/>
      <c r="AA2038" s="6"/>
    </row>
    <row r="2039" ht="14.25" customHeight="1">
      <c r="A2039" s="6"/>
      <c r="B2039" s="6"/>
      <c r="C2039" s="6"/>
      <c r="D2039" s="6"/>
      <c r="E2039" s="6"/>
      <c r="F2039" s="6"/>
      <c r="G2039" s="6"/>
      <c r="H2039" s="6"/>
      <c r="I2039" s="6"/>
      <c r="J2039" s="6"/>
      <c r="K2039" s="6"/>
      <c r="L2039" s="6"/>
      <c r="M2039" s="6"/>
      <c r="N2039" s="6"/>
      <c r="O2039" s="6"/>
      <c r="P2039" s="6"/>
      <c r="Q2039" s="6"/>
      <c r="R2039" s="6"/>
      <c r="S2039" s="6"/>
      <c r="T2039" s="6"/>
      <c r="U2039" s="6"/>
      <c r="V2039" s="6"/>
      <c r="W2039" s="6"/>
      <c r="X2039" s="6"/>
      <c r="Y2039" s="6"/>
      <c r="Z2039" s="6"/>
      <c r="AA2039" s="6"/>
    </row>
    <row r="2040" ht="14.25" customHeight="1">
      <c r="A2040" s="6"/>
      <c r="B2040" s="6"/>
      <c r="C2040" s="6"/>
      <c r="D2040" s="6"/>
      <c r="E2040" s="6"/>
      <c r="F2040" s="6"/>
      <c r="G2040" s="6"/>
      <c r="H2040" s="6"/>
      <c r="I2040" s="6"/>
      <c r="J2040" s="6"/>
      <c r="K2040" s="6"/>
      <c r="L2040" s="6"/>
      <c r="M2040" s="6"/>
      <c r="N2040" s="6"/>
      <c r="O2040" s="6"/>
      <c r="P2040" s="6"/>
      <c r="Q2040" s="6"/>
      <c r="R2040" s="6"/>
      <c r="S2040" s="6"/>
      <c r="T2040" s="6"/>
      <c r="U2040" s="6"/>
      <c r="V2040" s="6"/>
      <c r="W2040" s="6"/>
      <c r="X2040" s="6"/>
      <c r="Y2040" s="6"/>
      <c r="Z2040" s="6"/>
      <c r="AA2040" s="6"/>
    </row>
    <row r="2041" ht="14.25" customHeight="1">
      <c r="A2041" s="6"/>
      <c r="B2041" s="6"/>
      <c r="C2041" s="6"/>
      <c r="D2041" s="6"/>
      <c r="E2041" s="6"/>
      <c r="F2041" s="6"/>
      <c r="G2041" s="6"/>
      <c r="H2041" s="6"/>
      <c r="I2041" s="6"/>
      <c r="J2041" s="6"/>
      <c r="K2041" s="6"/>
      <c r="L2041" s="6"/>
      <c r="M2041" s="6"/>
      <c r="N2041" s="6"/>
      <c r="O2041" s="6"/>
      <c r="P2041" s="6"/>
      <c r="Q2041" s="6"/>
      <c r="R2041" s="6"/>
      <c r="S2041" s="6"/>
      <c r="T2041" s="6"/>
      <c r="U2041" s="6"/>
      <c r="V2041" s="6"/>
      <c r="W2041" s="6"/>
      <c r="X2041" s="6"/>
      <c r="Y2041" s="6"/>
      <c r="Z2041" s="6"/>
      <c r="AA2041" s="6"/>
    </row>
    <row r="2042" ht="14.25" customHeight="1">
      <c r="A2042" s="6"/>
      <c r="B2042" s="6"/>
      <c r="C2042" s="6"/>
      <c r="D2042" s="6"/>
      <c r="E2042" s="6"/>
      <c r="F2042" s="6"/>
      <c r="G2042" s="6"/>
      <c r="H2042" s="6"/>
      <c r="I2042" s="6"/>
      <c r="J2042" s="6"/>
      <c r="K2042" s="6"/>
      <c r="L2042" s="6"/>
      <c r="M2042" s="6"/>
      <c r="N2042" s="6"/>
      <c r="O2042" s="6"/>
      <c r="P2042" s="6"/>
      <c r="Q2042" s="6"/>
      <c r="R2042" s="6"/>
      <c r="S2042" s="6"/>
      <c r="T2042" s="6"/>
      <c r="U2042" s="6"/>
      <c r="V2042" s="6"/>
      <c r="W2042" s="6"/>
      <c r="X2042" s="6"/>
      <c r="Y2042" s="6"/>
      <c r="Z2042" s="6"/>
      <c r="AA2042" s="6"/>
    </row>
    <row r="2043" ht="14.25" customHeight="1">
      <c r="A2043" s="6"/>
      <c r="B2043" s="6"/>
      <c r="C2043" s="6"/>
      <c r="D2043" s="6"/>
      <c r="E2043" s="6"/>
      <c r="F2043" s="6"/>
      <c r="G2043" s="6"/>
      <c r="H2043" s="6"/>
      <c r="I2043" s="6"/>
      <c r="J2043" s="6"/>
      <c r="K2043" s="6"/>
      <c r="L2043" s="6"/>
      <c r="M2043" s="6"/>
      <c r="N2043" s="6"/>
      <c r="O2043" s="6"/>
      <c r="P2043" s="6"/>
      <c r="Q2043" s="6"/>
      <c r="R2043" s="6"/>
      <c r="S2043" s="6"/>
      <c r="T2043" s="6"/>
      <c r="U2043" s="6"/>
      <c r="V2043" s="6"/>
      <c r="W2043" s="6"/>
      <c r="X2043" s="6"/>
      <c r="Y2043" s="6"/>
      <c r="Z2043" s="6"/>
      <c r="AA2043" s="6"/>
    </row>
    <row r="2044" ht="14.25" customHeight="1">
      <c r="A2044" s="6"/>
      <c r="B2044" s="6"/>
      <c r="C2044" s="6"/>
      <c r="D2044" s="6"/>
      <c r="E2044" s="6"/>
      <c r="F2044" s="6"/>
      <c r="G2044" s="6"/>
      <c r="H2044" s="6"/>
      <c r="I2044" s="6"/>
      <c r="J2044" s="6"/>
      <c r="K2044" s="6"/>
      <c r="L2044" s="6"/>
      <c r="M2044" s="6"/>
      <c r="N2044" s="6"/>
      <c r="O2044" s="6"/>
      <c r="P2044" s="6"/>
      <c r="Q2044" s="6"/>
      <c r="R2044" s="6"/>
      <c r="S2044" s="6"/>
      <c r="T2044" s="6"/>
      <c r="U2044" s="6"/>
      <c r="V2044" s="6"/>
      <c r="W2044" s="6"/>
      <c r="X2044" s="6"/>
      <c r="Y2044" s="6"/>
      <c r="Z2044" s="6"/>
      <c r="AA2044" s="6"/>
    </row>
    <row r="2045" ht="14.25" customHeight="1">
      <c r="A2045" s="6"/>
      <c r="B2045" s="6"/>
      <c r="C2045" s="6"/>
      <c r="D2045" s="6"/>
      <c r="E2045" s="6"/>
      <c r="F2045" s="6"/>
      <c r="G2045" s="6"/>
      <c r="H2045" s="6"/>
      <c r="I2045" s="6"/>
      <c r="J2045" s="6"/>
      <c r="K2045" s="6"/>
      <c r="L2045" s="6"/>
      <c r="M2045" s="6"/>
      <c r="N2045" s="6"/>
      <c r="O2045" s="6"/>
      <c r="P2045" s="6"/>
      <c r="Q2045" s="6"/>
      <c r="R2045" s="6"/>
      <c r="S2045" s="6"/>
      <c r="T2045" s="6"/>
      <c r="U2045" s="6"/>
      <c r="V2045" s="6"/>
      <c r="W2045" s="6"/>
      <c r="X2045" s="6"/>
      <c r="Y2045" s="6"/>
      <c r="Z2045" s="6"/>
      <c r="AA2045" s="6"/>
    </row>
    <row r="2046" ht="14.25" customHeight="1">
      <c r="A2046" s="6"/>
      <c r="B2046" s="6"/>
      <c r="C2046" s="6"/>
      <c r="D2046" s="6"/>
      <c r="E2046" s="6"/>
      <c r="F2046" s="6"/>
      <c r="G2046" s="6"/>
      <c r="H2046" s="6"/>
      <c r="I2046" s="6"/>
      <c r="J2046" s="6"/>
      <c r="K2046" s="6"/>
      <c r="L2046" s="6"/>
      <c r="M2046" s="6"/>
      <c r="N2046" s="6"/>
      <c r="O2046" s="6"/>
      <c r="P2046" s="6"/>
      <c r="Q2046" s="6"/>
      <c r="R2046" s="6"/>
      <c r="S2046" s="6"/>
      <c r="T2046" s="6"/>
      <c r="U2046" s="6"/>
      <c r="V2046" s="6"/>
      <c r="W2046" s="6"/>
      <c r="X2046" s="6"/>
      <c r="Y2046" s="6"/>
      <c r="Z2046" s="6"/>
      <c r="AA2046" s="6"/>
    </row>
    <row r="2047" ht="14.25" customHeight="1">
      <c r="A2047" s="6"/>
      <c r="B2047" s="6"/>
      <c r="C2047" s="6"/>
      <c r="D2047" s="6"/>
      <c r="E2047" s="6"/>
      <c r="F2047" s="6"/>
      <c r="G2047" s="6"/>
      <c r="H2047" s="6"/>
      <c r="I2047" s="6"/>
      <c r="J2047" s="6"/>
      <c r="K2047" s="6"/>
      <c r="L2047" s="6"/>
      <c r="M2047" s="6"/>
      <c r="N2047" s="6"/>
      <c r="O2047" s="6"/>
      <c r="P2047" s="6"/>
      <c r="Q2047" s="6"/>
      <c r="R2047" s="6"/>
      <c r="S2047" s="6"/>
      <c r="T2047" s="6"/>
      <c r="U2047" s="6"/>
      <c r="V2047" s="6"/>
      <c r="W2047" s="6"/>
      <c r="X2047" s="6"/>
      <c r="Y2047" s="6"/>
      <c r="Z2047" s="6"/>
      <c r="AA2047" s="6"/>
    </row>
    <row r="2048" ht="14.25" customHeight="1">
      <c r="A2048" s="6"/>
      <c r="B2048" s="6"/>
      <c r="C2048" s="6"/>
      <c r="D2048" s="6"/>
      <c r="E2048" s="6"/>
      <c r="F2048" s="6"/>
      <c r="G2048" s="6"/>
      <c r="H2048" s="6"/>
      <c r="I2048" s="6"/>
      <c r="J2048" s="6"/>
      <c r="K2048" s="6"/>
      <c r="L2048" s="6"/>
      <c r="M2048" s="6"/>
      <c r="N2048" s="6"/>
      <c r="O2048" s="6"/>
      <c r="P2048" s="6"/>
      <c r="Q2048" s="6"/>
      <c r="R2048" s="6"/>
      <c r="S2048" s="6"/>
      <c r="T2048" s="6"/>
      <c r="U2048" s="6"/>
      <c r="V2048" s="6"/>
      <c r="W2048" s="6"/>
      <c r="X2048" s="6"/>
      <c r="Y2048" s="6"/>
      <c r="Z2048" s="6"/>
      <c r="AA2048" s="6"/>
    </row>
    <row r="2049" ht="14.25" customHeight="1">
      <c r="A2049" s="6"/>
      <c r="B2049" s="6"/>
      <c r="C2049" s="6"/>
      <c r="D2049" s="6"/>
      <c r="E2049" s="6"/>
      <c r="F2049" s="6"/>
      <c r="G2049" s="6"/>
      <c r="H2049" s="6"/>
      <c r="I2049" s="6"/>
      <c r="J2049" s="6"/>
      <c r="K2049" s="6"/>
      <c r="L2049" s="6"/>
      <c r="M2049" s="6"/>
      <c r="N2049" s="6"/>
      <c r="O2049" s="6"/>
      <c r="P2049" s="6"/>
      <c r="Q2049" s="6"/>
      <c r="R2049" s="6"/>
      <c r="S2049" s="6"/>
      <c r="T2049" s="6"/>
      <c r="U2049" s="6"/>
      <c r="V2049" s="6"/>
      <c r="W2049" s="6"/>
      <c r="X2049" s="6"/>
      <c r="Y2049" s="6"/>
      <c r="Z2049" s="6"/>
      <c r="AA2049" s="6"/>
    </row>
    <row r="2050" ht="14.25" customHeight="1">
      <c r="A2050" s="6"/>
      <c r="B2050" s="6"/>
      <c r="C2050" s="6"/>
      <c r="D2050" s="6"/>
      <c r="E2050" s="6"/>
      <c r="F2050" s="6"/>
      <c r="G2050" s="6"/>
      <c r="H2050" s="6"/>
      <c r="I2050" s="6"/>
      <c r="J2050" s="6"/>
      <c r="K2050" s="6"/>
      <c r="L2050" s="6"/>
      <c r="M2050" s="6"/>
      <c r="N2050" s="6"/>
      <c r="O2050" s="6"/>
      <c r="P2050" s="6"/>
      <c r="Q2050" s="6"/>
      <c r="R2050" s="6"/>
      <c r="S2050" s="6"/>
      <c r="T2050" s="6"/>
      <c r="U2050" s="6"/>
      <c r="V2050" s="6"/>
      <c r="W2050" s="6"/>
      <c r="X2050" s="6"/>
      <c r="Y2050" s="6"/>
      <c r="Z2050" s="6"/>
      <c r="AA2050" s="6"/>
    </row>
    <row r="2051" ht="14.25" customHeight="1">
      <c r="A2051" s="6"/>
      <c r="B2051" s="6"/>
      <c r="C2051" s="6"/>
      <c r="D2051" s="6"/>
      <c r="E2051" s="6"/>
      <c r="F2051" s="6"/>
      <c r="G2051" s="6"/>
      <c r="H2051" s="6"/>
      <c r="I2051" s="6"/>
      <c r="J2051" s="6"/>
      <c r="K2051" s="6"/>
      <c r="L2051" s="6"/>
      <c r="M2051" s="6"/>
      <c r="N2051" s="6"/>
      <c r="O2051" s="6"/>
      <c r="P2051" s="6"/>
      <c r="Q2051" s="6"/>
      <c r="R2051" s="6"/>
      <c r="S2051" s="6"/>
      <c r="T2051" s="6"/>
      <c r="U2051" s="6"/>
      <c r="V2051" s="6"/>
      <c r="W2051" s="6"/>
      <c r="X2051" s="6"/>
      <c r="Y2051" s="6"/>
      <c r="Z2051" s="6"/>
      <c r="AA2051" s="6"/>
    </row>
    <row r="2052" ht="14.25" customHeight="1">
      <c r="A2052" s="6"/>
      <c r="B2052" s="6"/>
      <c r="C2052" s="6"/>
      <c r="D2052" s="6"/>
      <c r="E2052" s="6"/>
      <c r="F2052" s="6"/>
      <c r="G2052" s="6"/>
      <c r="H2052" s="6"/>
      <c r="I2052" s="6"/>
      <c r="J2052" s="6"/>
      <c r="K2052" s="6"/>
      <c r="L2052" s="6"/>
      <c r="M2052" s="6"/>
      <c r="N2052" s="6"/>
      <c r="O2052" s="6"/>
      <c r="P2052" s="6"/>
      <c r="Q2052" s="6"/>
      <c r="R2052" s="6"/>
      <c r="S2052" s="6"/>
      <c r="T2052" s="6"/>
      <c r="U2052" s="6"/>
      <c r="V2052" s="6"/>
      <c r="W2052" s="6"/>
      <c r="X2052" s="6"/>
      <c r="Y2052" s="6"/>
      <c r="Z2052" s="6"/>
      <c r="AA2052" s="6"/>
    </row>
    <row r="2053" ht="14.25" customHeight="1">
      <c r="A2053" s="6"/>
      <c r="B2053" s="6"/>
      <c r="C2053" s="6"/>
      <c r="D2053" s="6"/>
      <c r="E2053" s="6"/>
      <c r="F2053" s="6"/>
      <c r="G2053" s="6"/>
      <c r="H2053" s="6"/>
      <c r="I2053" s="6"/>
      <c r="J2053" s="6"/>
      <c r="K2053" s="6"/>
      <c r="L2053" s="6"/>
      <c r="M2053" s="6"/>
      <c r="N2053" s="6"/>
      <c r="O2053" s="6"/>
      <c r="P2053" s="6"/>
      <c r="Q2053" s="6"/>
      <c r="R2053" s="6"/>
      <c r="S2053" s="6"/>
      <c r="T2053" s="6"/>
      <c r="U2053" s="6"/>
      <c r="V2053" s="6"/>
      <c r="W2053" s="6"/>
      <c r="X2053" s="6"/>
      <c r="Y2053" s="6"/>
      <c r="Z2053" s="6"/>
      <c r="AA2053" s="6"/>
    </row>
    <row r="2054" ht="14.25" customHeight="1">
      <c r="A2054" s="6"/>
      <c r="B2054" s="6"/>
      <c r="C2054" s="6"/>
      <c r="D2054" s="6"/>
      <c r="E2054" s="6"/>
      <c r="F2054" s="6"/>
      <c r="G2054" s="6"/>
      <c r="H2054" s="6"/>
      <c r="I2054" s="6"/>
      <c r="J2054" s="6"/>
      <c r="K2054" s="6"/>
      <c r="L2054" s="6"/>
      <c r="M2054" s="6"/>
      <c r="N2054" s="6"/>
      <c r="O2054" s="6"/>
      <c r="P2054" s="6"/>
      <c r="Q2054" s="6"/>
      <c r="R2054" s="6"/>
      <c r="S2054" s="6"/>
      <c r="T2054" s="6"/>
      <c r="U2054" s="6"/>
      <c r="V2054" s="6"/>
      <c r="W2054" s="6"/>
      <c r="X2054" s="6"/>
      <c r="Y2054" s="6"/>
      <c r="Z2054" s="6"/>
      <c r="AA2054" s="6"/>
    </row>
    <row r="2055" ht="14.25" customHeight="1">
      <c r="A2055" s="6"/>
      <c r="B2055" s="6"/>
      <c r="C2055" s="6"/>
      <c r="D2055" s="6"/>
      <c r="E2055" s="6"/>
      <c r="F2055" s="6"/>
      <c r="G2055" s="6"/>
      <c r="H2055" s="6"/>
      <c r="I2055" s="6"/>
      <c r="J2055" s="6"/>
      <c r="K2055" s="6"/>
      <c r="L2055" s="6"/>
      <c r="M2055" s="6"/>
      <c r="N2055" s="6"/>
      <c r="O2055" s="6"/>
      <c r="P2055" s="6"/>
      <c r="Q2055" s="6"/>
      <c r="R2055" s="6"/>
      <c r="S2055" s="6"/>
      <c r="T2055" s="6"/>
      <c r="U2055" s="6"/>
      <c r="V2055" s="6"/>
      <c r="W2055" s="6"/>
      <c r="X2055" s="6"/>
      <c r="Y2055" s="6"/>
      <c r="Z2055" s="6"/>
      <c r="AA2055" s="6"/>
    </row>
    <row r="2056" ht="14.25" customHeight="1">
      <c r="A2056" s="6"/>
      <c r="B2056" s="6"/>
      <c r="C2056" s="6"/>
      <c r="D2056" s="6"/>
      <c r="E2056" s="6"/>
      <c r="F2056" s="6"/>
      <c r="G2056" s="6"/>
      <c r="H2056" s="6"/>
      <c r="I2056" s="6"/>
      <c r="J2056" s="6"/>
      <c r="K2056" s="6"/>
      <c r="L2056" s="6"/>
      <c r="M2056" s="6"/>
      <c r="N2056" s="6"/>
      <c r="O2056" s="6"/>
      <c r="P2056" s="6"/>
      <c r="Q2056" s="6"/>
      <c r="R2056" s="6"/>
      <c r="S2056" s="6"/>
      <c r="T2056" s="6"/>
      <c r="U2056" s="6"/>
      <c r="V2056" s="6"/>
      <c r="W2056" s="6"/>
      <c r="X2056" s="6"/>
      <c r="Y2056" s="6"/>
      <c r="Z2056" s="6"/>
      <c r="AA2056" s="6"/>
    </row>
    <row r="2057" ht="14.25" customHeight="1">
      <c r="A2057" s="6"/>
      <c r="B2057" s="6"/>
      <c r="C2057" s="6"/>
      <c r="D2057" s="6"/>
      <c r="E2057" s="6"/>
      <c r="F2057" s="6"/>
      <c r="G2057" s="6"/>
      <c r="H2057" s="6"/>
      <c r="I2057" s="6"/>
      <c r="J2057" s="6"/>
      <c r="K2057" s="6"/>
      <c r="L2057" s="6"/>
      <c r="M2057" s="6"/>
      <c r="N2057" s="6"/>
      <c r="O2057" s="6"/>
      <c r="P2057" s="6"/>
      <c r="Q2057" s="6"/>
      <c r="R2057" s="6"/>
      <c r="S2057" s="6"/>
      <c r="T2057" s="6"/>
      <c r="U2057" s="6"/>
      <c r="V2057" s="6"/>
      <c r="W2057" s="6"/>
      <c r="X2057" s="6"/>
      <c r="Y2057" s="6"/>
      <c r="Z2057" s="6"/>
      <c r="AA2057" s="6"/>
    </row>
    <row r="2058" ht="14.25" customHeight="1">
      <c r="A2058" s="6"/>
      <c r="B2058" s="6"/>
      <c r="C2058" s="6"/>
      <c r="D2058" s="6"/>
      <c r="E2058" s="6"/>
      <c r="F2058" s="6"/>
      <c r="G2058" s="6"/>
      <c r="H2058" s="6"/>
      <c r="I2058" s="6"/>
      <c r="J2058" s="6"/>
      <c r="K2058" s="6"/>
      <c r="L2058" s="6"/>
      <c r="M2058" s="6"/>
      <c r="N2058" s="6"/>
      <c r="O2058" s="6"/>
      <c r="P2058" s="6"/>
      <c r="Q2058" s="6"/>
      <c r="R2058" s="6"/>
      <c r="S2058" s="6"/>
      <c r="T2058" s="6"/>
      <c r="U2058" s="6"/>
      <c r="V2058" s="6"/>
      <c r="W2058" s="6"/>
      <c r="X2058" s="6"/>
      <c r="Y2058" s="6"/>
      <c r="Z2058" s="6"/>
      <c r="AA2058" s="6"/>
    </row>
    <row r="2059" ht="14.25" customHeight="1">
      <c r="A2059" s="6"/>
      <c r="B2059" s="6"/>
      <c r="C2059" s="6"/>
      <c r="D2059" s="6"/>
      <c r="E2059" s="6"/>
      <c r="F2059" s="6"/>
      <c r="G2059" s="6"/>
      <c r="H2059" s="6"/>
      <c r="I2059" s="6"/>
      <c r="J2059" s="6"/>
      <c r="K2059" s="6"/>
      <c r="L2059" s="6"/>
      <c r="M2059" s="6"/>
      <c r="N2059" s="6"/>
      <c r="O2059" s="6"/>
      <c r="P2059" s="6"/>
      <c r="Q2059" s="6"/>
      <c r="R2059" s="6"/>
      <c r="S2059" s="6"/>
      <c r="T2059" s="6"/>
      <c r="U2059" s="6"/>
      <c r="V2059" s="6"/>
      <c r="W2059" s="6"/>
      <c r="X2059" s="6"/>
      <c r="Y2059" s="6"/>
      <c r="Z2059" s="6"/>
      <c r="AA2059" s="6"/>
    </row>
    <row r="2060" ht="14.25" customHeight="1">
      <c r="A2060" s="6"/>
      <c r="B2060" s="6"/>
      <c r="C2060" s="6"/>
      <c r="D2060" s="6"/>
      <c r="E2060" s="6"/>
      <c r="F2060" s="6"/>
      <c r="G2060" s="6"/>
      <c r="H2060" s="6"/>
      <c r="I2060" s="6"/>
      <c r="J2060" s="6"/>
      <c r="K2060" s="6"/>
      <c r="L2060" s="6"/>
      <c r="M2060" s="6"/>
      <c r="N2060" s="6"/>
      <c r="O2060" s="6"/>
      <c r="P2060" s="6"/>
      <c r="Q2060" s="6"/>
      <c r="R2060" s="6"/>
      <c r="S2060" s="6"/>
      <c r="T2060" s="6"/>
      <c r="U2060" s="6"/>
      <c r="V2060" s="6"/>
      <c r="W2060" s="6"/>
      <c r="X2060" s="6"/>
      <c r="Y2060" s="6"/>
      <c r="Z2060" s="6"/>
      <c r="AA2060" s="6"/>
    </row>
    <row r="2061" ht="14.25" customHeight="1">
      <c r="A2061" s="6"/>
      <c r="B2061" s="6"/>
      <c r="C2061" s="6"/>
      <c r="D2061" s="6"/>
      <c r="E2061" s="6"/>
      <c r="F2061" s="6"/>
      <c r="G2061" s="6"/>
      <c r="H2061" s="6"/>
      <c r="I2061" s="6"/>
      <c r="J2061" s="6"/>
      <c r="K2061" s="6"/>
      <c r="L2061" s="6"/>
      <c r="M2061" s="6"/>
      <c r="N2061" s="6"/>
      <c r="O2061" s="6"/>
      <c r="P2061" s="6"/>
      <c r="Q2061" s="6"/>
      <c r="R2061" s="6"/>
      <c r="S2061" s="6"/>
      <c r="T2061" s="6"/>
      <c r="U2061" s="6"/>
      <c r="V2061" s="6"/>
      <c r="W2061" s="6"/>
      <c r="X2061" s="6"/>
      <c r="Y2061" s="6"/>
      <c r="Z2061" s="6"/>
      <c r="AA2061" s="6"/>
    </row>
    <row r="2062" ht="14.25" customHeight="1">
      <c r="A2062" s="6"/>
      <c r="B2062" s="6"/>
      <c r="C2062" s="6"/>
      <c r="D2062" s="6"/>
      <c r="E2062" s="6"/>
      <c r="F2062" s="6"/>
      <c r="G2062" s="6"/>
      <c r="H2062" s="6"/>
      <c r="I2062" s="6"/>
      <c r="J2062" s="6"/>
      <c r="K2062" s="6"/>
      <c r="L2062" s="6"/>
      <c r="M2062" s="6"/>
      <c r="N2062" s="6"/>
      <c r="O2062" s="6"/>
      <c r="P2062" s="6"/>
      <c r="Q2062" s="6"/>
      <c r="R2062" s="6"/>
      <c r="S2062" s="6"/>
      <c r="T2062" s="6"/>
      <c r="U2062" s="6"/>
      <c r="V2062" s="6"/>
      <c r="W2062" s="6"/>
      <c r="X2062" s="6"/>
      <c r="Y2062" s="6"/>
      <c r="Z2062" s="6"/>
      <c r="AA2062" s="6"/>
    </row>
    <row r="2063" ht="14.25" customHeight="1">
      <c r="A2063" s="6"/>
      <c r="B2063" s="6"/>
      <c r="C2063" s="6"/>
      <c r="D2063" s="6"/>
      <c r="E2063" s="6"/>
      <c r="F2063" s="6"/>
      <c r="G2063" s="6"/>
      <c r="H2063" s="6"/>
      <c r="I2063" s="6"/>
      <c r="J2063" s="6"/>
      <c r="K2063" s="6"/>
      <c r="L2063" s="6"/>
      <c r="M2063" s="6"/>
      <c r="N2063" s="6"/>
      <c r="O2063" s="6"/>
      <c r="P2063" s="6"/>
      <c r="Q2063" s="6"/>
      <c r="R2063" s="6"/>
      <c r="S2063" s="6"/>
      <c r="T2063" s="6"/>
      <c r="U2063" s="6"/>
      <c r="V2063" s="6"/>
      <c r="W2063" s="6"/>
      <c r="X2063" s="6"/>
      <c r="Y2063" s="6"/>
      <c r="Z2063" s="6"/>
      <c r="AA2063" s="6"/>
    </row>
    <row r="2064" ht="14.25" customHeight="1">
      <c r="A2064" s="6"/>
      <c r="B2064" s="6"/>
      <c r="C2064" s="6"/>
      <c r="D2064" s="6"/>
      <c r="E2064" s="6"/>
      <c r="F2064" s="6"/>
      <c r="G2064" s="6"/>
      <c r="H2064" s="6"/>
      <c r="I2064" s="6"/>
      <c r="J2064" s="6"/>
      <c r="K2064" s="6"/>
      <c r="L2064" s="6"/>
      <c r="M2064" s="6"/>
      <c r="N2064" s="6"/>
      <c r="O2064" s="6"/>
      <c r="P2064" s="6"/>
      <c r="Q2064" s="6"/>
      <c r="R2064" s="6"/>
      <c r="S2064" s="6"/>
      <c r="T2064" s="6"/>
      <c r="U2064" s="6"/>
      <c r="V2064" s="6"/>
      <c r="W2064" s="6"/>
      <c r="X2064" s="6"/>
      <c r="Y2064" s="6"/>
      <c r="Z2064" s="6"/>
      <c r="AA2064" s="6"/>
    </row>
    <row r="2065" ht="14.25" customHeight="1">
      <c r="A2065" s="6"/>
      <c r="B2065" s="6"/>
      <c r="C2065" s="6"/>
      <c r="D2065" s="6"/>
      <c r="E2065" s="6"/>
      <c r="F2065" s="6"/>
      <c r="G2065" s="6"/>
      <c r="H2065" s="6"/>
      <c r="I2065" s="6"/>
      <c r="J2065" s="6"/>
      <c r="K2065" s="6"/>
      <c r="L2065" s="6"/>
      <c r="M2065" s="6"/>
      <c r="N2065" s="6"/>
      <c r="O2065" s="6"/>
      <c r="P2065" s="6"/>
      <c r="Q2065" s="6"/>
      <c r="R2065" s="6"/>
      <c r="S2065" s="6"/>
      <c r="T2065" s="6"/>
      <c r="U2065" s="6"/>
      <c r="V2065" s="6"/>
      <c r="W2065" s="6"/>
      <c r="X2065" s="6"/>
      <c r="Y2065" s="6"/>
      <c r="Z2065" s="6"/>
      <c r="AA2065" s="6"/>
    </row>
    <row r="2066" ht="14.25" customHeight="1">
      <c r="A2066" s="6"/>
      <c r="B2066" s="6"/>
      <c r="C2066" s="6"/>
      <c r="D2066" s="6"/>
      <c r="E2066" s="6"/>
      <c r="F2066" s="6"/>
      <c r="G2066" s="6"/>
      <c r="H2066" s="6"/>
      <c r="I2066" s="6"/>
      <c r="J2066" s="6"/>
      <c r="K2066" s="6"/>
      <c r="L2066" s="6"/>
      <c r="M2066" s="6"/>
      <c r="N2066" s="6"/>
      <c r="O2066" s="6"/>
      <c r="P2066" s="6"/>
      <c r="Q2066" s="6"/>
      <c r="R2066" s="6"/>
      <c r="S2066" s="6"/>
      <c r="T2066" s="6"/>
      <c r="U2066" s="6"/>
      <c r="V2066" s="6"/>
      <c r="W2066" s="6"/>
      <c r="X2066" s="6"/>
      <c r="Y2066" s="6"/>
      <c r="Z2066" s="6"/>
      <c r="AA2066" s="6"/>
    </row>
    <row r="2067" ht="14.25" customHeight="1">
      <c r="A2067" s="6"/>
      <c r="B2067" s="6"/>
      <c r="C2067" s="6"/>
      <c r="D2067" s="6"/>
      <c r="E2067" s="6"/>
      <c r="F2067" s="6"/>
      <c r="G2067" s="6"/>
      <c r="H2067" s="6"/>
      <c r="I2067" s="6"/>
      <c r="J2067" s="6"/>
      <c r="K2067" s="6"/>
      <c r="L2067" s="6"/>
      <c r="M2067" s="6"/>
      <c r="N2067" s="6"/>
      <c r="O2067" s="6"/>
      <c r="P2067" s="6"/>
      <c r="Q2067" s="6"/>
      <c r="R2067" s="6"/>
      <c r="S2067" s="6"/>
      <c r="T2067" s="6"/>
      <c r="U2067" s="6"/>
      <c r="V2067" s="6"/>
      <c r="W2067" s="6"/>
      <c r="X2067" s="6"/>
      <c r="Y2067" s="6"/>
      <c r="Z2067" s="6"/>
      <c r="AA2067" s="6"/>
    </row>
    <row r="2068" ht="14.25" customHeight="1">
      <c r="A2068" s="6"/>
      <c r="B2068" s="6"/>
      <c r="C2068" s="6"/>
      <c r="D2068" s="6"/>
      <c r="E2068" s="6"/>
      <c r="F2068" s="6"/>
      <c r="G2068" s="6"/>
      <c r="H2068" s="6"/>
      <c r="I2068" s="6"/>
      <c r="J2068" s="6"/>
      <c r="K2068" s="6"/>
      <c r="L2068" s="6"/>
      <c r="M2068" s="6"/>
      <c r="N2068" s="6"/>
      <c r="O2068" s="6"/>
      <c r="P2068" s="6"/>
      <c r="Q2068" s="6"/>
      <c r="R2068" s="6"/>
      <c r="S2068" s="6"/>
      <c r="T2068" s="6"/>
      <c r="U2068" s="6"/>
      <c r="V2068" s="6"/>
      <c r="W2068" s="6"/>
      <c r="X2068" s="6"/>
      <c r="Y2068" s="6"/>
      <c r="Z2068" s="6"/>
      <c r="AA2068" s="6"/>
    </row>
    <row r="2069" ht="14.25" customHeight="1">
      <c r="A2069" s="6"/>
      <c r="B2069" s="6"/>
      <c r="C2069" s="6"/>
      <c r="D2069" s="6"/>
      <c r="E2069" s="6"/>
      <c r="F2069" s="6"/>
      <c r="G2069" s="6"/>
      <c r="H2069" s="6"/>
      <c r="I2069" s="6"/>
      <c r="J2069" s="6"/>
      <c r="K2069" s="6"/>
      <c r="L2069" s="6"/>
      <c r="M2069" s="6"/>
      <c r="N2069" s="6"/>
      <c r="O2069" s="6"/>
      <c r="P2069" s="6"/>
      <c r="Q2069" s="6"/>
      <c r="R2069" s="6"/>
      <c r="S2069" s="6"/>
      <c r="T2069" s="6"/>
      <c r="U2069" s="6"/>
      <c r="V2069" s="6"/>
      <c r="W2069" s="6"/>
      <c r="X2069" s="6"/>
      <c r="Y2069" s="6"/>
      <c r="Z2069" s="6"/>
      <c r="AA2069" s="6"/>
    </row>
    <row r="2070" ht="14.25" customHeight="1">
      <c r="A2070" s="6"/>
      <c r="B2070" s="6"/>
      <c r="C2070" s="6"/>
      <c r="D2070" s="6"/>
      <c r="E2070" s="6"/>
      <c r="F2070" s="6"/>
      <c r="G2070" s="6"/>
      <c r="H2070" s="6"/>
      <c r="I2070" s="6"/>
      <c r="J2070" s="6"/>
      <c r="K2070" s="6"/>
      <c r="L2070" s="6"/>
      <c r="M2070" s="6"/>
      <c r="N2070" s="6"/>
      <c r="O2070" s="6"/>
      <c r="P2070" s="6"/>
      <c r="Q2070" s="6"/>
      <c r="R2070" s="6"/>
      <c r="S2070" s="6"/>
      <c r="T2070" s="6"/>
      <c r="U2070" s="6"/>
      <c r="V2070" s="6"/>
      <c r="W2070" s="6"/>
      <c r="X2070" s="6"/>
      <c r="Y2070" s="6"/>
      <c r="Z2070" s="6"/>
      <c r="AA2070" s="6"/>
    </row>
    <row r="2071" ht="14.25" customHeight="1">
      <c r="A2071" s="6"/>
      <c r="B2071" s="6"/>
      <c r="C2071" s="6"/>
      <c r="D2071" s="6"/>
      <c r="E2071" s="6"/>
      <c r="F2071" s="6"/>
      <c r="G2071" s="6"/>
      <c r="H2071" s="6"/>
      <c r="I2071" s="6"/>
      <c r="J2071" s="6"/>
      <c r="K2071" s="6"/>
      <c r="L2071" s="6"/>
      <c r="M2071" s="6"/>
      <c r="N2071" s="6"/>
      <c r="O2071" s="6"/>
      <c r="P2071" s="6"/>
      <c r="Q2071" s="6"/>
      <c r="R2071" s="6"/>
      <c r="S2071" s="6"/>
      <c r="T2071" s="6"/>
      <c r="U2071" s="6"/>
      <c r="V2071" s="6"/>
      <c r="W2071" s="6"/>
      <c r="X2071" s="6"/>
      <c r="Y2071" s="6"/>
      <c r="Z2071" s="6"/>
      <c r="AA2071" s="6"/>
    </row>
    <row r="2072" ht="14.25" customHeight="1">
      <c r="A2072" s="6"/>
      <c r="B2072" s="6"/>
      <c r="C2072" s="6"/>
      <c r="D2072" s="6"/>
      <c r="E2072" s="6"/>
      <c r="F2072" s="6"/>
      <c r="G2072" s="6"/>
      <c r="H2072" s="6"/>
      <c r="I2072" s="6"/>
      <c r="J2072" s="6"/>
      <c r="K2072" s="6"/>
      <c r="L2072" s="6"/>
      <c r="M2072" s="6"/>
      <c r="N2072" s="6"/>
      <c r="O2072" s="6"/>
      <c r="P2072" s="6"/>
      <c r="Q2072" s="6"/>
      <c r="R2072" s="6"/>
      <c r="S2072" s="6"/>
      <c r="T2072" s="6"/>
      <c r="U2072" s="6"/>
      <c r="V2072" s="6"/>
      <c r="W2072" s="6"/>
      <c r="X2072" s="6"/>
      <c r="Y2072" s="6"/>
      <c r="Z2072" s="6"/>
      <c r="AA2072" s="6"/>
    </row>
    <row r="2073" ht="14.25" customHeight="1">
      <c r="A2073" s="6"/>
      <c r="B2073" s="6"/>
      <c r="C2073" s="6"/>
      <c r="D2073" s="6"/>
      <c r="E2073" s="6"/>
      <c r="F2073" s="6"/>
      <c r="G2073" s="6"/>
      <c r="H2073" s="6"/>
      <c r="I2073" s="6"/>
      <c r="J2073" s="6"/>
      <c r="K2073" s="6"/>
      <c r="L2073" s="6"/>
      <c r="M2073" s="6"/>
      <c r="N2073" s="6"/>
      <c r="O2073" s="6"/>
      <c r="P2073" s="6"/>
      <c r="Q2073" s="6"/>
      <c r="R2073" s="6"/>
      <c r="S2073" s="6"/>
      <c r="T2073" s="6"/>
      <c r="U2073" s="6"/>
      <c r="V2073" s="6"/>
      <c r="W2073" s="6"/>
      <c r="X2073" s="6"/>
      <c r="Y2073" s="6"/>
      <c r="Z2073" s="6"/>
      <c r="AA2073" s="6"/>
    </row>
    <row r="2074" ht="14.25" customHeight="1">
      <c r="A2074" s="6"/>
      <c r="B2074" s="6"/>
      <c r="C2074" s="6"/>
      <c r="D2074" s="6"/>
      <c r="E2074" s="6"/>
      <c r="F2074" s="6"/>
      <c r="G2074" s="6"/>
      <c r="H2074" s="6"/>
      <c r="I2074" s="6"/>
      <c r="J2074" s="6"/>
      <c r="K2074" s="6"/>
      <c r="L2074" s="6"/>
      <c r="M2074" s="6"/>
      <c r="N2074" s="6"/>
      <c r="O2074" s="6"/>
      <c r="P2074" s="6"/>
      <c r="Q2074" s="6"/>
      <c r="R2074" s="6"/>
      <c r="S2074" s="6"/>
      <c r="T2074" s="6"/>
      <c r="U2074" s="6"/>
      <c r="V2074" s="6"/>
      <c r="W2074" s="6"/>
      <c r="X2074" s="6"/>
      <c r="Y2074" s="6"/>
      <c r="Z2074" s="6"/>
      <c r="AA2074" s="6"/>
    </row>
    <row r="2075" ht="14.25" customHeight="1">
      <c r="A2075" s="6"/>
      <c r="B2075" s="6"/>
      <c r="C2075" s="6"/>
      <c r="D2075" s="6"/>
      <c r="E2075" s="6"/>
      <c r="F2075" s="6"/>
      <c r="G2075" s="6"/>
      <c r="H2075" s="6"/>
      <c r="I2075" s="6"/>
      <c r="J2075" s="6"/>
      <c r="K2075" s="6"/>
      <c r="L2075" s="6"/>
      <c r="M2075" s="6"/>
      <c r="N2075" s="6"/>
      <c r="O2075" s="6"/>
      <c r="P2075" s="6"/>
      <c r="Q2075" s="6"/>
      <c r="R2075" s="6"/>
      <c r="S2075" s="6"/>
      <c r="T2075" s="6"/>
      <c r="U2075" s="6"/>
      <c r="V2075" s="6"/>
      <c r="W2075" s="6"/>
      <c r="X2075" s="6"/>
      <c r="Y2075" s="6"/>
      <c r="Z2075" s="6"/>
      <c r="AA2075" s="6"/>
    </row>
    <row r="2076" ht="14.25" customHeight="1">
      <c r="A2076" s="6"/>
      <c r="B2076" s="6"/>
      <c r="C2076" s="6"/>
      <c r="D2076" s="6"/>
      <c r="E2076" s="6"/>
      <c r="F2076" s="6"/>
      <c r="G2076" s="6"/>
      <c r="H2076" s="6"/>
      <c r="I2076" s="6"/>
      <c r="J2076" s="6"/>
      <c r="K2076" s="6"/>
      <c r="L2076" s="6"/>
      <c r="M2076" s="6"/>
      <c r="N2076" s="6"/>
      <c r="O2076" s="6"/>
      <c r="P2076" s="6"/>
      <c r="Q2076" s="6"/>
      <c r="R2076" s="6"/>
      <c r="S2076" s="6"/>
      <c r="T2076" s="6"/>
      <c r="U2076" s="6"/>
      <c r="V2076" s="6"/>
      <c r="W2076" s="6"/>
      <c r="X2076" s="6"/>
      <c r="Y2076" s="6"/>
      <c r="Z2076" s="6"/>
      <c r="AA2076" s="6"/>
    </row>
    <row r="2077" ht="14.25" customHeight="1">
      <c r="A2077" s="6"/>
      <c r="B2077" s="6"/>
      <c r="C2077" s="6"/>
      <c r="D2077" s="6"/>
      <c r="E2077" s="6"/>
      <c r="F2077" s="6"/>
      <c r="G2077" s="6"/>
      <c r="H2077" s="6"/>
      <c r="I2077" s="6"/>
      <c r="J2077" s="6"/>
      <c r="K2077" s="6"/>
      <c r="L2077" s="6"/>
      <c r="M2077" s="6"/>
      <c r="N2077" s="6"/>
      <c r="O2077" s="6"/>
      <c r="P2077" s="6"/>
      <c r="Q2077" s="6"/>
      <c r="R2077" s="6"/>
      <c r="S2077" s="6"/>
      <c r="T2077" s="6"/>
      <c r="U2077" s="6"/>
      <c r="V2077" s="6"/>
      <c r="W2077" s="6"/>
      <c r="X2077" s="6"/>
      <c r="Y2077" s="6"/>
      <c r="Z2077" s="6"/>
      <c r="AA2077" s="6"/>
    </row>
    <row r="2078" ht="14.25" customHeight="1">
      <c r="A2078" s="6"/>
      <c r="B2078" s="6"/>
      <c r="C2078" s="6"/>
      <c r="D2078" s="6"/>
      <c r="E2078" s="6"/>
      <c r="F2078" s="6"/>
      <c r="G2078" s="6"/>
      <c r="H2078" s="6"/>
      <c r="I2078" s="6"/>
      <c r="J2078" s="6"/>
      <c r="K2078" s="6"/>
      <c r="L2078" s="6"/>
      <c r="M2078" s="6"/>
      <c r="N2078" s="6"/>
      <c r="O2078" s="6"/>
      <c r="P2078" s="6"/>
      <c r="Q2078" s="6"/>
      <c r="R2078" s="6"/>
      <c r="S2078" s="6"/>
      <c r="T2078" s="6"/>
      <c r="U2078" s="6"/>
      <c r="V2078" s="6"/>
      <c r="W2078" s="6"/>
      <c r="X2078" s="6"/>
      <c r="Y2078" s="6"/>
      <c r="Z2078" s="6"/>
      <c r="AA2078" s="6"/>
    </row>
    <row r="2079" ht="14.25" customHeight="1">
      <c r="A2079" s="6"/>
      <c r="B2079" s="6"/>
      <c r="C2079" s="6"/>
      <c r="D2079" s="6"/>
      <c r="E2079" s="6"/>
      <c r="F2079" s="6"/>
      <c r="G2079" s="6"/>
      <c r="H2079" s="6"/>
      <c r="I2079" s="6"/>
      <c r="J2079" s="6"/>
      <c r="K2079" s="6"/>
      <c r="L2079" s="6"/>
      <c r="M2079" s="6"/>
      <c r="N2079" s="6"/>
      <c r="O2079" s="6"/>
      <c r="P2079" s="6"/>
      <c r="Q2079" s="6"/>
      <c r="R2079" s="6"/>
      <c r="S2079" s="6"/>
      <c r="T2079" s="6"/>
      <c r="U2079" s="6"/>
      <c r="V2079" s="6"/>
      <c r="W2079" s="6"/>
      <c r="X2079" s="6"/>
      <c r="Y2079" s="6"/>
      <c r="Z2079" s="6"/>
      <c r="AA2079" s="6"/>
    </row>
    <row r="2080" ht="14.25" customHeight="1">
      <c r="A2080" s="6"/>
      <c r="B2080" s="6"/>
      <c r="C2080" s="6"/>
      <c r="D2080" s="6"/>
      <c r="E2080" s="6"/>
      <c r="F2080" s="6"/>
      <c r="G2080" s="6"/>
      <c r="H2080" s="6"/>
      <c r="I2080" s="6"/>
      <c r="J2080" s="6"/>
      <c r="K2080" s="6"/>
      <c r="L2080" s="6"/>
      <c r="M2080" s="6"/>
      <c r="N2080" s="6"/>
      <c r="O2080" s="6"/>
      <c r="P2080" s="6"/>
      <c r="Q2080" s="6"/>
      <c r="R2080" s="6"/>
      <c r="S2080" s="6"/>
      <c r="T2080" s="6"/>
      <c r="U2080" s="6"/>
      <c r="V2080" s="6"/>
      <c r="W2080" s="6"/>
      <c r="X2080" s="6"/>
      <c r="Y2080" s="6"/>
      <c r="Z2080" s="6"/>
      <c r="AA2080" s="6"/>
    </row>
    <row r="2081" ht="14.25" customHeight="1">
      <c r="A2081" s="6"/>
      <c r="B2081" s="6"/>
      <c r="C2081" s="6"/>
      <c r="D2081" s="6"/>
      <c r="E2081" s="6"/>
      <c r="F2081" s="6"/>
      <c r="G2081" s="6"/>
      <c r="H2081" s="6"/>
      <c r="I2081" s="6"/>
      <c r="J2081" s="6"/>
      <c r="K2081" s="6"/>
      <c r="L2081" s="6"/>
      <c r="M2081" s="6"/>
      <c r="N2081" s="6"/>
      <c r="O2081" s="6"/>
      <c r="P2081" s="6"/>
      <c r="Q2081" s="6"/>
      <c r="R2081" s="6"/>
      <c r="S2081" s="6"/>
      <c r="T2081" s="6"/>
      <c r="U2081" s="6"/>
      <c r="V2081" s="6"/>
      <c r="W2081" s="6"/>
      <c r="X2081" s="6"/>
      <c r="Y2081" s="6"/>
      <c r="Z2081" s="6"/>
      <c r="AA2081" s="6"/>
    </row>
    <row r="2082" ht="14.25" customHeight="1">
      <c r="A2082" s="6"/>
      <c r="B2082" s="6"/>
      <c r="C2082" s="6"/>
      <c r="D2082" s="6"/>
      <c r="E2082" s="6"/>
      <c r="F2082" s="6"/>
      <c r="G2082" s="6"/>
      <c r="H2082" s="6"/>
      <c r="I2082" s="6"/>
      <c r="J2082" s="6"/>
      <c r="K2082" s="6"/>
      <c r="L2082" s="6"/>
      <c r="M2082" s="6"/>
      <c r="N2082" s="6"/>
      <c r="O2082" s="6"/>
      <c r="P2082" s="6"/>
      <c r="Q2082" s="6"/>
      <c r="R2082" s="6"/>
      <c r="S2082" s="6"/>
      <c r="T2082" s="6"/>
      <c r="U2082" s="6"/>
      <c r="V2082" s="6"/>
      <c r="W2082" s="6"/>
      <c r="X2082" s="6"/>
      <c r="Y2082" s="6"/>
      <c r="Z2082" s="6"/>
      <c r="AA2082" s="6"/>
    </row>
    <row r="2083" ht="14.25" customHeight="1">
      <c r="A2083" s="6"/>
      <c r="B2083" s="6"/>
      <c r="C2083" s="6"/>
      <c r="D2083" s="6"/>
      <c r="E2083" s="6"/>
      <c r="F2083" s="6"/>
      <c r="G2083" s="6"/>
      <c r="H2083" s="6"/>
      <c r="I2083" s="6"/>
      <c r="J2083" s="6"/>
      <c r="K2083" s="6"/>
      <c r="L2083" s="6"/>
      <c r="M2083" s="6"/>
      <c r="N2083" s="6"/>
      <c r="O2083" s="6"/>
      <c r="P2083" s="6"/>
      <c r="Q2083" s="6"/>
      <c r="R2083" s="6"/>
      <c r="S2083" s="6"/>
      <c r="T2083" s="6"/>
      <c r="U2083" s="6"/>
      <c r="V2083" s="6"/>
      <c r="W2083" s="6"/>
      <c r="X2083" s="6"/>
      <c r="Y2083" s="6"/>
      <c r="Z2083" s="6"/>
      <c r="AA2083" s="6"/>
    </row>
    <row r="2084" ht="14.25" customHeight="1">
      <c r="A2084" s="6"/>
      <c r="B2084" s="6"/>
      <c r="C2084" s="6"/>
      <c r="D2084" s="6"/>
      <c r="E2084" s="6"/>
      <c r="F2084" s="6"/>
      <c r="G2084" s="6"/>
      <c r="H2084" s="6"/>
      <c r="I2084" s="6"/>
      <c r="J2084" s="6"/>
      <c r="K2084" s="6"/>
      <c r="L2084" s="6"/>
      <c r="M2084" s="6"/>
      <c r="N2084" s="6"/>
      <c r="O2084" s="6"/>
      <c r="P2084" s="6"/>
      <c r="Q2084" s="6"/>
      <c r="R2084" s="6"/>
      <c r="S2084" s="6"/>
      <c r="T2084" s="6"/>
      <c r="U2084" s="6"/>
      <c r="V2084" s="6"/>
      <c r="W2084" s="6"/>
      <c r="X2084" s="6"/>
      <c r="Y2084" s="6"/>
      <c r="Z2084" s="6"/>
      <c r="AA2084" s="6"/>
    </row>
    <row r="2085" ht="14.25" customHeight="1">
      <c r="A2085" s="6"/>
      <c r="B2085" s="6"/>
      <c r="C2085" s="6"/>
      <c r="D2085" s="6"/>
      <c r="E2085" s="6"/>
      <c r="F2085" s="6"/>
      <c r="G2085" s="6"/>
      <c r="H2085" s="6"/>
      <c r="I2085" s="6"/>
      <c r="J2085" s="6"/>
      <c r="K2085" s="6"/>
      <c r="L2085" s="6"/>
      <c r="M2085" s="6"/>
      <c r="N2085" s="6"/>
      <c r="O2085" s="6"/>
      <c r="P2085" s="6"/>
      <c r="Q2085" s="6"/>
      <c r="R2085" s="6"/>
      <c r="S2085" s="6"/>
      <c r="T2085" s="6"/>
      <c r="U2085" s="6"/>
      <c r="V2085" s="6"/>
      <c r="W2085" s="6"/>
      <c r="X2085" s="6"/>
      <c r="Y2085" s="6"/>
      <c r="Z2085" s="6"/>
      <c r="AA2085" s="6"/>
    </row>
    <row r="2086" ht="14.25" customHeight="1">
      <c r="A2086" s="6"/>
      <c r="B2086" s="6"/>
      <c r="C2086" s="6"/>
      <c r="D2086" s="6"/>
      <c r="E2086" s="6"/>
      <c r="F2086" s="6"/>
      <c r="G2086" s="6"/>
      <c r="H2086" s="6"/>
      <c r="I2086" s="6"/>
      <c r="J2086" s="6"/>
      <c r="K2086" s="6"/>
      <c r="L2086" s="6"/>
      <c r="M2086" s="6"/>
      <c r="N2086" s="6"/>
      <c r="O2086" s="6"/>
      <c r="P2086" s="6"/>
      <c r="Q2086" s="6"/>
      <c r="R2086" s="6"/>
      <c r="S2086" s="6"/>
      <c r="T2086" s="6"/>
      <c r="U2086" s="6"/>
      <c r="V2086" s="6"/>
      <c r="W2086" s="6"/>
      <c r="X2086" s="6"/>
      <c r="Y2086" s="6"/>
      <c r="Z2086" s="6"/>
      <c r="AA2086" s="6"/>
    </row>
    <row r="2087" ht="14.25" customHeight="1">
      <c r="A2087" s="6"/>
      <c r="B2087" s="6"/>
      <c r="C2087" s="6"/>
      <c r="D2087" s="6"/>
      <c r="E2087" s="6"/>
      <c r="F2087" s="6"/>
      <c r="G2087" s="6"/>
      <c r="H2087" s="6"/>
      <c r="I2087" s="6"/>
      <c r="J2087" s="6"/>
      <c r="K2087" s="6"/>
      <c r="L2087" s="6"/>
      <c r="M2087" s="6"/>
      <c r="N2087" s="6"/>
      <c r="O2087" s="6"/>
      <c r="P2087" s="6"/>
      <c r="Q2087" s="6"/>
      <c r="R2087" s="6"/>
      <c r="S2087" s="6"/>
      <c r="T2087" s="6"/>
      <c r="U2087" s="6"/>
      <c r="V2087" s="6"/>
      <c r="W2087" s="6"/>
      <c r="X2087" s="6"/>
      <c r="Y2087" s="6"/>
      <c r="Z2087" s="6"/>
      <c r="AA2087" s="6"/>
    </row>
    <row r="2088" ht="14.25" customHeight="1">
      <c r="A2088" s="6"/>
      <c r="B2088" s="6"/>
      <c r="C2088" s="6"/>
      <c r="D2088" s="6"/>
      <c r="E2088" s="6"/>
      <c r="F2088" s="6"/>
      <c r="G2088" s="6"/>
      <c r="H2088" s="6"/>
      <c r="I2088" s="6"/>
      <c r="J2088" s="6"/>
      <c r="K2088" s="6"/>
      <c r="L2088" s="6"/>
      <c r="M2088" s="6"/>
      <c r="N2088" s="6"/>
      <c r="O2088" s="6"/>
      <c r="P2088" s="6"/>
      <c r="Q2088" s="6"/>
      <c r="R2088" s="6"/>
      <c r="S2088" s="6"/>
      <c r="T2088" s="6"/>
      <c r="U2088" s="6"/>
      <c r="V2088" s="6"/>
      <c r="W2088" s="6"/>
      <c r="X2088" s="6"/>
      <c r="Y2088" s="6"/>
      <c r="Z2088" s="6"/>
      <c r="AA2088" s="6"/>
    </row>
    <row r="2089" ht="14.25" customHeight="1">
      <c r="A2089" s="6"/>
      <c r="B2089" s="6"/>
      <c r="C2089" s="6"/>
      <c r="D2089" s="6"/>
      <c r="E2089" s="6"/>
      <c r="F2089" s="6"/>
      <c r="G2089" s="6"/>
      <c r="H2089" s="6"/>
      <c r="I2089" s="6"/>
      <c r="J2089" s="6"/>
      <c r="K2089" s="6"/>
      <c r="L2089" s="6"/>
      <c r="M2089" s="6"/>
      <c r="N2089" s="6"/>
      <c r="O2089" s="6"/>
      <c r="P2089" s="6"/>
      <c r="Q2089" s="6"/>
      <c r="R2089" s="6"/>
      <c r="S2089" s="6"/>
      <c r="T2089" s="6"/>
      <c r="U2089" s="6"/>
      <c r="V2089" s="6"/>
      <c r="W2089" s="6"/>
      <c r="X2089" s="6"/>
      <c r="Y2089" s="6"/>
      <c r="Z2089" s="6"/>
      <c r="AA2089" s="6"/>
    </row>
    <row r="2090" ht="14.25" customHeight="1">
      <c r="A2090" s="6"/>
      <c r="B2090" s="6"/>
      <c r="C2090" s="6"/>
      <c r="D2090" s="6"/>
      <c r="E2090" s="6"/>
      <c r="F2090" s="6"/>
      <c r="G2090" s="6"/>
      <c r="H2090" s="6"/>
      <c r="I2090" s="6"/>
      <c r="J2090" s="6"/>
      <c r="K2090" s="6"/>
      <c r="L2090" s="6"/>
      <c r="M2090" s="6"/>
      <c r="N2090" s="6"/>
      <c r="O2090" s="6"/>
      <c r="P2090" s="6"/>
      <c r="Q2090" s="6"/>
      <c r="R2090" s="6"/>
      <c r="S2090" s="6"/>
      <c r="T2090" s="6"/>
      <c r="U2090" s="6"/>
      <c r="V2090" s="6"/>
      <c r="W2090" s="6"/>
      <c r="X2090" s="6"/>
      <c r="Y2090" s="6"/>
      <c r="Z2090" s="6"/>
      <c r="AA2090" s="6"/>
    </row>
    <row r="2091" ht="14.25" customHeight="1">
      <c r="A2091" s="6"/>
      <c r="B2091" s="6"/>
      <c r="C2091" s="6"/>
      <c r="D2091" s="6"/>
      <c r="E2091" s="6"/>
      <c r="F2091" s="6"/>
      <c r="G2091" s="6"/>
      <c r="H2091" s="6"/>
      <c r="I2091" s="6"/>
      <c r="J2091" s="6"/>
      <c r="K2091" s="6"/>
      <c r="L2091" s="6"/>
      <c r="M2091" s="6"/>
      <c r="N2091" s="6"/>
      <c r="O2091" s="6"/>
      <c r="P2091" s="6"/>
      <c r="Q2091" s="6"/>
      <c r="R2091" s="6"/>
      <c r="S2091" s="6"/>
      <c r="T2091" s="6"/>
      <c r="U2091" s="6"/>
      <c r="V2091" s="6"/>
      <c r="W2091" s="6"/>
      <c r="X2091" s="6"/>
      <c r="Y2091" s="6"/>
      <c r="Z2091" s="6"/>
      <c r="AA2091" s="6"/>
    </row>
    <row r="2092" ht="14.25" customHeight="1">
      <c r="A2092" s="6"/>
      <c r="B2092" s="6"/>
      <c r="C2092" s="6"/>
      <c r="D2092" s="6"/>
      <c r="E2092" s="6"/>
      <c r="F2092" s="6"/>
      <c r="G2092" s="6"/>
      <c r="H2092" s="6"/>
      <c r="I2092" s="6"/>
      <c r="J2092" s="6"/>
      <c r="K2092" s="6"/>
      <c r="L2092" s="6"/>
      <c r="M2092" s="6"/>
      <c r="N2092" s="6"/>
      <c r="O2092" s="6"/>
      <c r="P2092" s="6"/>
      <c r="Q2092" s="6"/>
      <c r="R2092" s="6"/>
      <c r="S2092" s="6"/>
      <c r="T2092" s="6"/>
      <c r="U2092" s="6"/>
      <c r="V2092" s="6"/>
      <c r="W2092" s="6"/>
      <c r="X2092" s="6"/>
      <c r="Y2092" s="6"/>
      <c r="Z2092" s="6"/>
      <c r="AA2092" s="6"/>
    </row>
    <row r="2093" ht="14.25" customHeight="1">
      <c r="A2093" s="6"/>
      <c r="B2093" s="6"/>
      <c r="C2093" s="6"/>
      <c r="D2093" s="6"/>
      <c r="E2093" s="6"/>
      <c r="F2093" s="6"/>
      <c r="G2093" s="6"/>
      <c r="H2093" s="6"/>
      <c r="I2093" s="6"/>
      <c r="J2093" s="6"/>
      <c r="K2093" s="6"/>
      <c r="L2093" s="6"/>
      <c r="M2093" s="6"/>
      <c r="N2093" s="6"/>
      <c r="O2093" s="6"/>
      <c r="P2093" s="6"/>
      <c r="Q2093" s="6"/>
      <c r="R2093" s="6"/>
      <c r="S2093" s="6"/>
      <c r="T2093" s="6"/>
      <c r="U2093" s="6"/>
      <c r="V2093" s="6"/>
      <c r="W2093" s="6"/>
      <c r="X2093" s="6"/>
      <c r="Y2093" s="6"/>
      <c r="Z2093" s="6"/>
      <c r="AA2093" s="6"/>
    </row>
    <row r="2094" ht="14.25" customHeight="1">
      <c r="A2094" s="6"/>
      <c r="B2094" s="6"/>
      <c r="C2094" s="6"/>
      <c r="D2094" s="6"/>
      <c r="E2094" s="6"/>
      <c r="F2094" s="6"/>
      <c r="G2094" s="6"/>
      <c r="H2094" s="6"/>
      <c r="I2094" s="6"/>
      <c r="J2094" s="6"/>
      <c r="K2094" s="6"/>
      <c r="L2094" s="6"/>
      <c r="M2094" s="6"/>
      <c r="N2094" s="6"/>
      <c r="O2094" s="6"/>
      <c r="P2094" s="6"/>
      <c r="Q2094" s="6"/>
      <c r="R2094" s="6"/>
      <c r="S2094" s="6"/>
      <c r="T2094" s="6"/>
      <c r="U2094" s="6"/>
      <c r="V2094" s="6"/>
      <c r="W2094" s="6"/>
      <c r="X2094" s="6"/>
      <c r="Y2094" s="6"/>
      <c r="Z2094" s="6"/>
      <c r="AA2094" s="6"/>
    </row>
    <row r="2095" ht="14.25" customHeight="1">
      <c r="A2095" s="6"/>
      <c r="B2095" s="6"/>
      <c r="C2095" s="6"/>
      <c r="D2095" s="6"/>
      <c r="E2095" s="6"/>
      <c r="F2095" s="6"/>
      <c r="G2095" s="6"/>
      <c r="H2095" s="6"/>
      <c r="I2095" s="6"/>
      <c r="J2095" s="6"/>
      <c r="K2095" s="6"/>
      <c r="L2095" s="6"/>
      <c r="M2095" s="6"/>
      <c r="N2095" s="6"/>
      <c r="O2095" s="6"/>
      <c r="P2095" s="6"/>
      <c r="Q2095" s="6"/>
      <c r="R2095" s="6"/>
      <c r="S2095" s="6"/>
      <c r="T2095" s="6"/>
      <c r="U2095" s="6"/>
      <c r="V2095" s="6"/>
      <c r="W2095" s="6"/>
      <c r="X2095" s="6"/>
      <c r="Y2095" s="6"/>
      <c r="Z2095" s="6"/>
      <c r="AA2095" s="6"/>
    </row>
    <row r="2096" ht="14.25" customHeight="1">
      <c r="A2096" s="6"/>
      <c r="B2096" s="6"/>
      <c r="C2096" s="6"/>
      <c r="D2096" s="6"/>
      <c r="E2096" s="6"/>
      <c r="F2096" s="6"/>
      <c r="G2096" s="6"/>
      <c r="H2096" s="6"/>
      <c r="I2096" s="6"/>
      <c r="J2096" s="6"/>
      <c r="K2096" s="6"/>
      <c r="L2096" s="6"/>
      <c r="M2096" s="6"/>
      <c r="N2096" s="6"/>
      <c r="O2096" s="6"/>
      <c r="P2096" s="6"/>
      <c r="Q2096" s="6"/>
      <c r="R2096" s="6"/>
      <c r="S2096" s="6"/>
      <c r="T2096" s="6"/>
      <c r="U2096" s="6"/>
      <c r="V2096" s="6"/>
      <c r="W2096" s="6"/>
      <c r="X2096" s="6"/>
      <c r="Y2096" s="6"/>
      <c r="Z2096" s="6"/>
      <c r="AA2096" s="6"/>
    </row>
    <row r="2097" ht="14.25" customHeight="1">
      <c r="A2097" s="6"/>
      <c r="B2097" s="6"/>
      <c r="C2097" s="6"/>
      <c r="D2097" s="6"/>
      <c r="E2097" s="6"/>
      <c r="F2097" s="6"/>
      <c r="G2097" s="6"/>
      <c r="H2097" s="6"/>
      <c r="I2097" s="6"/>
      <c r="J2097" s="6"/>
      <c r="K2097" s="6"/>
      <c r="L2097" s="6"/>
      <c r="M2097" s="6"/>
      <c r="N2097" s="6"/>
      <c r="O2097" s="6"/>
      <c r="P2097" s="6"/>
      <c r="Q2097" s="6"/>
      <c r="R2097" s="6"/>
      <c r="S2097" s="6"/>
      <c r="T2097" s="6"/>
      <c r="U2097" s="6"/>
      <c r="V2097" s="6"/>
      <c r="W2097" s="6"/>
      <c r="X2097" s="6"/>
      <c r="Y2097" s="6"/>
      <c r="Z2097" s="6"/>
      <c r="AA2097" s="6"/>
    </row>
    <row r="2098" ht="14.25" customHeight="1">
      <c r="A2098" s="6"/>
      <c r="B2098" s="6"/>
      <c r="C2098" s="6"/>
      <c r="D2098" s="6"/>
      <c r="E2098" s="6"/>
      <c r="F2098" s="6"/>
      <c r="G2098" s="6"/>
      <c r="H2098" s="6"/>
      <c r="I2098" s="6"/>
      <c r="J2098" s="6"/>
      <c r="K2098" s="6"/>
      <c r="L2098" s="6"/>
      <c r="M2098" s="6"/>
      <c r="N2098" s="6"/>
      <c r="O2098" s="6"/>
      <c r="P2098" s="6"/>
      <c r="Q2098" s="6"/>
      <c r="R2098" s="6"/>
      <c r="S2098" s="6"/>
      <c r="T2098" s="6"/>
      <c r="U2098" s="6"/>
      <c r="V2098" s="6"/>
      <c r="W2098" s="6"/>
      <c r="X2098" s="6"/>
      <c r="Y2098" s="6"/>
      <c r="Z2098" s="6"/>
      <c r="AA2098" s="6"/>
    </row>
    <row r="2099" ht="14.25" customHeight="1">
      <c r="A2099" s="6"/>
      <c r="B2099" s="6"/>
      <c r="C2099" s="6"/>
      <c r="D2099" s="6"/>
      <c r="E2099" s="6"/>
      <c r="F2099" s="6"/>
      <c r="G2099" s="6"/>
      <c r="H2099" s="6"/>
      <c r="I2099" s="6"/>
      <c r="J2099" s="6"/>
      <c r="K2099" s="6"/>
      <c r="L2099" s="6"/>
      <c r="M2099" s="6"/>
      <c r="N2099" s="6"/>
      <c r="O2099" s="6"/>
      <c r="P2099" s="6"/>
      <c r="Q2099" s="6"/>
      <c r="R2099" s="6"/>
      <c r="S2099" s="6"/>
      <c r="T2099" s="6"/>
      <c r="U2099" s="6"/>
      <c r="V2099" s="6"/>
      <c r="W2099" s="6"/>
      <c r="X2099" s="6"/>
      <c r="Y2099" s="6"/>
      <c r="Z2099" s="6"/>
      <c r="AA2099" s="6"/>
    </row>
    <row r="2100" ht="14.25" customHeight="1">
      <c r="A2100" s="6"/>
      <c r="B2100" s="6"/>
      <c r="C2100" s="6"/>
      <c r="D2100" s="6"/>
      <c r="E2100" s="6"/>
      <c r="F2100" s="6"/>
      <c r="G2100" s="6"/>
      <c r="H2100" s="6"/>
      <c r="I2100" s="6"/>
      <c r="J2100" s="6"/>
      <c r="K2100" s="6"/>
      <c r="L2100" s="6"/>
      <c r="M2100" s="6"/>
      <c r="N2100" s="6"/>
      <c r="O2100" s="6"/>
      <c r="P2100" s="6"/>
      <c r="Q2100" s="6"/>
      <c r="R2100" s="6"/>
      <c r="S2100" s="6"/>
      <c r="T2100" s="6"/>
      <c r="U2100" s="6"/>
      <c r="V2100" s="6"/>
      <c r="W2100" s="6"/>
      <c r="X2100" s="6"/>
      <c r="Y2100" s="6"/>
      <c r="Z2100" s="6"/>
      <c r="AA2100" s="6"/>
    </row>
    <row r="2101" ht="14.25" customHeight="1">
      <c r="A2101" s="6"/>
      <c r="B2101" s="6"/>
      <c r="C2101" s="6"/>
      <c r="D2101" s="6"/>
      <c r="E2101" s="6"/>
      <c r="F2101" s="6"/>
      <c r="G2101" s="6"/>
      <c r="H2101" s="6"/>
      <c r="I2101" s="6"/>
      <c r="J2101" s="6"/>
      <c r="K2101" s="6"/>
      <c r="L2101" s="6"/>
      <c r="M2101" s="6"/>
      <c r="N2101" s="6"/>
      <c r="O2101" s="6"/>
      <c r="P2101" s="6"/>
      <c r="Q2101" s="6"/>
      <c r="R2101" s="6"/>
      <c r="S2101" s="6"/>
      <c r="T2101" s="6"/>
      <c r="U2101" s="6"/>
      <c r="V2101" s="6"/>
      <c r="W2101" s="6"/>
      <c r="X2101" s="6"/>
      <c r="Y2101" s="6"/>
      <c r="Z2101" s="6"/>
      <c r="AA2101" s="6"/>
    </row>
    <row r="2102" ht="14.25" customHeight="1">
      <c r="A2102" s="6"/>
      <c r="B2102" s="6"/>
      <c r="C2102" s="6"/>
      <c r="D2102" s="6"/>
      <c r="E2102" s="6"/>
      <c r="F2102" s="6"/>
      <c r="G2102" s="6"/>
      <c r="H2102" s="6"/>
      <c r="I2102" s="6"/>
      <c r="J2102" s="6"/>
      <c r="K2102" s="6"/>
      <c r="L2102" s="6"/>
      <c r="M2102" s="6"/>
      <c r="N2102" s="6"/>
      <c r="O2102" s="6"/>
      <c r="P2102" s="6"/>
      <c r="Q2102" s="6"/>
      <c r="R2102" s="6"/>
      <c r="S2102" s="6"/>
      <c r="T2102" s="6"/>
      <c r="U2102" s="6"/>
      <c r="V2102" s="6"/>
      <c r="W2102" s="6"/>
      <c r="X2102" s="6"/>
      <c r="Y2102" s="6"/>
      <c r="Z2102" s="6"/>
      <c r="AA2102" s="6"/>
    </row>
    <row r="2103" ht="14.25" customHeight="1">
      <c r="A2103" s="6"/>
      <c r="B2103" s="6"/>
      <c r="C2103" s="6"/>
      <c r="D2103" s="6"/>
      <c r="E2103" s="6"/>
      <c r="F2103" s="6"/>
      <c r="G2103" s="6"/>
      <c r="H2103" s="6"/>
      <c r="I2103" s="6"/>
      <c r="J2103" s="6"/>
      <c r="K2103" s="6"/>
      <c r="L2103" s="6"/>
      <c r="M2103" s="6"/>
      <c r="N2103" s="6"/>
      <c r="O2103" s="6"/>
      <c r="P2103" s="6"/>
      <c r="Q2103" s="6"/>
      <c r="R2103" s="6"/>
      <c r="S2103" s="6"/>
      <c r="T2103" s="6"/>
      <c r="U2103" s="6"/>
      <c r="V2103" s="6"/>
      <c r="W2103" s="6"/>
      <c r="X2103" s="6"/>
      <c r="Y2103" s="6"/>
      <c r="Z2103" s="6"/>
      <c r="AA2103" s="6"/>
    </row>
    <row r="2104" ht="14.25" customHeight="1">
      <c r="A2104" s="6"/>
      <c r="B2104" s="6"/>
      <c r="C2104" s="6"/>
      <c r="D2104" s="6"/>
      <c r="E2104" s="6"/>
      <c r="F2104" s="6"/>
      <c r="G2104" s="6"/>
      <c r="H2104" s="6"/>
      <c r="I2104" s="6"/>
      <c r="J2104" s="6"/>
      <c r="K2104" s="6"/>
      <c r="L2104" s="6"/>
      <c r="M2104" s="6"/>
      <c r="N2104" s="6"/>
      <c r="O2104" s="6"/>
      <c r="P2104" s="6"/>
      <c r="Q2104" s="6"/>
      <c r="R2104" s="6"/>
      <c r="S2104" s="6"/>
      <c r="T2104" s="6"/>
      <c r="U2104" s="6"/>
      <c r="V2104" s="6"/>
      <c r="W2104" s="6"/>
      <c r="X2104" s="6"/>
      <c r="Y2104" s="6"/>
      <c r="Z2104" s="6"/>
      <c r="AA2104" s="6"/>
    </row>
    <row r="2105" ht="14.25" customHeight="1">
      <c r="A2105" s="6"/>
      <c r="B2105" s="6"/>
      <c r="C2105" s="6"/>
      <c r="D2105" s="6"/>
      <c r="E2105" s="6"/>
      <c r="F2105" s="6"/>
      <c r="G2105" s="6"/>
      <c r="H2105" s="6"/>
      <c r="I2105" s="6"/>
      <c r="J2105" s="6"/>
      <c r="K2105" s="6"/>
      <c r="L2105" s="6"/>
      <c r="M2105" s="6"/>
      <c r="N2105" s="6"/>
      <c r="O2105" s="6"/>
      <c r="P2105" s="6"/>
      <c r="Q2105" s="6"/>
      <c r="R2105" s="6"/>
      <c r="S2105" s="6"/>
      <c r="T2105" s="6"/>
      <c r="U2105" s="6"/>
      <c r="V2105" s="6"/>
      <c r="W2105" s="6"/>
      <c r="X2105" s="6"/>
      <c r="Y2105" s="6"/>
      <c r="Z2105" s="6"/>
      <c r="AA2105" s="6"/>
    </row>
    <row r="2106" ht="14.25" customHeight="1">
      <c r="A2106" s="6"/>
      <c r="B2106" s="6"/>
      <c r="C2106" s="6"/>
      <c r="D2106" s="6"/>
      <c r="E2106" s="6"/>
      <c r="F2106" s="6"/>
      <c r="G2106" s="6"/>
      <c r="H2106" s="6"/>
      <c r="I2106" s="6"/>
      <c r="J2106" s="6"/>
      <c r="K2106" s="6"/>
      <c r="L2106" s="6"/>
      <c r="M2106" s="6"/>
      <c r="N2106" s="6"/>
      <c r="O2106" s="6"/>
      <c r="P2106" s="6"/>
      <c r="Q2106" s="6"/>
      <c r="R2106" s="6"/>
      <c r="S2106" s="6"/>
      <c r="T2106" s="6"/>
      <c r="U2106" s="6"/>
      <c r="V2106" s="6"/>
      <c r="W2106" s="6"/>
      <c r="X2106" s="6"/>
      <c r="Y2106" s="6"/>
      <c r="Z2106" s="6"/>
      <c r="AA2106" s="6"/>
    </row>
    <row r="2107" ht="14.25" customHeight="1">
      <c r="A2107" s="6"/>
      <c r="B2107" s="6"/>
      <c r="C2107" s="6"/>
      <c r="D2107" s="6"/>
      <c r="E2107" s="6"/>
      <c r="F2107" s="6"/>
      <c r="G2107" s="6"/>
      <c r="H2107" s="6"/>
      <c r="I2107" s="6"/>
      <c r="J2107" s="6"/>
      <c r="K2107" s="6"/>
      <c r="L2107" s="6"/>
      <c r="M2107" s="6"/>
      <c r="N2107" s="6"/>
      <c r="O2107" s="6"/>
      <c r="P2107" s="6"/>
      <c r="Q2107" s="6"/>
      <c r="R2107" s="6"/>
      <c r="S2107" s="6"/>
      <c r="T2107" s="6"/>
      <c r="U2107" s="6"/>
      <c r="V2107" s="6"/>
      <c r="W2107" s="6"/>
      <c r="X2107" s="6"/>
      <c r="Y2107" s="6"/>
      <c r="Z2107" s="6"/>
      <c r="AA2107" s="6"/>
    </row>
    <row r="2108" ht="14.25" customHeight="1">
      <c r="A2108" s="6"/>
      <c r="B2108" s="6"/>
      <c r="C2108" s="6"/>
      <c r="D2108" s="6"/>
      <c r="E2108" s="6"/>
      <c r="F2108" s="6"/>
      <c r="G2108" s="6"/>
      <c r="H2108" s="6"/>
      <c r="I2108" s="6"/>
      <c r="J2108" s="6"/>
      <c r="K2108" s="6"/>
      <c r="L2108" s="6"/>
      <c r="M2108" s="6"/>
      <c r="N2108" s="6"/>
      <c r="O2108" s="6"/>
      <c r="P2108" s="6"/>
      <c r="Q2108" s="6"/>
      <c r="R2108" s="6"/>
      <c r="S2108" s="6"/>
      <c r="T2108" s="6"/>
      <c r="U2108" s="6"/>
      <c r="V2108" s="6"/>
      <c r="W2108" s="6"/>
      <c r="X2108" s="6"/>
      <c r="Y2108" s="6"/>
      <c r="Z2108" s="6"/>
      <c r="AA2108" s="6"/>
    </row>
    <row r="2109" ht="14.25" customHeight="1">
      <c r="A2109" s="6"/>
      <c r="B2109" s="6"/>
      <c r="C2109" s="6"/>
      <c r="D2109" s="6"/>
      <c r="E2109" s="6"/>
      <c r="F2109" s="6"/>
      <c r="G2109" s="6"/>
      <c r="H2109" s="6"/>
      <c r="I2109" s="6"/>
      <c r="J2109" s="6"/>
      <c r="K2109" s="6"/>
      <c r="L2109" s="6"/>
      <c r="M2109" s="6"/>
      <c r="N2109" s="6"/>
      <c r="O2109" s="6"/>
      <c r="P2109" s="6"/>
      <c r="Q2109" s="6"/>
      <c r="R2109" s="6"/>
      <c r="S2109" s="6"/>
      <c r="T2109" s="6"/>
      <c r="U2109" s="6"/>
      <c r="V2109" s="6"/>
      <c r="W2109" s="6"/>
      <c r="X2109" s="6"/>
      <c r="Y2109" s="6"/>
      <c r="Z2109" s="6"/>
      <c r="AA2109" s="6"/>
    </row>
    <row r="2110" ht="14.25" customHeight="1">
      <c r="A2110" s="6"/>
      <c r="B2110" s="6"/>
      <c r="C2110" s="6"/>
      <c r="D2110" s="6"/>
      <c r="E2110" s="6"/>
      <c r="F2110" s="6"/>
      <c r="G2110" s="6"/>
      <c r="H2110" s="6"/>
      <c r="I2110" s="6"/>
      <c r="J2110" s="6"/>
      <c r="K2110" s="6"/>
      <c r="L2110" s="6"/>
      <c r="M2110" s="6"/>
      <c r="N2110" s="6"/>
      <c r="O2110" s="6"/>
      <c r="P2110" s="6"/>
      <c r="Q2110" s="6"/>
      <c r="R2110" s="6"/>
      <c r="S2110" s="6"/>
      <c r="T2110" s="6"/>
      <c r="U2110" s="6"/>
      <c r="V2110" s="6"/>
      <c r="W2110" s="6"/>
      <c r="X2110" s="6"/>
      <c r="Y2110" s="6"/>
      <c r="Z2110" s="6"/>
      <c r="AA2110" s="6"/>
    </row>
    <row r="2111" ht="14.25" customHeight="1">
      <c r="A2111" s="6"/>
      <c r="B2111" s="6"/>
      <c r="C2111" s="6"/>
      <c r="D2111" s="6"/>
      <c r="E2111" s="6"/>
      <c r="F2111" s="6"/>
      <c r="G2111" s="6"/>
      <c r="H2111" s="6"/>
      <c r="I2111" s="6"/>
      <c r="J2111" s="6"/>
      <c r="K2111" s="6"/>
      <c r="L2111" s="6"/>
      <c r="M2111" s="6"/>
      <c r="N2111" s="6"/>
      <c r="O2111" s="6"/>
      <c r="P2111" s="6"/>
      <c r="Q2111" s="6"/>
      <c r="R2111" s="6"/>
      <c r="S2111" s="6"/>
      <c r="T2111" s="6"/>
      <c r="U2111" s="6"/>
      <c r="V2111" s="6"/>
      <c r="W2111" s="6"/>
      <c r="X2111" s="6"/>
      <c r="Y2111" s="6"/>
      <c r="Z2111" s="6"/>
      <c r="AA2111" s="6"/>
    </row>
    <row r="2112" ht="14.25" customHeight="1">
      <c r="A2112" s="6"/>
      <c r="B2112" s="6"/>
      <c r="C2112" s="6"/>
      <c r="D2112" s="6"/>
      <c r="E2112" s="6"/>
      <c r="F2112" s="6"/>
      <c r="G2112" s="6"/>
      <c r="H2112" s="6"/>
      <c r="I2112" s="6"/>
      <c r="J2112" s="6"/>
      <c r="K2112" s="6"/>
      <c r="L2112" s="6"/>
      <c r="M2112" s="6"/>
      <c r="N2112" s="6"/>
      <c r="O2112" s="6"/>
      <c r="P2112" s="6"/>
      <c r="Q2112" s="6"/>
      <c r="R2112" s="6"/>
      <c r="S2112" s="6"/>
      <c r="T2112" s="6"/>
      <c r="U2112" s="6"/>
      <c r="V2112" s="6"/>
      <c r="W2112" s="6"/>
      <c r="X2112" s="6"/>
      <c r="Y2112" s="6"/>
      <c r="Z2112" s="6"/>
      <c r="AA2112" s="6"/>
    </row>
    <row r="2113" ht="14.25" customHeight="1">
      <c r="A2113" s="6"/>
      <c r="B2113" s="6"/>
      <c r="C2113" s="6"/>
      <c r="D2113" s="6"/>
      <c r="E2113" s="6"/>
      <c r="F2113" s="6"/>
      <c r="G2113" s="6"/>
      <c r="H2113" s="6"/>
      <c r="I2113" s="6"/>
      <c r="J2113" s="6"/>
      <c r="K2113" s="6"/>
      <c r="L2113" s="6"/>
      <c r="M2113" s="6"/>
      <c r="N2113" s="6"/>
      <c r="O2113" s="6"/>
      <c r="P2113" s="6"/>
      <c r="Q2113" s="6"/>
      <c r="R2113" s="6"/>
      <c r="S2113" s="6"/>
      <c r="T2113" s="6"/>
      <c r="U2113" s="6"/>
      <c r="V2113" s="6"/>
      <c r="W2113" s="6"/>
      <c r="X2113" s="6"/>
      <c r="Y2113" s="6"/>
      <c r="Z2113" s="6"/>
      <c r="AA2113" s="6"/>
    </row>
    <row r="2114" ht="14.25" customHeight="1">
      <c r="A2114" s="6"/>
      <c r="B2114" s="6"/>
      <c r="C2114" s="6"/>
      <c r="D2114" s="6"/>
      <c r="E2114" s="6"/>
      <c r="F2114" s="6"/>
      <c r="G2114" s="6"/>
      <c r="H2114" s="6"/>
      <c r="I2114" s="6"/>
      <c r="J2114" s="6"/>
      <c r="K2114" s="6"/>
      <c r="L2114" s="6"/>
      <c r="M2114" s="6"/>
      <c r="N2114" s="6"/>
      <c r="O2114" s="6"/>
      <c r="P2114" s="6"/>
      <c r="Q2114" s="6"/>
      <c r="R2114" s="6"/>
      <c r="S2114" s="6"/>
      <c r="T2114" s="6"/>
      <c r="U2114" s="6"/>
      <c r="V2114" s="6"/>
      <c r="W2114" s="6"/>
      <c r="X2114" s="6"/>
      <c r="Y2114" s="6"/>
      <c r="Z2114" s="6"/>
      <c r="AA2114" s="6"/>
    </row>
    <row r="2115" ht="14.25" customHeight="1">
      <c r="A2115" s="6"/>
      <c r="B2115" s="6"/>
      <c r="C2115" s="6"/>
      <c r="D2115" s="6"/>
      <c r="E2115" s="6"/>
      <c r="F2115" s="6"/>
      <c r="G2115" s="6"/>
      <c r="H2115" s="6"/>
      <c r="I2115" s="6"/>
      <c r="J2115" s="6"/>
      <c r="K2115" s="6"/>
      <c r="L2115" s="6"/>
      <c r="M2115" s="6"/>
      <c r="N2115" s="6"/>
      <c r="O2115" s="6"/>
      <c r="P2115" s="6"/>
      <c r="Q2115" s="6"/>
      <c r="R2115" s="6"/>
      <c r="S2115" s="6"/>
      <c r="T2115" s="6"/>
      <c r="U2115" s="6"/>
      <c r="V2115" s="6"/>
      <c r="W2115" s="6"/>
      <c r="X2115" s="6"/>
      <c r="Y2115" s="6"/>
      <c r="Z2115" s="6"/>
      <c r="AA2115" s="6"/>
    </row>
    <row r="2116" ht="14.25" customHeight="1">
      <c r="A2116" s="6"/>
      <c r="B2116" s="6"/>
      <c r="C2116" s="6"/>
      <c r="D2116" s="6"/>
      <c r="E2116" s="6"/>
      <c r="F2116" s="6"/>
      <c r="G2116" s="6"/>
      <c r="H2116" s="6"/>
      <c r="I2116" s="6"/>
      <c r="J2116" s="6"/>
      <c r="K2116" s="6"/>
      <c r="L2116" s="6"/>
      <c r="M2116" s="6"/>
      <c r="N2116" s="6"/>
      <c r="O2116" s="6"/>
      <c r="P2116" s="6"/>
      <c r="Q2116" s="6"/>
      <c r="R2116" s="6"/>
      <c r="S2116" s="6"/>
      <c r="T2116" s="6"/>
      <c r="U2116" s="6"/>
      <c r="V2116" s="6"/>
      <c r="W2116" s="6"/>
      <c r="X2116" s="6"/>
      <c r="Y2116" s="6"/>
      <c r="Z2116" s="6"/>
      <c r="AA2116" s="6"/>
    </row>
    <row r="2117" ht="14.25" customHeight="1">
      <c r="A2117" s="6"/>
      <c r="B2117" s="6"/>
      <c r="C2117" s="6"/>
      <c r="D2117" s="6"/>
      <c r="E2117" s="6"/>
      <c r="F2117" s="6"/>
      <c r="G2117" s="6"/>
      <c r="H2117" s="6"/>
      <c r="I2117" s="6"/>
      <c r="J2117" s="6"/>
      <c r="K2117" s="6"/>
      <c r="L2117" s="6"/>
      <c r="M2117" s="6"/>
      <c r="N2117" s="6"/>
      <c r="O2117" s="6"/>
      <c r="P2117" s="6"/>
      <c r="Q2117" s="6"/>
      <c r="R2117" s="6"/>
      <c r="S2117" s="6"/>
      <c r="T2117" s="6"/>
      <c r="U2117" s="6"/>
      <c r="V2117" s="6"/>
      <c r="W2117" s="6"/>
      <c r="X2117" s="6"/>
      <c r="Y2117" s="6"/>
      <c r="Z2117" s="6"/>
      <c r="AA2117" s="6"/>
    </row>
    <row r="2118" ht="14.25" customHeight="1">
      <c r="A2118" s="6"/>
      <c r="B2118" s="6"/>
      <c r="C2118" s="6"/>
      <c r="D2118" s="6"/>
      <c r="E2118" s="6"/>
      <c r="F2118" s="6"/>
      <c r="G2118" s="6"/>
      <c r="H2118" s="6"/>
      <c r="I2118" s="6"/>
      <c r="J2118" s="6"/>
      <c r="K2118" s="6"/>
      <c r="L2118" s="6"/>
      <c r="M2118" s="6"/>
      <c r="N2118" s="6"/>
      <c r="O2118" s="6"/>
      <c r="P2118" s="6"/>
      <c r="Q2118" s="6"/>
      <c r="R2118" s="6"/>
      <c r="S2118" s="6"/>
      <c r="T2118" s="6"/>
      <c r="U2118" s="6"/>
      <c r="V2118" s="6"/>
      <c r="W2118" s="6"/>
      <c r="X2118" s="6"/>
      <c r="Y2118" s="6"/>
      <c r="Z2118" s="6"/>
      <c r="AA2118" s="6"/>
    </row>
    <row r="2119" ht="14.25" customHeight="1">
      <c r="A2119" s="6"/>
      <c r="B2119" s="6"/>
      <c r="C2119" s="6"/>
      <c r="D2119" s="6"/>
      <c r="E2119" s="6"/>
      <c r="F2119" s="6"/>
      <c r="G2119" s="6"/>
      <c r="H2119" s="6"/>
      <c r="I2119" s="6"/>
      <c r="J2119" s="6"/>
      <c r="K2119" s="6"/>
      <c r="L2119" s="6"/>
      <c r="M2119" s="6"/>
      <c r="N2119" s="6"/>
      <c r="O2119" s="6"/>
      <c r="P2119" s="6"/>
      <c r="Q2119" s="6"/>
      <c r="R2119" s="6"/>
      <c r="S2119" s="6"/>
      <c r="T2119" s="6"/>
      <c r="U2119" s="6"/>
      <c r="V2119" s="6"/>
      <c r="W2119" s="6"/>
      <c r="X2119" s="6"/>
      <c r="Y2119" s="6"/>
      <c r="Z2119" s="6"/>
      <c r="AA2119" s="6"/>
    </row>
    <row r="2120" ht="14.25" customHeight="1">
      <c r="A2120" s="6"/>
      <c r="B2120" s="6"/>
      <c r="C2120" s="6"/>
      <c r="D2120" s="6"/>
      <c r="E2120" s="6"/>
      <c r="F2120" s="6"/>
      <c r="G2120" s="6"/>
      <c r="H2120" s="6"/>
      <c r="I2120" s="6"/>
      <c r="J2120" s="6"/>
      <c r="K2120" s="6"/>
      <c r="L2120" s="6"/>
      <c r="M2120" s="6"/>
      <c r="N2120" s="6"/>
      <c r="O2120" s="6"/>
      <c r="P2120" s="6"/>
      <c r="Q2120" s="6"/>
      <c r="R2120" s="6"/>
      <c r="S2120" s="6"/>
      <c r="T2120" s="6"/>
      <c r="U2120" s="6"/>
      <c r="V2120" s="6"/>
      <c r="W2120" s="6"/>
      <c r="X2120" s="6"/>
      <c r="Y2120" s="6"/>
      <c r="Z2120" s="6"/>
      <c r="AA2120" s="6"/>
    </row>
    <row r="2121" ht="14.25" customHeight="1">
      <c r="A2121" s="6"/>
      <c r="B2121" s="6"/>
      <c r="C2121" s="6"/>
      <c r="D2121" s="6"/>
      <c r="E2121" s="6"/>
      <c r="F2121" s="6"/>
      <c r="G2121" s="6"/>
      <c r="H2121" s="6"/>
      <c r="I2121" s="6"/>
      <c r="J2121" s="6"/>
      <c r="K2121" s="6"/>
      <c r="L2121" s="6"/>
      <c r="M2121" s="6"/>
      <c r="N2121" s="6"/>
      <c r="O2121" s="6"/>
      <c r="P2121" s="6"/>
      <c r="Q2121" s="6"/>
      <c r="R2121" s="6"/>
      <c r="S2121" s="6"/>
      <c r="T2121" s="6"/>
      <c r="U2121" s="6"/>
      <c r="V2121" s="6"/>
      <c r="W2121" s="6"/>
      <c r="X2121" s="6"/>
      <c r="Y2121" s="6"/>
      <c r="Z2121" s="6"/>
      <c r="AA2121" s="6"/>
    </row>
    <row r="2122" ht="14.25" customHeight="1">
      <c r="A2122" s="6"/>
      <c r="B2122" s="6"/>
      <c r="C2122" s="6"/>
      <c r="D2122" s="6"/>
      <c r="E2122" s="6"/>
      <c r="F2122" s="6"/>
      <c r="G2122" s="6"/>
      <c r="H2122" s="6"/>
      <c r="I2122" s="6"/>
      <c r="J2122" s="6"/>
      <c r="K2122" s="6"/>
      <c r="L2122" s="6"/>
      <c r="M2122" s="6"/>
      <c r="N2122" s="6"/>
      <c r="O2122" s="6"/>
      <c r="P2122" s="6"/>
      <c r="Q2122" s="6"/>
      <c r="R2122" s="6"/>
      <c r="S2122" s="6"/>
      <c r="T2122" s="6"/>
      <c r="U2122" s="6"/>
      <c r="V2122" s="6"/>
      <c r="W2122" s="6"/>
      <c r="X2122" s="6"/>
      <c r="Y2122" s="6"/>
      <c r="Z2122" s="6"/>
      <c r="AA2122" s="6"/>
    </row>
    <row r="2123" ht="14.25" customHeight="1">
      <c r="A2123" s="6"/>
      <c r="B2123" s="6"/>
      <c r="C2123" s="6"/>
      <c r="D2123" s="6"/>
      <c r="E2123" s="6"/>
      <c r="F2123" s="6"/>
      <c r="G2123" s="6"/>
      <c r="H2123" s="6"/>
      <c r="I2123" s="6"/>
      <c r="J2123" s="6"/>
      <c r="K2123" s="6"/>
      <c r="L2123" s="6"/>
      <c r="M2123" s="6"/>
      <c r="N2123" s="6"/>
      <c r="O2123" s="6"/>
      <c r="P2123" s="6"/>
      <c r="Q2123" s="6"/>
      <c r="R2123" s="6"/>
      <c r="S2123" s="6"/>
      <c r="T2123" s="6"/>
      <c r="U2123" s="6"/>
      <c r="V2123" s="6"/>
      <c r="W2123" s="6"/>
      <c r="X2123" s="6"/>
      <c r="Y2123" s="6"/>
      <c r="Z2123" s="6"/>
      <c r="AA2123" s="6"/>
    </row>
    <row r="2124" ht="14.25" customHeight="1">
      <c r="A2124" s="6"/>
      <c r="B2124" s="6"/>
      <c r="C2124" s="6"/>
      <c r="D2124" s="6"/>
      <c r="E2124" s="6"/>
      <c r="F2124" s="6"/>
      <c r="G2124" s="6"/>
      <c r="H2124" s="6"/>
      <c r="I2124" s="6"/>
      <c r="J2124" s="6"/>
      <c r="K2124" s="6"/>
      <c r="L2124" s="6"/>
      <c r="M2124" s="6"/>
      <c r="N2124" s="6"/>
      <c r="O2124" s="6"/>
      <c r="P2124" s="6"/>
      <c r="Q2124" s="6"/>
      <c r="R2124" s="6"/>
      <c r="S2124" s="6"/>
      <c r="T2124" s="6"/>
      <c r="U2124" s="6"/>
      <c r="V2124" s="6"/>
      <c r="W2124" s="6"/>
      <c r="X2124" s="6"/>
      <c r="Y2124" s="6"/>
      <c r="Z2124" s="6"/>
      <c r="AA2124" s="6"/>
    </row>
    <row r="2125" ht="14.25" customHeight="1">
      <c r="A2125" s="6"/>
      <c r="B2125" s="6"/>
      <c r="C2125" s="6"/>
      <c r="D2125" s="6"/>
      <c r="E2125" s="6"/>
      <c r="F2125" s="6"/>
      <c r="G2125" s="6"/>
      <c r="H2125" s="6"/>
      <c r="I2125" s="6"/>
      <c r="J2125" s="6"/>
      <c r="K2125" s="6"/>
      <c r="L2125" s="6"/>
      <c r="M2125" s="6"/>
      <c r="N2125" s="6"/>
      <c r="O2125" s="6"/>
      <c r="P2125" s="6"/>
      <c r="Q2125" s="6"/>
      <c r="R2125" s="6"/>
      <c r="S2125" s="6"/>
      <c r="T2125" s="6"/>
      <c r="U2125" s="6"/>
      <c r="V2125" s="6"/>
      <c r="W2125" s="6"/>
      <c r="X2125" s="6"/>
      <c r="Y2125" s="6"/>
      <c r="Z2125" s="6"/>
      <c r="AA2125" s="6"/>
    </row>
    <row r="2126" ht="14.25" customHeight="1">
      <c r="A2126" s="6"/>
      <c r="B2126" s="6"/>
      <c r="C2126" s="6"/>
      <c r="D2126" s="6"/>
      <c r="E2126" s="6"/>
      <c r="F2126" s="6"/>
      <c r="G2126" s="6"/>
      <c r="H2126" s="6"/>
      <c r="I2126" s="6"/>
      <c r="J2126" s="6"/>
      <c r="K2126" s="6"/>
      <c r="L2126" s="6"/>
      <c r="M2126" s="6"/>
      <c r="N2126" s="6"/>
      <c r="O2126" s="6"/>
      <c r="P2126" s="6"/>
      <c r="Q2126" s="6"/>
      <c r="R2126" s="6"/>
      <c r="S2126" s="6"/>
      <c r="T2126" s="6"/>
      <c r="U2126" s="6"/>
      <c r="V2126" s="6"/>
      <c r="W2126" s="6"/>
      <c r="X2126" s="6"/>
      <c r="Y2126" s="6"/>
      <c r="Z2126" s="6"/>
      <c r="AA2126" s="6"/>
    </row>
    <row r="2127" ht="14.25" customHeight="1">
      <c r="A2127" s="6"/>
      <c r="B2127" s="6"/>
      <c r="C2127" s="6"/>
      <c r="D2127" s="6"/>
      <c r="E2127" s="6"/>
      <c r="F2127" s="6"/>
      <c r="G2127" s="6"/>
      <c r="H2127" s="6"/>
      <c r="I2127" s="6"/>
      <c r="J2127" s="6"/>
      <c r="K2127" s="6"/>
      <c r="L2127" s="6"/>
      <c r="M2127" s="6"/>
      <c r="N2127" s="6"/>
      <c r="O2127" s="6"/>
      <c r="P2127" s="6"/>
      <c r="Q2127" s="6"/>
      <c r="R2127" s="6"/>
      <c r="S2127" s="6"/>
      <c r="T2127" s="6"/>
      <c r="U2127" s="6"/>
      <c r="V2127" s="6"/>
      <c r="W2127" s="6"/>
      <c r="X2127" s="6"/>
      <c r="Y2127" s="6"/>
      <c r="Z2127" s="6"/>
      <c r="AA2127" s="6"/>
    </row>
    <row r="2128" ht="14.25" customHeight="1">
      <c r="A2128" s="6"/>
      <c r="B2128" s="6"/>
      <c r="C2128" s="6"/>
      <c r="D2128" s="6"/>
      <c r="E2128" s="6"/>
      <c r="F2128" s="6"/>
      <c r="G2128" s="6"/>
      <c r="H2128" s="6"/>
      <c r="I2128" s="6"/>
      <c r="J2128" s="6"/>
      <c r="K2128" s="6"/>
      <c r="L2128" s="6"/>
      <c r="M2128" s="6"/>
      <c r="N2128" s="6"/>
      <c r="O2128" s="6"/>
      <c r="P2128" s="6"/>
      <c r="Q2128" s="6"/>
      <c r="R2128" s="6"/>
      <c r="S2128" s="6"/>
      <c r="T2128" s="6"/>
      <c r="U2128" s="6"/>
      <c r="V2128" s="6"/>
      <c r="W2128" s="6"/>
      <c r="X2128" s="6"/>
      <c r="Y2128" s="6"/>
      <c r="Z2128" s="6"/>
      <c r="AA2128" s="6"/>
    </row>
    <row r="2129" ht="14.25" customHeight="1">
      <c r="A2129" s="6"/>
      <c r="B2129" s="6"/>
      <c r="C2129" s="6"/>
      <c r="D2129" s="6"/>
      <c r="E2129" s="6"/>
      <c r="F2129" s="6"/>
      <c r="G2129" s="6"/>
      <c r="H2129" s="6"/>
      <c r="I2129" s="6"/>
      <c r="J2129" s="6"/>
      <c r="K2129" s="6"/>
      <c r="L2129" s="6"/>
      <c r="M2129" s="6"/>
      <c r="N2129" s="6"/>
      <c r="O2129" s="6"/>
      <c r="P2129" s="6"/>
      <c r="Q2129" s="6"/>
      <c r="R2129" s="6"/>
      <c r="S2129" s="6"/>
      <c r="T2129" s="6"/>
      <c r="U2129" s="6"/>
      <c r="V2129" s="6"/>
      <c r="W2129" s="6"/>
      <c r="X2129" s="6"/>
      <c r="Y2129" s="6"/>
      <c r="Z2129" s="6"/>
      <c r="AA2129" s="6"/>
    </row>
    <row r="2130" ht="14.25" customHeight="1">
      <c r="A2130" s="6"/>
      <c r="B2130" s="6"/>
      <c r="C2130" s="6"/>
      <c r="D2130" s="6"/>
      <c r="E2130" s="6"/>
      <c r="F2130" s="6"/>
      <c r="G2130" s="6"/>
      <c r="H2130" s="6"/>
      <c r="I2130" s="6"/>
      <c r="J2130" s="6"/>
      <c r="K2130" s="6"/>
      <c r="L2130" s="6"/>
      <c r="M2130" s="6"/>
      <c r="N2130" s="6"/>
      <c r="O2130" s="6"/>
      <c r="P2130" s="6"/>
      <c r="Q2130" s="6"/>
      <c r="R2130" s="6"/>
      <c r="S2130" s="6"/>
      <c r="T2130" s="6"/>
      <c r="U2130" s="6"/>
      <c r="V2130" s="6"/>
      <c r="W2130" s="6"/>
      <c r="X2130" s="6"/>
      <c r="Y2130" s="6"/>
      <c r="Z2130" s="6"/>
      <c r="AA2130" s="6"/>
    </row>
    <row r="2131" ht="14.25" customHeight="1">
      <c r="A2131" s="6"/>
      <c r="B2131" s="6"/>
      <c r="C2131" s="6"/>
      <c r="D2131" s="6"/>
      <c r="E2131" s="6"/>
      <c r="F2131" s="6"/>
      <c r="G2131" s="6"/>
      <c r="H2131" s="6"/>
      <c r="I2131" s="6"/>
      <c r="J2131" s="6"/>
      <c r="K2131" s="6"/>
      <c r="L2131" s="6"/>
      <c r="M2131" s="6"/>
      <c r="N2131" s="6"/>
      <c r="O2131" s="6"/>
      <c r="P2131" s="6"/>
      <c r="Q2131" s="6"/>
      <c r="R2131" s="6"/>
      <c r="S2131" s="6"/>
      <c r="T2131" s="6"/>
      <c r="U2131" s="6"/>
      <c r="V2131" s="6"/>
      <c r="W2131" s="6"/>
      <c r="X2131" s="6"/>
      <c r="Y2131" s="6"/>
      <c r="Z2131" s="6"/>
      <c r="AA2131" s="6"/>
    </row>
    <row r="2132" ht="14.25" customHeight="1">
      <c r="A2132" s="6"/>
      <c r="B2132" s="6"/>
      <c r="C2132" s="6"/>
      <c r="D2132" s="6"/>
      <c r="E2132" s="6"/>
      <c r="F2132" s="6"/>
      <c r="G2132" s="6"/>
      <c r="H2132" s="6"/>
      <c r="I2132" s="6"/>
      <c r="J2132" s="6"/>
      <c r="K2132" s="6"/>
      <c r="L2132" s="6"/>
      <c r="M2132" s="6"/>
      <c r="N2132" s="6"/>
      <c r="O2132" s="6"/>
      <c r="P2132" s="6"/>
      <c r="Q2132" s="6"/>
      <c r="R2132" s="6"/>
      <c r="S2132" s="6"/>
      <c r="T2132" s="6"/>
      <c r="U2132" s="6"/>
      <c r="V2132" s="6"/>
      <c r="W2132" s="6"/>
      <c r="X2132" s="6"/>
      <c r="Y2132" s="6"/>
      <c r="Z2132" s="6"/>
      <c r="AA2132" s="6"/>
    </row>
    <row r="2133" ht="14.25" customHeight="1">
      <c r="A2133" s="6"/>
      <c r="B2133" s="6"/>
      <c r="C2133" s="6"/>
      <c r="D2133" s="6"/>
      <c r="E2133" s="6"/>
      <c r="F2133" s="6"/>
      <c r="G2133" s="6"/>
      <c r="H2133" s="6"/>
      <c r="I2133" s="6"/>
      <c r="J2133" s="6"/>
      <c r="K2133" s="6"/>
      <c r="L2133" s="6"/>
      <c r="M2133" s="6"/>
      <c r="N2133" s="6"/>
      <c r="O2133" s="6"/>
      <c r="P2133" s="6"/>
      <c r="Q2133" s="6"/>
      <c r="R2133" s="6"/>
      <c r="S2133" s="6"/>
      <c r="T2133" s="6"/>
      <c r="U2133" s="6"/>
      <c r="V2133" s="6"/>
      <c r="W2133" s="6"/>
      <c r="X2133" s="6"/>
      <c r="Y2133" s="6"/>
      <c r="Z2133" s="6"/>
      <c r="AA2133" s="6"/>
    </row>
    <row r="2134" ht="14.25" customHeight="1">
      <c r="A2134" s="6"/>
      <c r="B2134" s="6"/>
      <c r="C2134" s="6"/>
      <c r="D2134" s="6"/>
      <c r="E2134" s="6"/>
      <c r="F2134" s="6"/>
      <c r="G2134" s="6"/>
      <c r="H2134" s="6"/>
      <c r="I2134" s="6"/>
      <c r="J2134" s="6"/>
      <c r="K2134" s="6"/>
      <c r="L2134" s="6"/>
      <c r="M2134" s="6"/>
      <c r="N2134" s="6"/>
      <c r="O2134" s="6"/>
      <c r="P2134" s="6"/>
      <c r="Q2134" s="6"/>
      <c r="R2134" s="6"/>
      <c r="S2134" s="6"/>
      <c r="T2134" s="6"/>
      <c r="U2134" s="6"/>
      <c r="V2134" s="6"/>
      <c r="W2134" s="6"/>
      <c r="X2134" s="6"/>
      <c r="Y2134" s="6"/>
      <c r="Z2134" s="6"/>
      <c r="AA2134" s="6"/>
    </row>
    <row r="2135" ht="14.25" customHeight="1">
      <c r="A2135" s="6"/>
      <c r="B2135" s="6"/>
      <c r="C2135" s="6"/>
      <c r="D2135" s="6"/>
      <c r="E2135" s="6"/>
      <c r="F2135" s="6"/>
      <c r="G2135" s="6"/>
      <c r="H2135" s="6"/>
      <c r="I2135" s="6"/>
      <c r="J2135" s="6"/>
      <c r="K2135" s="6"/>
      <c r="L2135" s="6"/>
      <c r="M2135" s="6"/>
      <c r="N2135" s="6"/>
      <c r="O2135" s="6"/>
      <c r="P2135" s="6"/>
      <c r="Q2135" s="6"/>
      <c r="R2135" s="6"/>
      <c r="S2135" s="6"/>
      <c r="T2135" s="6"/>
      <c r="U2135" s="6"/>
      <c r="V2135" s="6"/>
      <c r="W2135" s="6"/>
      <c r="X2135" s="6"/>
      <c r="Y2135" s="6"/>
      <c r="Z2135" s="6"/>
      <c r="AA2135" s="6"/>
    </row>
    <row r="2136" ht="14.25" customHeight="1">
      <c r="A2136" s="6"/>
      <c r="B2136" s="6"/>
      <c r="C2136" s="6"/>
      <c r="D2136" s="6"/>
      <c r="E2136" s="6"/>
      <c r="F2136" s="6"/>
      <c r="G2136" s="6"/>
      <c r="H2136" s="6"/>
      <c r="I2136" s="6"/>
      <c r="J2136" s="6"/>
      <c r="K2136" s="6"/>
      <c r="L2136" s="6"/>
      <c r="M2136" s="6"/>
      <c r="N2136" s="6"/>
      <c r="O2136" s="6"/>
      <c r="P2136" s="6"/>
      <c r="Q2136" s="6"/>
      <c r="R2136" s="6"/>
      <c r="S2136" s="6"/>
      <c r="T2136" s="6"/>
      <c r="U2136" s="6"/>
      <c r="V2136" s="6"/>
      <c r="W2136" s="6"/>
      <c r="X2136" s="6"/>
      <c r="Y2136" s="6"/>
      <c r="Z2136" s="6"/>
      <c r="AA2136" s="6"/>
    </row>
    <row r="2137" ht="14.25" customHeight="1">
      <c r="A2137" s="6"/>
      <c r="B2137" s="6"/>
      <c r="C2137" s="6"/>
      <c r="D2137" s="6"/>
      <c r="E2137" s="6"/>
      <c r="F2137" s="6"/>
      <c r="G2137" s="6"/>
      <c r="H2137" s="6"/>
      <c r="I2137" s="6"/>
      <c r="J2137" s="6"/>
      <c r="K2137" s="6"/>
      <c r="L2137" s="6"/>
      <c r="M2137" s="6"/>
      <c r="N2137" s="6"/>
      <c r="O2137" s="6"/>
      <c r="P2137" s="6"/>
      <c r="Q2137" s="6"/>
      <c r="R2137" s="6"/>
      <c r="S2137" s="6"/>
      <c r="T2137" s="6"/>
      <c r="U2137" s="6"/>
      <c r="V2137" s="6"/>
      <c r="W2137" s="6"/>
      <c r="X2137" s="6"/>
      <c r="Y2137" s="6"/>
      <c r="Z2137" s="6"/>
      <c r="AA2137" s="6"/>
    </row>
    <row r="2138" ht="14.25" customHeight="1">
      <c r="A2138" s="6"/>
      <c r="B2138" s="6"/>
      <c r="C2138" s="6"/>
      <c r="D2138" s="6"/>
      <c r="E2138" s="6"/>
      <c r="F2138" s="6"/>
      <c r="G2138" s="6"/>
      <c r="H2138" s="6"/>
      <c r="I2138" s="6"/>
      <c r="J2138" s="6"/>
      <c r="K2138" s="6"/>
      <c r="L2138" s="6"/>
      <c r="M2138" s="6"/>
      <c r="N2138" s="6"/>
      <c r="O2138" s="6"/>
      <c r="P2138" s="6"/>
      <c r="Q2138" s="6"/>
      <c r="R2138" s="6"/>
      <c r="S2138" s="6"/>
      <c r="T2138" s="6"/>
      <c r="U2138" s="6"/>
      <c r="V2138" s="6"/>
      <c r="W2138" s="6"/>
      <c r="X2138" s="6"/>
      <c r="Y2138" s="6"/>
      <c r="Z2138" s="6"/>
      <c r="AA2138" s="6"/>
    </row>
    <row r="2139" ht="14.25" customHeight="1">
      <c r="A2139" s="6"/>
      <c r="B2139" s="6"/>
      <c r="C2139" s="6"/>
      <c r="D2139" s="6"/>
      <c r="E2139" s="6"/>
      <c r="F2139" s="6"/>
      <c r="G2139" s="6"/>
      <c r="H2139" s="6"/>
      <c r="I2139" s="6"/>
      <c r="J2139" s="6"/>
      <c r="K2139" s="6"/>
      <c r="L2139" s="6"/>
      <c r="M2139" s="6"/>
      <c r="N2139" s="6"/>
      <c r="O2139" s="6"/>
      <c r="P2139" s="6"/>
      <c r="Q2139" s="6"/>
      <c r="R2139" s="6"/>
      <c r="S2139" s="6"/>
      <c r="T2139" s="6"/>
      <c r="U2139" s="6"/>
      <c r="V2139" s="6"/>
      <c r="W2139" s="6"/>
      <c r="X2139" s="6"/>
      <c r="Y2139" s="6"/>
      <c r="Z2139" s="6"/>
      <c r="AA2139" s="6"/>
    </row>
    <row r="2140" ht="14.25" customHeight="1">
      <c r="A2140" s="6"/>
      <c r="B2140" s="6"/>
      <c r="C2140" s="6"/>
      <c r="D2140" s="6"/>
      <c r="E2140" s="6"/>
      <c r="F2140" s="6"/>
      <c r="G2140" s="6"/>
      <c r="H2140" s="6"/>
      <c r="I2140" s="6"/>
      <c r="J2140" s="6"/>
      <c r="K2140" s="6"/>
      <c r="L2140" s="6"/>
      <c r="M2140" s="6"/>
      <c r="N2140" s="6"/>
      <c r="O2140" s="6"/>
      <c r="P2140" s="6"/>
      <c r="Q2140" s="6"/>
      <c r="R2140" s="6"/>
      <c r="S2140" s="6"/>
      <c r="T2140" s="6"/>
      <c r="U2140" s="6"/>
      <c r="V2140" s="6"/>
      <c r="W2140" s="6"/>
      <c r="X2140" s="6"/>
      <c r="Y2140" s="6"/>
      <c r="Z2140" s="6"/>
      <c r="AA2140" s="6"/>
    </row>
    <row r="2141" ht="14.25" customHeight="1">
      <c r="A2141" s="6"/>
      <c r="B2141" s="6"/>
      <c r="C2141" s="6"/>
      <c r="D2141" s="6"/>
      <c r="E2141" s="6"/>
      <c r="F2141" s="6"/>
      <c r="G2141" s="6"/>
      <c r="H2141" s="6"/>
      <c r="I2141" s="6"/>
      <c r="J2141" s="6"/>
      <c r="K2141" s="6"/>
      <c r="L2141" s="6"/>
      <c r="M2141" s="6"/>
      <c r="N2141" s="6"/>
      <c r="O2141" s="6"/>
      <c r="P2141" s="6"/>
      <c r="Q2141" s="6"/>
      <c r="R2141" s="6"/>
      <c r="S2141" s="6"/>
      <c r="T2141" s="6"/>
      <c r="U2141" s="6"/>
      <c r="V2141" s="6"/>
      <c r="W2141" s="6"/>
      <c r="X2141" s="6"/>
      <c r="Y2141" s="6"/>
      <c r="Z2141" s="6"/>
      <c r="AA2141" s="6"/>
    </row>
    <row r="2142" ht="14.25" customHeight="1">
      <c r="A2142" s="6"/>
      <c r="B2142" s="6"/>
      <c r="C2142" s="6"/>
      <c r="D2142" s="6"/>
      <c r="E2142" s="6"/>
      <c r="F2142" s="6"/>
      <c r="G2142" s="6"/>
      <c r="H2142" s="6"/>
      <c r="I2142" s="6"/>
      <c r="J2142" s="6"/>
      <c r="K2142" s="6"/>
      <c r="L2142" s="6"/>
      <c r="M2142" s="6"/>
      <c r="N2142" s="6"/>
      <c r="O2142" s="6"/>
      <c r="P2142" s="6"/>
      <c r="Q2142" s="6"/>
      <c r="R2142" s="6"/>
      <c r="S2142" s="6"/>
      <c r="T2142" s="6"/>
      <c r="U2142" s="6"/>
      <c r="V2142" s="6"/>
      <c r="W2142" s="6"/>
      <c r="X2142" s="6"/>
      <c r="Y2142" s="6"/>
      <c r="Z2142" s="6"/>
      <c r="AA2142" s="6"/>
    </row>
    <row r="2143" ht="14.25" customHeight="1">
      <c r="A2143" s="6"/>
      <c r="B2143" s="6"/>
      <c r="C2143" s="6"/>
      <c r="D2143" s="6"/>
      <c r="E2143" s="6"/>
      <c r="F2143" s="6"/>
      <c r="G2143" s="6"/>
      <c r="H2143" s="6"/>
      <c r="I2143" s="6"/>
      <c r="J2143" s="6"/>
      <c r="K2143" s="6"/>
      <c r="L2143" s="6"/>
      <c r="M2143" s="6"/>
      <c r="N2143" s="6"/>
      <c r="O2143" s="6"/>
      <c r="P2143" s="6"/>
      <c r="Q2143" s="6"/>
      <c r="R2143" s="6"/>
      <c r="S2143" s="6"/>
      <c r="T2143" s="6"/>
      <c r="U2143" s="6"/>
      <c r="V2143" s="6"/>
      <c r="W2143" s="6"/>
      <c r="X2143" s="6"/>
      <c r="Y2143" s="6"/>
      <c r="Z2143" s="6"/>
      <c r="AA2143" s="6"/>
    </row>
    <row r="2144" ht="14.25" customHeight="1">
      <c r="A2144" s="6"/>
      <c r="B2144" s="6"/>
      <c r="C2144" s="6"/>
      <c r="D2144" s="6"/>
      <c r="E2144" s="6"/>
      <c r="F2144" s="6"/>
      <c r="G2144" s="6"/>
      <c r="H2144" s="6"/>
      <c r="I2144" s="6"/>
      <c r="J2144" s="6"/>
      <c r="K2144" s="6"/>
      <c r="L2144" s="6"/>
      <c r="M2144" s="6"/>
      <c r="N2144" s="6"/>
      <c r="O2144" s="6"/>
      <c r="P2144" s="6"/>
      <c r="Q2144" s="6"/>
      <c r="R2144" s="6"/>
      <c r="S2144" s="6"/>
      <c r="T2144" s="6"/>
      <c r="U2144" s="6"/>
      <c r="V2144" s="6"/>
      <c r="W2144" s="6"/>
      <c r="X2144" s="6"/>
      <c r="Y2144" s="6"/>
      <c r="Z2144" s="6"/>
      <c r="AA2144" s="6"/>
    </row>
    <row r="2145" ht="14.25" customHeight="1">
      <c r="A2145" s="6"/>
      <c r="B2145" s="6"/>
      <c r="C2145" s="6"/>
      <c r="D2145" s="6"/>
      <c r="E2145" s="6"/>
      <c r="F2145" s="6"/>
      <c r="G2145" s="6"/>
      <c r="H2145" s="6"/>
      <c r="I2145" s="6"/>
      <c r="J2145" s="6"/>
      <c r="K2145" s="6"/>
      <c r="L2145" s="6"/>
      <c r="M2145" s="6"/>
      <c r="N2145" s="6"/>
      <c r="O2145" s="6"/>
      <c r="P2145" s="6"/>
      <c r="Q2145" s="6"/>
      <c r="R2145" s="6"/>
      <c r="S2145" s="6"/>
      <c r="T2145" s="6"/>
      <c r="U2145" s="6"/>
      <c r="V2145" s="6"/>
      <c r="W2145" s="6"/>
      <c r="X2145" s="6"/>
      <c r="Y2145" s="6"/>
      <c r="Z2145" s="6"/>
      <c r="AA2145" s="6"/>
    </row>
    <row r="2146" ht="14.25" customHeight="1">
      <c r="A2146" s="6"/>
      <c r="B2146" s="6"/>
      <c r="C2146" s="6"/>
      <c r="D2146" s="6"/>
      <c r="E2146" s="6"/>
      <c r="F2146" s="6"/>
      <c r="G2146" s="6"/>
      <c r="H2146" s="6"/>
      <c r="I2146" s="6"/>
      <c r="J2146" s="6"/>
      <c r="K2146" s="6"/>
      <c r="L2146" s="6"/>
      <c r="M2146" s="6"/>
      <c r="N2146" s="6"/>
      <c r="O2146" s="6"/>
      <c r="P2146" s="6"/>
      <c r="Q2146" s="6"/>
      <c r="R2146" s="6"/>
      <c r="S2146" s="6"/>
      <c r="T2146" s="6"/>
      <c r="U2146" s="6"/>
      <c r="V2146" s="6"/>
      <c r="W2146" s="6"/>
      <c r="X2146" s="6"/>
      <c r="Y2146" s="6"/>
      <c r="Z2146" s="6"/>
      <c r="AA2146" s="6"/>
    </row>
    <row r="2147" ht="14.25" customHeight="1">
      <c r="A2147" s="6"/>
      <c r="B2147" s="6"/>
      <c r="C2147" s="6"/>
      <c r="D2147" s="6"/>
      <c r="E2147" s="6"/>
      <c r="F2147" s="6"/>
      <c r="G2147" s="6"/>
      <c r="H2147" s="6"/>
      <c r="I2147" s="6"/>
      <c r="J2147" s="6"/>
      <c r="K2147" s="6"/>
      <c r="L2147" s="6"/>
      <c r="M2147" s="6"/>
      <c r="N2147" s="6"/>
      <c r="O2147" s="6"/>
      <c r="P2147" s="6"/>
      <c r="Q2147" s="6"/>
      <c r="R2147" s="6"/>
      <c r="S2147" s="6"/>
      <c r="T2147" s="6"/>
      <c r="U2147" s="6"/>
      <c r="V2147" s="6"/>
      <c r="W2147" s="6"/>
      <c r="X2147" s="6"/>
      <c r="Y2147" s="6"/>
      <c r="Z2147" s="6"/>
      <c r="AA2147" s="6"/>
    </row>
    <row r="2148" ht="14.25" customHeight="1">
      <c r="A2148" s="6"/>
      <c r="B2148" s="6"/>
      <c r="C2148" s="6"/>
      <c r="D2148" s="6"/>
      <c r="E2148" s="6"/>
      <c r="F2148" s="6"/>
      <c r="G2148" s="6"/>
      <c r="H2148" s="6"/>
      <c r="I2148" s="6"/>
      <c r="J2148" s="6"/>
      <c r="K2148" s="6"/>
      <c r="L2148" s="6"/>
      <c r="M2148" s="6"/>
      <c r="N2148" s="6"/>
      <c r="O2148" s="6"/>
      <c r="P2148" s="6"/>
      <c r="Q2148" s="6"/>
      <c r="R2148" s="6"/>
      <c r="S2148" s="6"/>
      <c r="T2148" s="6"/>
      <c r="U2148" s="6"/>
      <c r="V2148" s="6"/>
      <c r="W2148" s="6"/>
      <c r="X2148" s="6"/>
      <c r="Y2148" s="6"/>
      <c r="Z2148" s="6"/>
      <c r="AA2148" s="6"/>
    </row>
    <row r="2149" ht="14.25" customHeight="1">
      <c r="A2149" s="6"/>
      <c r="B2149" s="6"/>
      <c r="C2149" s="6"/>
      <c r="D2149" s="6"/>
      <c r="E2149" s="6"/>
      <c r="F2149" s="6"/>
      <c r="G2149" s="6"/>
      <c r="H2149" s="6"/>
      <c r="I2149" s="6"/>
      <c r="J2149" s="6"/>
      <c r="K2149" s="6"/>
      <c r="L2149" s="6"/>
      <c r="M2149" s="6"/>
      <c r="N2149" s="6"/>
      <c r="O2149" s="6"/>
      <c r="P2149" s="6"/>
      <c r="Q2149" s="6"/>
      <c r="R2149" s="6"/>
      <c r="S2149" s="6"/>
      <c r="T2149" s="6"/>
      <c r="U2149" s="6"/>
      <c r="V2149" s="6"/>
      <c r="W2149" s="6"/>
      <c r="X2149" s="6"/>
      <c r="Y2149" s="6"/>
      <c r="Z2149" s="6"/>
      <c r="AA2149" s="6"/>
    </row>
    <row r="2150" ht="14.25" customHeight="1">
      <c r="A2150" s="6"/>
      <c r="B2150" s="6"/>
      <c r="C2150" s="6"/>
      <c r="D2150" s="6"/>
      <c r="E2150" s="6"/>
      <c r="F2150" s="6"/>
      <c r="G2150" s="6"/>
      <c r="H2150" s="6"/>
      <c r="I2150" s="6"/>
      <c r="J2150" s="6"/>
      <c r="K2150" s="6"/>
      <c r="L2150" s="6"/>
      <c r="M2150" s="6"/>
      <c r="N2150" s="6"/>
      <c r="O2150" s="6"/>
      <c r="P2150" s="6"/>
      <c r="Q2150" s="6"/>
      <c r="R2150" s="6"/>
      <c r="S2150" s="6"/>
      <c r="T2150" s="6"/>
      <c r="U2150" s="6"/>
      <c r="V2150" s="6"/>
      <c r="W2150" s="6"/>
      <c r="X2150" s="6"/>
      <c r="Y2150" s="6"/>
      <c r="Z2150" s="6"/>
      <c r="AA2150" s="6"/>
    </row>
    <row r="2151" ht="14.25" customHeight="1">
      <c r="A2151" s="6"/>
      <c r="B2151" s="6"/>
      <c r="C2151" s="6"/>
      <c r="D2151" s="6"/>
      <c r="E2151" s="6"/>
      <c r="F2151" s="6"/>
      <c r="G2151" s="6"/>
      <c r="H2151" s="6"/>
      <c r="I2151" s="6"/>
      <c r="J2151" s="6"/>
      <c r="K2151" s="6"/>
      <c r="L2151" s="6"/>
      <c r="M2151" s="6"/>
      <c r="N2151" s="6"/>
      <c r="O2151" s="6"/>
      <c r="P2151" s="6"/>
      <c r="Q2151" s="6"/>
      <c r="R2151" s="6"/>
      <c r="S2151" s="6"/>
      <c r="T2151" s="6"/>
      <c r="U2151" s="6"/>
      <c r="V2151" s="6"/>
      <c r="W2151" s="6"/>
      <c r="X2151" s="6"/>
      <c r="Y2151" s="6"/>
      <c r="Z2151" s="6"/>
      <c r="AA2151" s="6"/>
    </row>
    <row r="2152" ht="14.25" customHeight="1">
      <c r="A2152" s="6"/>
      <c r="B2152" s="6"/>
      <c r="C2152" s="6"/>
      <c r="D2152" s="6"/>
      <c r="E2152" s="6"/>
      <c r="F2152" s="6"/>
      <c r="G2152" s="6"/>
      <c r="H2152" s="6"/>
      <c r="I2152" s="6"/>
      <c r="J2152" s="6"/>
      <c r="K2152" s="6"/>
      <c r="L2152" s="6"/>
      <c r="M2152" s="6"/>
      <c r="N2152" s="6"/>
      <c r="O2152" s="6"/>
      <c r="P2152" s="6"/>
      <c r="Q2152" s="6"/>
      <c r="R2152" s="6"/>
      <c r="S2152" s="6"/>
      <c r="T2152" s="6"/>
      <c r="U2152" s="6"/>
      <c r="V2152" s="6"/>
      <c r="W2152" s="6"/>
      <c r="X2152" s="6"/>
      <c r="Y2152" s="6"/>
      <c r="Z2152" s="6"/>
      <c r="AA2152" s="6"/>
    </row>
    <row r="2153" ht="14.25" customHeight="1">
      <c r="A2153" s="6"/>
      <c r="B2153" s="6"/>
      <c r="C2153" s="6"/>
      <c r="D2153" s="6"/>
      <c r="E2153" s="6"/>
      <c r="F2153" s="6"/>
      <c r="G2153" s="6"/>
      <c r="H2153" s="6"/>
      <c r="I2153" s="6"/>
      <c r="J2153" s="6"/>
      <c r="K2153" s="6"/>
      <c r="L2153" s="6"/>
      <c r="M2153" s="6"/>
      <c r="N2153" s="6"/>
      <c r="O2153" s="6"/>
      <c r="P2153" s="6"/>
      <c r="Q2153" s="6"/>
      <c r="R2153" s="6"/>
      <c r="S2153" s="6"/>
      <c r="T2153" s="6"/>
      <c r="U2153" s="6"/>
      <c r="V2153" s="6"/>
      <c r="W2153" s="6"/>
      <c r="X2153" s="6"/>
      <c r="Y2153" s="6"/>
      <c r="Z2153" s="6"/>
      <c r="AA2153" s="6"/>
    </row>
    <row r="2154" ht="14.25" customHeight="1">
      <c r="A2154" s="6"/>
      <c r="B2154" s="6"/>
      <c r="C2154" s="6"/>
      <c r="D2154" s="6"/>
      <c r="E2154" s="6"/>
      <c r="F2154" s="6"/>
      <c r="G2154" s="6"/>
      <c r="H2154" s="6"/>
      <c r="I2154" s="6"/>
      <c r="J2154" s="6"/>
      <c r="K2154" s="6"/>
      <c r="L2154" s="6"/>
      <c r="M2154" s="6"/>
      <c r="N2154" s="6"/>
      <c r="O2154" s="6"/>
      <c r="P2154" s="6"/>
      <c r="Q2154" s="6"/>
      <c r="R2154" s="6"/>
      <c r="S2154" s="6"/>
      <c r="T2154" s="6"/>
      <c r="U2154" s="6"/>
      <c r="V2154" s="6"/>
      <c r="W2154" s="6"/>
      <c r="X2154" s="6"/>
      <c r="Y2154" s="6"/>
      <c r="Z2154" s="6"/>
      <c r="AA2154" s="6"/>
    </row>
    <row r="2155" ht="14.25" customHeight="1">
      <c r="A2155" s="6"/>
      <c r="B2155" s="6"/>
      <c r="C2155" s="6"/>
      <c r="D2155" s="6"/>
      <c r="E2155" s="6"/>
      <c r="F2155" s="6"/>
      <c r="G2155" s="6"/>
      <c r="H2155" s="6"/>
      <c r="I2155" s="6"/>
      <c r="J2155" s="6"/>
      <c r="K2155" s="6"/>
      <c r="L2155" s="6"/>
      <c r="M2155" s="6"/>
      <c r="N2155" s="6"/>
      <c r="O2155" s="6"/>
      <c r="P2155" s="6"/>
      <c r="Q2155" s="6"/>
      <c r="R2155" s="6"/>
      <c r="S2155" s="6"/>
      <c r="T2155" s="6"/>
      <c r="U2155" s="6"/>
      <c r="V2155" s="6"/>
      <c r="W2155" s="6"/>
      <c r="X2155" s="6"/>
      <c r="Y2155" s="6"/>
      <c r="Z2155" s="6"/>
      <c r="AA2155" s="6"/>
    </row>
    <row r="2156" ht="14.25" customHeight="1">
      <c r="A2156" s="6"/>
      <c r="B2156" s="6"/>
      <c r="C2156" s="6"/>
      <c r="D2156" s="6"/>
      <c r="E2156" s="6"/>
      <c r="F2156" s="6"/>
      <c r="G2156" s="6"/>
      <c r="H2156" s="6"/>
      <c r="I2156" s="6"/>
      <c r="J2156" s="6"/>
      <c r="K2156" s="6"/>
      <c r="L2156" s="6"/>
      <c r="M2156" s="6"/>
      <c r="N2156" s="6"/>
      <c r="O2156" s="6"/>
      <c r="P2156" s="6"/>
      <c r="Q2156" s="6"/>
      <c r="R2156" s="6"/>
      <c r="S2156" s="6"/>
      <c r="T2156" s="6"/>
      <c r="U2156" s="6"/>
      <c r="V2156" s="6"/>
      <c r="W2156" s="6"/>
      <c r="X2156" s="6"/>
      <c r="Y2156" s="6"/>
      <c r="Z2156" s="6"/>
      <c r="AA2156" s="6"/>
    </row>
    <row r="2157" ht="14.25" customHeight="1">
      <c r="A2157" s="6"/>
      <c r="B2157" s="6"/>
      <c r="C2157" s="6"/>
      <c r="D2157" s="6"/>
      <c r="E2157" s="6"/>
      <c r="F2157" s="6"/>
      <c r="G2157" s="6"/>
      <c r="H2157" s="6"/>
      <c r="I2157" s="6"/>
      <c r="J2157" s="6"/>
      <c r="K2157" s="6"/>
      <c r="L2157" s="6"/>
      <c r="M2157" s="6"/>
      <c r="N2157" s="6"/>
      <c r="O2157" s="6"/>
      <c r="P2157" s="6"/>
      <c r="Q2157" s="6"/>
      <c r="R2157" s="6"/>
      <c r="S2157" s="6"/>
      <c r="T2157" s="6"/>
      <c r="U2157" s="6"/>
      <c r="V2157" s="6"/>
      <c r="W2157" s="6"/>
      <c r="X2157" s="6"/>
      <c r="Y2157" s="6"/>
      <c r="Z2157" s="6"/>
      <c r="AA2157" s="6"/>
    </row>
    <row r="2158" ht="14.25" customHeight="1">
      <c r="A2158" s="6"/>
      <c r="B2158" s="6"/>
      <c r="C2158" s="6"/>
      <c r="D2158" s="6"/>
      <c r="E2158" s="6"/>
      <c r="F2158" s="6"/>
      <c r="G2158" s="6"/>
      <c r="H2158" s="6"/>
      <c r="I2158" s="6"/>
      <c r="J2158" s="6"/>
      <c r="K2158" s="6"/>
      <c r="L2158" s="6"/>
      <c r="M2158" s="6"/>
      <c r="N2158" s="6"/>
      <c r="O2158" s="6"/>
      <c r="P2158" s="6"/>
      <c r="Q2158" s="6"/>
      <c r="R2158" s="6"/>
      <c r="S2158" s="6"/>
      <c r="T2158" s="6"/>
      <c r="U2158" s="6"/>
      <c r="V2158" s="6"/>
      <c r="W2158" s="6"/>
      <c r="X2158" s="6"/>
      <c r="Y2158" s="6"/>
      <c r="Z2158" s="6"/>
      <c r="AA2158" s="6"/>
    </row>
    <row r="2159" ht="14.25" customHeight="1">
      <c r="A2159" s="6"/>
      <c r="B2159" s="6"/>
      <c r="C2159" s="6"/>
      <c r="D2159" s="6"/>
      <c r="E2159" s="6"/>
      <c r="F2159" s="6"/>
      <c r="G2159" s="6"/>
      <c r="H2159" s="6"/>
      <c r="I2159" s="6"/>
      <c r="J2159" s="6"/>
      <c r="K2159" s="6"/>
      <c r="L2159" s="6"/>
      <c r="M2159" s="6"/>
      <c r="N2159" s="6"/>
      <c r="O2159" s="6"/>
      <c r="P2159" s="6"/>
      <c r="Q2159" s="6"/>
      <c r="R2159" s="6"/>
      <c r="S2159" s="6"/>
      <c r="T2159" s="6"/>
      <c r="U2159" s="6"/>
      <c r="V2159" s="6"/>
      <c r="W2159" s="6"/>
      <c r="X2159" s="6"/>
      <c r="Y2159" s="6"/>
      <c r="Z2159" s="6"/>
      <c r="AA2159" s="6"/>
    </row>
    <row r="2160" ht="14.25" customHeight="1">
      <c r="A2160" s="6"/>
      <c r="B2160" s="6"/>
      <c r="C2160" s="6"/>
      <c r="D2160" s="6"/>
      <c r="E2160" s="6"/>
      <c r="F2160" s="6"/>
      <c r="G2160" s="6"/>
      <c r="H2160" s="6"/>
      <c r="I2160" s="6"/>
      <c r="J2160" s="6"/>
      <c r="K2160" s="6"/>
      <c r="L2160" s="6"/>
      <c r="M2160" s="6"/>
      <c r="N2160" s="6"/>
      <c r="O2160" s="6"/>
      <c r="P2160" s="6"/>
      <c r="Q2160" s="6"/>
      <c r="R2160" s="6"/>
      <c r="S2160" s="6"/>
      <c r="T2160" s="6"/>
      <c r="U2160" s="6"/>
      <c r="V2160" s="6"/>
      <c r="W2160" s="6"/>
      <c r="X2160" s="6"/>
      <c r="Y2160" s="6"/>
      <c r="Z2160" s="6"/>
      <c r="AA2160" s="6"/>
    </row>
    <row r="2161" ht="14.25" customHeight="1">
      <c r="A2161" s="6"/>
      <c r="B2161" s="6"/>
      <c r="C2161" s="6"/>
      <c r="D2161" s="6"/>
      <c r="E2161" s="6"/>
      <c r="F2161" s="6"/>
      <c r="G2161" s="6"/>
      <c r="H2161" s="6"/>
      <c r="I2161" s="6"/>
      <c r="J2161" s="6"/>
      <c r="K2161" s="6"/>
      <c r="L2161" s="6"/>
      <c r="M2161" s="6"/>
      <c r="N2161" s="6"/>
      <c r="O2161" s="6"/>
      <c r="P2161" s="6"/>
      <c r="Q2161" s="6"/>
      <c r="R2161" s="6"/>
      <c r="S2161" s="6"/>
      <c r="T2161" s="6"/>
      <c r="U2161" s="6"/>
      <c r="V2161" s="6"/>
      <c r="W2161" s="6"/>
      <c r="X2161" s="6"/>
      <c r="Y2161" s="6"/>
      <c r="Z2161" s="6"/>
      <c r="AA2161" s="6"/>
    </row>
    <row r="2162" ht="14.25" customHeight="1">
      <c r="A2162" s="6"/>
      <c r="B2162" s="6"/>
      <c r="C2162" s="6"/>
      <c r="D2162" s="6"/>
      <c r="E2162" s="6"/>
      <c r="F2162" s="6"/>
      <c r="G2162" s="6"/>
      <c r="H2162" s="6"/>
      <c r="I2162" s="6"/>
      <c r="J2162" s="6"/>
      <c r="K2162" s="6"/>
      <c r="L2162" s="6"/>
      <c r="M2162" s="6"/>
      <c r="N2162" s="6"/>
      <c r="O2162" s="6"/>
      <c r="P2162" s="6"/>
      <c r="Q2162" s="6"/>
      <c r="R2162" s="6"/>
      <c r="S2162" s="6"/>
      <c r="T2162" s="6"/>
      <c r="U2162" s="6"/>
      <c r="V2162" s="6"/>
      <c r="W2162" s="6"/>
      <c r="X2162" s="6"/>
      <c r="Y2162" s="6"/>
      <c r="Z2162" s="6"/>
      <c r="AA2162" s="6"/>
    </row>
    <row r="2163" ht="14.25" customHeight="1">
      <c r="A2163" s="6"/>
      <c r="B2163" s="6"/>
      <c r="C2163" s="6"/>
      <c r="D2163" s="6"/>
      <c r="E2163" s="6"/>
      <c r="F2163" s="6"/>
      <c r="G2163" s="6"/>
      <c r="H2163" s="6"/>
      <c r="I2163" s="6"/>
      <c r="J2163" s="6"/>
      <c r="K2163" s="6"/>
      <c r="L2163" s="6"/>
      <c r="M2163" s="6"/>
      <c r="N2163" s="6"/>
      <c r="O2163" s="6"/>
      <c r="P2163" s="6"/>
      <c r="Q2163" s="6"/>
      <c r="R2163" s="6"/>
      <c r="S2163" s="6"/>
      <c r="T2163" s="6"/>
      <c r="U2163" s="6"/>
      <c r="V2163" s="6"/>
      <c r="W2163" s="6"/>
      <c r="X2163" s="6"/>
      <c r="Y2163" s="6"/>
      <c r="Z2163" s="6"/>
      <c r="AA2163" s="6"/>
    </row>
    <row r="2164" ht="14.25" customHeight="1">
      <c r="A2164" s="6"/>
      <c r="B2164" s="6"/>
      <c r="C2164" s="6"/>
      <c r="D2164" s="6"/>
      <c r="E2164" s="6"/>
      <c r="F2164" s="6"/>
      <c r="G2164" s="6"/>
      <c r="H2164" s="6"/>
      <c r="I2164" s="6"/>
      <c r="J2164" s="6"/>
      <c r="K2164" s="6"/>
      <c r="L2164" s="6"/>
      <c r="M2164" s="6"/>
      <c r="N2164" s="6"/>
      <c r="O2164" s="6"/>
      <c r="P2164" s="6"/>
      <c r="Q2164" s="6"/>
      <c r="R2164" s="6"/>
      <c r="S2164" s="6"/>
      <c r="T2164" s="6"/>
      <c r="U2164" s="6"/>
      <c r="V2164" s="6"/>
      <c r="W2164" s="6"/>
      <c r="X2164" s="6"/>
      <c r="Y2164" s="6"/>
      <c r="Z2164" s="6"/>
      <c r="AA2164" s="6"/>
    </row>
    <row r="2165" ht="14.25" customHeight="1">
      <c r="A2165" s="6"/>
      <c r="B2165" s="6"/>
      <c r="C2165" s="6"/>
      <c r="D2165" s="6"/>
      <c r="E2165" s="6"/>
      <c r="F2165" s="6"/>
      <c r="G2165" s="6"/>
      <c r="H2165" s="6"/>
      <c r="I2165" s="6"/>
      <c r="J2165" s="6"/>
      <c r="K2165" s="6"/>
      <c r="L2165" s="6"/>
      <c r="M2165" s="6"/>
      <c r="N2165" s="6"/>
      <c r="O2165" s="6"/>
      <c r="P2165" s="6"/>
      <c r="Q2165" s="6"/>
      <c r="R2165" s="6"/>
      <c r="S2165" s="6"/>
      <c r="T2165" s="6"/>
      <c r="U2165" s="6"/>
      <c r="V2165" s="6"/>
      <c r="W2165" s="6"/>
      <c r="X2165" s="6"/>
      <c r="Y2165" s="6"/>
      <c r="Z2165" s="6"/>
      <c r="AA2165" s="6"/>
    </row>
    <row r="2166" ht="14.25" customHeight="1">
      <c r="A2166" s="6"/>
      <c r="B2166" s="6"/>
      <c r="C2166" s="6"/>
      <c r="D2166" s="6"/>
      <c r="E2166" s="6"/>
      <c r="F2166" s="6"/>
      <c r="G2166" s="6"/>
      <c r="H2166" s="6"/>
      <c r="I2166" s="6"/>
      <c r="J2166" s="6"/>
      <c r="K2166" s="6"/>
      <c r="L2166" s="6"/>
      <c r="M2166" s="6"/>
      <c r="N2166" s="6"/>
      <c r="O2166" s="6"/>
      <c r="P2166" s="6"/>
      <c r="Q2166" s="6"/>
      <c r="R2166" s="6"/>
      <c r="S2166" s="6"/>
      <c r="T2166" s="6"/>
      <c r="U2166" s="6"/>
      <c r="V2166" s="6"/>
      <c r="W2166" s="6"/>
      <c r="X2166" s="6"/>
      <c r="Y2166" s="6"/>
      <c r="Z2166" s="6"/>
      <c r="AA2166" s="6"/>
    </row>
    <row r="2167" ht="14.25" customHeight="1">
      <c r="A2167" s="6"/>
      <c r="B2167" s="6"/>
      <c r="C2167" s="6"/>
      <c r="D2167" s="6"/>
      <c r="E2167" s="6"/>
      <c r="F2167" s="6"/>
      <c r="G2167" s="6"/>
      <c r="H2167" s="6"/>
      <c r="I2167" s="6"/>
      <c r="J2167" s="6"/>
      <c r="K2167" s="6"/>
      <c r="L2167" s="6"/>
      <c r="M2167" s="6"/>
      <c r="N2167" s="6"/>
      <c r="O2167" s="6"/>
      <c r="P2167" s="6"/>
      <c r="Q2167" s="6"/>
      <c r="R2167" s="6"/>
      <c r="S2167" s="6"/>
      <c r="T2167" s="6"/>
      <c r="U2167" s="6"/>
      <c r="V2167" s="6"/>
      <c r="W2167" s="6"/>
      <c r="X2167" s="6"/>
      <c r="Y2167" s="6"/>
      <c r="Z2167" s="6"/>
      <c r="AA2167" s="6"/>
    </row>
    <row r="2168" ht="14.25" customHeight="1">
      <c r="A2168" s="6"/>
      <c r="B2168" s="6"/>
      <c r="C2168" s="6"/>
      <c r="D2168" s="6"/>
      <c r="E2168" s="6"/>
      <c r="F2168" s="6"/>
      <c r="G2168" s="6"/>
      <c r="H2168" s="6"/>
      <c r="I2168" s="6"/>
      <c r="J2168" s="6"/>
      <c r="K2168" s="6"/>
      <c r="L2168" s="6"/>
      <c r="M2168" s="6"/>
      <c r="N2168" s="6"/>
      <c r="O2168" s="6"/>
      <c r="P2168" s="6"/>
      <c r="Q2168" s="6"/>
      <c r="R2168" s="6"/>
      <c r="S2168" s="6"/>
      <c r="T2168" s="6"/>
      <c r="U2168" s="6"/>
      <c r="V2168" s="6"/>
      <c r="W2168" s="6"/>
      <c r="X2168" s="6"/>
      <c r="Y2168" s="6"/>
      <c r="Z2168" s="6"/>
      <c r="AA2168" s="6"/>
    </row>
    <row r="2169" ht="14.25" customHeight="1">
      <c r="A2169" s="6"/>
      <c r="B2169" s="6"/>
      <c r="C2169" s="6"/>
      <c r="D2169" s="6"/>
      <c r="E2169" s="6"/>
      <c r="F2169" s="6"/>
      <c r="G2169" s="6"/>
      <c r="H2169" s="6"/>
      <c r="I2169" s="6"/>
      <c r="J2169" s="6"/>
      <c r="K2169" s="6"/>
      <c r="L2169" s="6"/>
      <c r="M2169" s="6"/>
      <c r="N2169" s="6"/>
      <c r="O2169" s="6"/>
      <c r="P2169" s="6"/>
      <c r="Q2169" s="6"/>
      <c r="R2169" s="6"/>
      <c r="S2169" s="6"/>
      <c r="T2169" s="6"/>
      <c r="U2169" s="6"/>
      <c r="V2169" s="6"/>
      <c r="W2169" s="6"/>
      <c r="X2169" s="6"/>
      <c r="Y2169" s="6"/>
      <c r="Z2169" s="6"/>
      <c r="AA2169" s="6"/>
    </row>
    <row r="2170" ht="14.25" customHeight="1">
      <c r="A2170" s="6"/>
      <c r="B2170" s="6"/>
      <c r="C2170" s="6"/>
      <c r="D2170" s="6"/>
      <c r="E2170" s="6"/>
      <c r="F2170" s="6"/>
      <c r="G2170" s="6"/>
      <c r="H2170" s="6"/>
      <c r="I2170" s="6"/>
      <c r="J2170" s="6"/>
      <c r="K2170" s="6"/>
      <c r="L2170" s="6"/>
      <c r="M2170" s="6"/>
      <c r="N2170" s="6"/>
      <c r="O2170" s="6"/>
      <c r="P2170" s="6"/>
      <c r="Q2170" s="6"/>
      <c r="R2170" s="6"/>
      <c r="S2170" s="6"/>
      <c r="T2170" s="6"/>
      <c r="U2170" s="6"/>
      <c r="V2170" s="6"/>
      <c r="W2170" s="6"/>
      <c r="X2170" s="6"/>
      <c r="Y2170" s="6"/>
      <c r="Z2170" s="6"/>
      <c r="AA2170" s="6"/>
    </row>
    <row r="2171" ht="14.25" customHeight="1">
      <c r="A2171" s="6"/>
      <c r="B2171" s="6"/>
      <c r="C2171" s="6"/>
      <c r="D2171" s="6"/>
      <c r="E2171" s="6"/>
      <c r="F2171" s="6"/>
      <c r="G2171" s="6"/>
      <c r="H2171" s="6"/>
      <c r="I2171" s="6"/>
      <c r="J2171" s="6"/>
      <c r="K2171" s="6"/>
      <c r="L2171" s="6"/>
      <c r="M2171" s="6"/>
      <c r="N2171" s="6"/>
      <c r="O2171" s="6"/>
      <c r="P2171" s="6"/>
      <c r="Q2171" s="6"/>
      <c r="R2171" s="6"/>
      <c r="S2171" s="6"/>
      <c r="T2171" s="6"/>
      <c r="U2171" s="6"/>
      <c r="V2171" s="6"/>
      <c r="W2171" s="6"/>
      <c r="X2171" s="6"/>
      <c r="Y2171" s="6"/>
      <c r="Z2171" s="6"/>
      <c r="AA2171" s="6"/>
    </row>
    <row r="2172" ht="14.25" customHeight="1">
      <c r="A2172" s="6"/>
      <c r="B2172" s="6"/>
      <c r="C2172" s="6"/>
      <c r="D2172" s="6"/>
      <c r="E2172" s="6"/>
      <c r="F2172" s="6"/>
      <c r="G2172" s="6"/>
      <c r="H2172" s="6"/>
      <c r="I2172" s="6"/>
      <c r="J2172" s="6"/>
      <c r="K2172" s="6"/>
      <c r="L2172" s="6"/>
      <c r="M2172" s="6"/>
      <c r="N2172" s="6"/>
      <c r="O2172" s="6"/>
      <c r="P2172" s="6"/>
      <c r="Q2172" s="6"/>
      <c r="R2172" s="6"/>
      <c r="S2172" s="6"/>
      <c r="T2172" s="6"/>
      <c r="U2172" s="6"/>
      <c r="V2172" s="6"/>
      <c r="W2172" s="6"/>
      <c r="X2172" s="6"/>
      <c r="Y2172" s="6"/>
      <c r="Z2172" s="6"/>
      <c r="AA2172" s="6"/>
    </row>
    <row r="2173" ht="14.25" customHeight="1">
      <c r="A2173" s="6"/>
      <c r="B2173" s="6"/>
      <c r="C2173" s="6"/>
      <c r="D2173" s="6"/>
      <c r="E2173" s="6"/>
      <c r="F2173" s="6"/>
      <c r="G2173" s="6"/>
      <c r="H2173" s="6"/>
      <c r="I2173" s="6"/>
      <c r="J2173" s="6"/>
      <c r="K2173" s="6"/>
      <c r="L2173" s="6"/>
      <c r="M2173" s="6"/>
      <c r="N2173" s="6"/>
      <c r="O2173" s="6"/>
      <c r="P2173" s="6"/>
      <c r="Q2173" s="6"/>
      <c r="R2173" s="6"/>
      <c r="S2173" s="6"/>
      <c r="T2173" s="6"/>
      <c r="U2173" s="6"/>
      <c r="V2173" s="6"/>
      <c r="W2173" s="6"/>
      <c r="X2173" s="6"/>
      <c r="Y2173" s="6"/>
      <c r="Z2173" s="6"/>
      <c r="AA2173" s="6"/>
    </row>
    <row r="2174" ht="14.25" customHeight="1">
      <c r="A2174" s="6"/>
      <c r="B2174" s="6"/>
      <c r="C2174" s="6"/>
      <c r="D2174" s="6"/>
      <c r="E2174" s="6"/>
      <c r="F2174" s="6"/>
      <c r="G2174" s="6"/>
      <c r="H2174" s="6"/>
      <c r="I2174" s="6"/>
      <c r="J2174" s="6"/>
      <c r="K2174" s="6"/>
      <c r="L2174" s="6"/>
      <c r="M2174" s="6"/>
      <c r="N2174" s="6"/>
      <c r="O2174" s="6"/>
      <c r="P2174" s="6"/>
      <c r="Q2174" s="6"/>
      <c r="R2174" s="6"/>
      <c r="S2174" s="6"/>
      <c r="T2174" s="6"/>
      <c r="U2174" s="6"/>
      <c r="V2174" s="6"/>
      <c r="W2174" s="6"/>
      <c r="X2174" s="6"/>
      <c r="Y2174" s="6"/>
      <c r="Z2174" s="6"/>
      <c r="AA2174" s="6"/>
    </row>
    <row r="2175" ht="14.25" customHeight="1">
      <c r="A2175" s="6"/>
      <c r="B2175" s="6"/>
      <c r="C2175" s="6"/>
      <c r="D2175" s="6"/>
      <c r="E2175" s="6"/>
      <c r="F2175" s="6"/>
      <c r="G2175" s="6"/>
      <c r="H2175" s="6"/>
      <c r="I2175" s="6"/>
      <c r="J2175" s="6"/>
      <c r="K2175" s="6"/>
      <c r="L2175" s="6"/>
      <c r="M2175" s="6"/>
      <c r="N2175" s="6"/>
      <c r="O2175" s="6"/>
      <c r="P2175" s="6"/>
      <c r="Q2175" s="6"/>
      <c r="R2175" s="6"/>
      <c r="S2175" s="6"/>
      <c r="T2175" s="6"/>
      <c r="U2175" s="6"/>
      <c r="V2175" s="6"/>
      <c r="W2175" s="6"/>
      <c r="X2175" s="6"/>
      <c r="Y2175" s="6"/>
      <c r="Z2175" s="6"/>
      <c r="AA2175" s="6"/>
    </row>
    <row r="2176" ht="14.25" customHeight="1">
      <c r="A2176" s="6"/>
      <c r="B2176" s="6"/>
      <c r="C2176" s="6"/>
      <c r="D2176" s="6"/>
      <c r="E2176" s="6"/>
      <c r="F2176" s="6"/>
      <c r="G2176" s="6"/>
      <c r="H2176" s="6"/>
      <c r="I2176" s="6"/>
      <c r="J2176" s="6"/>
      <c r="K2176" s="6"/>
      <c r="L2176" s="6"/>
      <c r="M2176" s="6"/>
      <c r="N2176" s="6"/>
      <c r="O2176" s="6"/>
      <c r="P2176" s="6"/>
      <c r="Q2176" s="6"/>
      <c r="R2176" s="6"/>
      <c r="S2176" s="6"/>
      <c r="T2176" s="6"/>
      <c r="U2176" s="6"/>
      <c r="V2176" s="6"/>
      <c r="W2176" s="6"/>
      <c r="X2176" s="6"/>
      <c r="Y2176" s="6"/>
      <c r="Z2176" s="6"/>
      <c r="AA2176" s="6"/>
    </row>
    <row r="2177" ht="14.25" customHeight="1">
      <c r="A2177" s="6"/>
      <c r="B2177" s="6"/>
      <c r="C2177" s="6"/>
      <c r="D2177" s="6"/>
      <c r="E2177" s="6"/>
      <c r="F2177" s="6"/>
      <c r="G2177" s="6"/>
      <c r="H2177" s="6"/>
      <c r="I2177" s="6"/>
      <c r="J2177" s="6"/>
      <c r="K2177" s="6"/>
      <c r="L2177" s="6"/>
      <c r="M2177" s="6"/>
      <c r="N2177" s="6"/>
      <c r="O2177" s="6"/>
      <c r="P2177" s="6"/>
      <c r="Q2177" s="6"/>
      <c r="R2177" s="6"/>
      <c r="S2177" s="6"/>
      <c r="T2177" s="6"/>
      <c r="U2177" s="6"/>
      <c r="V2177" s="6"/>
      <c r="W2177" s="6"/>
      <c r="X2177" s="6"/>
      <c r="Y2177" s="6"/>
      <c r="Z2177" s="6"/>
      <c r="AA2177" s="6"/>
    </row>
    <row r="2178" ht="14.25" customHeight="1">
      <c r="A2178" s="6"/>
      <c r="B2178" s="6"/>
      <c r="C2178" s="6"/>
      <c r="D2178" s="6"/>
      <c r="E2178" s="6"/>
      <c r="F2178" s="6"/>
      <c r="G2178" s="6"/>
      <c r="H2178" s="6"/>
      <c r="I2178" s="6"/>
      <c r="J2178" s="6"/>
      <c r="K2178" s="6"/>
      <c r="L2178" s="6"/>
      <c r="M2178" s="6"/>
      <c r="N2178" s="6"/>
      <c r="O2178" s="6"/>
      <c r="P2178" s="6"/>
      <c r="Q2178" s="6"/>
      <c r="R2178" s="6"/>
      <c r="S2178" s="6"/>
      <c r="T2178" s="6"/>
      <c r="U2178" s="6"/>
      <c r="V2178" s="6"/>
      <c r="W2178" s="6"/>
      <c r="X2178" s="6"/>
      <c r="Y2178" s="6"/>
      <c r="Z2178" s="6"/>
      <c r="AA2178" s="6"/>
    </row>
    <row r="2179" ht="14.25" customHeight="1">
      <c r="A2179" s="6"/>
      <c r="B2179" s="6"/>
      <c r="C2179" s="6"/>
      <c r="D2179" s="6"/>
      <c r="E2179" s="6"/>
      <c r="F2179" s="6"/>
      <c r="G2179" s="6"/>
      <c r="H2179" s="6"/>
      <c r="I2179" s="6"/>
      <c r="J2179" s="6"/>
      <c r="K2179" s="6"/>
      <c r="L2179" s="6"/>
      <c r="M2179" s="6"/>
      <c r="N2179" s="6"/>
      <c r="O2179" s="6"/>
      <c r="P2179" s="6"/>
      <c r="Q2179" s="6"/>
      <c r="R2179" s="6"/>
      <c r="S2179" s="6"/>
      <c r="T2179" s="6"/>
      <c r="U2179" s="6"/>
      <c r="V2179" s="6"/>
      <c r="W2179" s="6"/>
      <c r="X2179" s="6"/>
      <c r="Y2179" s="6"/>
      <c r="Z2179" s="6"/>
      <c r="AA2179" s="6"/>
    </row>
    <row r="2180" ht="14.25" customHeight="1">
      <c r="A2180" s="6"/>
      <c r="B2180" s="6"/>
      <c r="C2180" s="6"/>
      <c r="D2180" s="6"/>
      <c r="E2180" s="6"/>
      <c r="F2180" s="6"/>
      <c r="G2180" s="6"/>
      <c r="H2180" s="6"/>
      <c r="I2180" s="6"/>
      <c r="J2180" s="6"/>
      <c r="K2180" s="6"/>
      <c r="L2180" s="6"/>
      <c r="M2180" s="6"/>
      <c r="N2180" s="6"/>
      <c r="O2180" s="6"/>
      <c r="P2180" s="6"/>
      <c r="Q2180" s="6"/>
      <c r="R2180" s="6"/>
      <c r="S2180" s="6"/>
      <c r="T2180" s="6"/>
      <c r="U2180" s="6"/>
      <c r="V2180" s="6"/>
      <c r="W2180" s="6"/>
      <c r="X2180" s="6"/>
      <c r="Y2180" s="6"/>
      <c r="Z2180" s="6"/>
      <c r="AA2180" s="6"/>
    </row>
    <row r="2181" ht="14.25" customHeight="1">
      <c r="A2181" s="6"/>
      <c r="B2181" s="6"/>
      <c r="C2181" s="6"/>
      <c r="D2181" s="6"/>
      <c r="E2181" s="6"/>
      <c r="F2181" s="6"/>
      <c r="G2181" s="6"/>
      <c r="H2181" s="6"/>
      <c r="I2181" s="6"/>
      <c r="J2181" s="6"/>
      <c r="K2181" s="6"/>
      <c r="L2181" s="6"/>
      <c r="M2181" s="6"/>
      <c r="N2181" s="6"/>
      <c r="O2181" s="6"/>
      <c r="P2181" s="6"/>
      <c r="Q2181" s="6"/>
      <c r="R2181" s="6"/>
      <c r="S2181" s="6"/>
      <c r="T2181" s="6"/>
      <c r="U2181" s="6"/>
      <c r="V2181" s="6"/>
      <c r="W2181" s="6"/>
      <c r="X2181" s="6"/>
      <c r="Y2181" s="6"/>
      <c r="Z2181" s="6"/>
      <c r="AA2181" s="6"/>
    </row>
    <row r="2182" ht="14.25" customHeight="1">
      <c r="A2182" s="6"/>
      <c r="B2182" s="6"/>
      <c r="C2182" s="6"/>
      <c r="D2182" s="6"/>
      <c r="E2182" s="6"/>
      <c r="F2182" s="6"/>
      <c r="G2182" s="6"/>
      <c r="H2182" s="6"/>
      <c r="I2182" s="6"/>
      <c r="J2182" s="6"/>
      <c r="K2182" s="6"/>
      <c r="L2182" s="6"/>
      <c r="M2182" s="6"/>
      <c r="N2182" s="6"/>
      <c r="O2182" s="6"/>
      <c r="P2182" s="6"/>
      <c r="Q2182" s="6"/>
      <c r="R2182" s="6"/>
      <c r="S2182" s="6"/>
      <c r="T2182" s="6"/>
      <c r="U2182" s="6"/>
      <c r="V2182" s="6"/>
      <c r="W2182" s="6"/>
      <c r="X2182" s="6"/>
      <c r="Y2182" s="6"/>
      <c r="Z2182" s="6"/>
      <c r="AA2182" s="6"/>
    </row>
    <row r="2183" ht="14.25" customHeight="1">
      <c r="A2183" s="6"/>
      <c r="B2183" s="6"/>
      <c r="C2183" s="6"/>
      <c r="D2183" s="6"/>
      <c r="E2183" s="6"/>
      <c r="F2183" s="6"/>
      <c r="G2183" s="6"/>
      <c r="H2183" s="6"/>
      <c r="I2183" s="6"/>
      <c r="J2183" s="6"/>
      <c r="K2183" s="6"/>
      <c r="L2183" s="6"/>
      <c r="M2183" s="6"/>
      <c r="N2183" s="6"/>
      <c r="O2183" s="6"/>
      <c r="P2183" s="6"/>
      <c r="Q2183" s="6"/>
      <c r="R2183" s="6"/>
      <c r="S2183" s="6"/>
      <c r="T2183" s="6"/>
      <c r="U2183" s="6"/>
      <c r="V2183" s="6"/>
      <c r="W2183" s="6"/>
      <c r="X2183" s="6"/>
      <c r="Y2183" s="6"/>
      <c r="Z2183" s="6"/>
      <c r="AA2183" s="6"/>
    </row>
    <row r="2184" ht="14.25" customHeight="1">
      <c r="A2184" s="6"/>
      <c r="B2184" s="6"/>
      <c r="C2184" s="6"/>
      <c r="D2184" s="6"/>
      <c r="E2184" s="6"/>
      <c r="F2184" s="6"/>
      <c r="G2184" s="6"/>
      <c r="H2184" s="6"/>
      <c r="I2184" s="6"/>
      <c r="J2184" s="6"/>
      <c r="K2184" s="6"/>
      <c r="L2184" s="6"/>
      <c r="M2184" s="6"/>
      <c r="N2184" s="6"/>
      <c r="O2184" s="6"/>
      <c r="P2184" s="6"/>
      <c r="Q2184" s="6"/>
      <c r="R2184" s="6"/>
      <c r="S2184" s="6"/>
      <c r="T2184" s="6"/>
      <c r="U2184" s="6"/>
      <c r="V2184" s="6"/>
      <c r="W2184" s="6"/>
      <c r="X2184" s="6"/>
      <c r="Y2184" s="6"/>
      <c r="Z2184" s="6"/>
      <c r="AA2184" s="6"/>
    </row>
    <row r="2185" ht="14.25" customHeight="1">
      <c r="A2185" s="6"/>
      <c r="B2185" s="6"/>
      <c r="C2185" s="6"/>
      <c r="D2185" s="6"/>
      <c r="E2185" s="6"/>
      <c r="F2185" s="6"/>
      <c r="G2185" s="6"/>
      <c r="H2185" s="6"/>
      <c r="I2185" s="6"/>
      <c r="J2185" s="6"/>
      <c r="K2185" s="6"/>
      <c r="L2185" s="6"/>
      <c r="M2185" s="6"/>
      <c r="N2185" s="6"/>
      <c r="O2185" s="6"/>
      <c r="P2185" s="6"/>
      <c r="Q2185" s="6"/>
      <c r="R2185" s="6"/>
      <c r="S2185" s="6"/>
      <c r="T2185" s="6"/>
      <c r="U2185" s="6"/>
      <c r="V2185" s="6"/>
      <c r="W2185" s="6"/>
      <c r="X2185" s="6"/>
      <c r="Y2185" s="6"/>
      <c r="Z2185" s="6"/>
      <c r="AA2185" s="6"/>
    </row>
    <row r="2186" ht="14.25" customHeight="1">
      <c r="A2186" s="6"/>
      <c r="B2186" s="6"/>
      <c r="C2186" s="6"/>
      <c r="D2186" s="6"/>
      <c r="E2186" s="6"/>
      <c r="F2186" s="6"/>
      <c r="G2186" s="6"/>
      <c r="H2186" s="6"/>
      <c r="I2186" s="6"/>
      <c r="J2186" s="6"/>
      <c r="K2186" s="6"/>
      <c r="L2186" s="6"/>
      <c r="M2186" s="6"/>
      <c r="N2186" s="6"/>
      <c r="O2186" s="6"/>
      <c r="P2186" s="6"/>
      <c r="Q2186" s="6"/>
      <c r="R2186" s="6"/>
      <c r="S2186" s="6"/>
      <c r="T2186" s="6"/>
      <c r="U2186" s="6"/>
      <c r="V2186" s="6"/>
      <c r="W2186" s="6"/>
      <c r="X2186" s="6"/>
      <c r="Y2186" s="6"/>
      <c r="Z2186" s="6"/>
      <c r="AA2186" s="6"/>
    </row>
    <row r="2187" ht="14.25" customHeight="1">
      <c r="A2187" s="6"/>
      <c r="B2187" s="6"/>
      <c r="C2187" s="6"/>
      <c r="D2187" s="6"/>
      <c r="E2187" s="6"/>
      <c r="F2187" s="6"/>
      <c r="G2187" s="6"/>
      <c r="H2187" s="6"/>
      <c r="I2187" s="6"/>
      <c r="J2187" s="6"/>
      <c r="K2187" s="6"/>
      <c r="L2187" s="6"/>
      <c r="M2187" s="6"/>
      <c r="N2187" s="6"/>
      <c r="O2187" s="6"/>
      <c r="P2187" s="6"/>
      <c r="Q2187" s="6"/>
      <c r="R2187" s="6"/>
      <c r="S2187" s="6"/>
      <c r="T2187" s="6"/>
      <c r="U2187" s="6"/>
      <c r="V2187" s="6"/>
      <c r="W2187" s="6"/>
      <c r="X2187" s="6"/>
      <c r="Y2187" s="6"/>
      <c r="Z2187" s="6"/>
      <c r="AA2187" s="6"/>
    </row>
    <row r="2188" ht="14.25" customHeight="1">
      <c r="A2188" s="6"/>
      <c r="B2188" s="6"/>
      <c r="C2188" s="6"/>
      <c r="D2188" s="6"/>
      <c r="E2188" s="6"/>
      <c r="F2188" s="6"/>
      <c r="G2188" s="6"/>
      <c r="H2188" s="6"/>
      <c r="I2188" s="6"/>
      <c r="J2188" s="6"/>
      <c r="K2188" s="6"/>
      <c r="L2188" s="6"/>
      <c r="M2188" s="6"/>
      <c r="N2188" s="6"/>
      <c r="O2188" s="6"/>
      <c r="P2188" s="6"/>
      <c r="Q2188" s="6"/>
      <c r="R2188" s="6"/>
      <c r="S2188" s="6"/>
      <c r="T2188" s="6"/>
      <c r="U2188" s="6"/>
      <c r="V2188" s="6"/>
      <c r="W2188" s="6"/>
      <c r="X2188" s="6"/>
      <c r="Y2188" s="6"/>
      <c r="Z2188" s="6"/>
      <c r="AA2188" s="6"/>
    </row>
    <row r="2189" ht="14.25" customHeight="1">
      <c r="A2189" s="6"/>
      <c r="B2189" s="6"/>
      <c r="C2189" s="6"/>
      <c r="D2189" s="6"/>
      <c r="E2189" s="6"/>
      <c r="F2189" s="6"/>
      <c r="G2189" s="6"/>
      <c r="H2189" s="6"/>
      <c r="I2189" s="6"/>
      <c r="J2189" s="6"/>
      <c r="K2189" s="6"/>
      <c r="L2189" s="6"/>
      <c r="M2189" s="6"/>
      <c r="N2189" s="6"/>
      <c r="O2189" s="6"/>
      <c r="P2189" s="6"/>
      <c r="Q2189" s="6"/>
      <c r="R2189" s="6"/>
      <c r="S2189" s="6"/>
      <c r="T2189" s="6"/>
      <c r="U2189" s="6"/>
      <c r="V2189" s="6"/>
      <c r="W2189" s="6"/>
      <c r="X2189" s="6"/>
      <c r="Y2189" s="6"/>
      <c r="Z2189" s="6"/>
      <c r="AA2189" s="6"/>
    </row>
    <row r="2190" ht="14.25" customHeight="1">
      <c r="A2190" s="6"/>
      <c r="B2190" s="6"/>
      <c r="C2190" s="6"/>
      <c r="D2190" s="6"/>
      <c r="E2190" s="6"/>
      <c r="F2190" s="6"/>
      <c r="G2190" s="6"/>
      <c r="H2190" s="6"/>
      <c r="I2190" s="6"/>
      <c r="J2190" s="6"/>
      <c r="K2190" s="6"/>
      <c r="L2190" s="6"/>
      <c r="M2190" s="6"/>
      <c r="N2190" s="6"/>
      <c r="O2190" s="6"/>
      <c r="P2190" s="6"/>
      <c r="Q2190" s="6"/>
      <c r="R2190" s="6"/>
      <c r="S2190" s="6"/>
      <c r="T2190" s="6"/>
      <c r="U2190" s="6"/>
      <c r="V2190" s="6"/>
      <c r="W2190" s="6"/>
      <c r="X2190" s="6"/>
      <c r="Y2190" s="6"/>
      <c r="Z2190" s="6"/>
      <c r="AA2190" s="6"/>
    </row>
    <row r="2191" ht="14.25" customHeight="1">
      <c r="A2191" s="6"/>
      <c r="B2191" s="6"/>
      <c r="C2191" s="6"/>
      <c r="D2191" s="6"/>
      <c r="E2191" s="6"/>
      <c r="F2191" s="6"/>
      <c r="G2191" s="6"/>
      <c r="H2191" s="6"/>
      <c r="I2191" s="6"/>
      <c r="J2191" s="6"/>
      <c r="K2191" s="6"/>
      <c r="L2191" s="6"/>
      <c r="M2191" s="6"/>
      <c r="N2191" s="6"/>
      <c r="O2191" s="6"/>
      <c r="P2191" s="6"/>
      <c r="Q2191" s="6"/>
      <c r="R2191" s="6"/>
      <c r="S2191" s="6"/>
      <c r="T2191" s="6"/>
      <c r="U2191" s="6"/>
      <c r="V2191" s="6"/>
      <c r="W2191" s="6"/>
      <c r="X2191" s="6"/>
      <c r="Y2191" s="6"/>
      <c r="Z2191" s="6"/>
      <c r="AA2191" s="6"/>
    </row>
    <row r="2192" ht="14.25" customHeight="1">
      <c r="A2192" s="6"/>
      <c r="B2192" s="6"/>
      <c r="C2192" s="6"/>
      <c r="D2192" s="6"/>
      <c r="E2192" s="6"/>
      <c r="F2192" s="6"/>
      <c r="G2192" s="6"/>
      <c r="H2192" s="6"/>
      <c r="I2192" s="6"/>
      <c r="J2192" s="6"/>
      <c r="K2192" s="6"/>
      <c r="L2192" s="6"/>
      <c r="M2192" s="6"/>
      <c r="N2192" s="6"/>
      <c r="O2192" s="6"/>
      <c r="P2192" s="6"/>
      <c r="Q2192" s="6"/>
      <c r="R2192" s="6"/>
      <c r="S2192" s="6"/>
      <c r="T2192" s="6"/>
      <c r="U2192" s="6"/>
      <c r="V2192" s="6"/>
      <c r="W2192" s="6"/>
      <c r="X2192" s="6"/>
      <c r="Y2192" s="6"/>
      <c r="Z2192" s="6"/>
      <c r="AA2192" s="6"/>
    </row>
    <row r="2193" ht="14.25" customHeight="1">
      <c r="A2193" s="6"/>
      <c r="B2193" s="6"/>
      <c r="C2193" s="6"/>
      <c r="D2193" s="6"/>
      <c r="E2193" s="6"/>
      <c r="F2193" s="6"/>
      <c r="G2193" s="6"/>
      <c r="H2193" s="6"/>
      <c r="I2193" s="6"/>
      <c r="J2193" s="6"/>
      <c r="K2193" s="6"/>
      <c r="L2193" s="6"/>
      <c r="M2193" s="6"/>
      <c r="N2193" s="6"/>
      <c r="O2193" s="6"/>
      <c r="P2193" s="6"/>
      <c r="Q2193" s="6"/>
      <c r="R2193" s="6"/>
      <c r="S2193" s="6"/>
      <c r="T2193" s="6"/>
      <c r="U2193" s="6"/>
      <c r="V2193" s="6"/>
      <c r="W2193" s="6"/>
      <c r="X2193" s="6"/>
      <c r="Y2193" s="6"/>
      <c r="Z2193" s="6"/>
      <c r="AA2193" s="6"/>
    </row>
    <row r="2194" ht="14.25" customHeight="1">
      <c r="A2194" s="6"/>
      <c r="B2194" s="6"/>
      <c r="C2194" s="6"/>
      <c r="D2194" s="6"/>
      <c r="E2194" s="6"/>
      <c r="F2194" s="6"/>
      <c r="G2194" s="6"/>
      <c r="H2194" s="6"/>
      <c r="I2194" s="6"/>
      <c r="J2194" s="6"/>
      <c r="K2194" s="6"/>
      <c r="L2194" s="6"/>
      <c r="M2194" s="6"/>
      <c r="N2194" s="6"/>
      <c r="O2194" s="6"/>
      <c r="P2194" s="6"/>
      <c r="Q2194" s="6"/>
      <c r="R2194" s="6"/>
      <c r="S2194" s="6"/>
      <c r="T2194" s="6"/>
      <c r="U2194" s="6"/>
      <c r="V2194" s="6"/>
      <c r="W2194" s="6"/>
      <c r="X2194" s="6"/>
      <c r="Y2194" s="6"/>
      <c r="Z2194" s="6"/>
      <c r="AA2194" s="6"/>
    </row>
    <row r="2195" ht="14.25" customHeight="1">
      <c r="A2195" s="6"/>
      <c r="B2195" s="6"/>
      <c r="C2195" s="6"/>
      <c r="D2195" s="6"/>
      <c r="E2195" s="6"/>
      <c r="F2195" s="6"/>
      <c r="G2195" s="6"/>
      <c r="H2195" s="6"/>
      <c r="I2195" s="6"/>
      <c r="J2195" s="6"/>
      <c r="K2195" s="6"/>
      <c r="L2195" s="6"/>
      <c r="M2195" s="6"/>
      <c r="N2195" s="6"/>
      <c r="O2195" s="6"/>
      <c r="P2195" s="6"/>
      <c r="Q2195" s="6"/>
      <c r="R2195" s="6"/>
      <c r="S2195" s="6"/>
      <c r="T2195" s="6"/>
      <c r="U2195" s="6"/>
      <c r="V2195" s="6"/>
      <c r="W2195" s="6"/>
      <c r="X2195" s="6"/>
      <c r="Y2195" s="6"/>
      <c r="Z2195" s="6"/>
      <c r="AA2195" s="6"/>
    </row>
    <row r="2196" ht="14.25" customHeight="1">
      <c r="A2196" s="6"/>
      <c r="B2196" s="6"/>
      <c r="C2196" s="6"/>
      <c r="D2196" s="6"/>
      <c r="E2196" s="6"/>
      <c r="F2196" s="6"/>
      <c r="G2196" s="6"/>
      <c r="H2196" s="6"/>
      <c r="I2196" s="6"/>
      <c r="J2196" s="6"/>
      <c r="K2196" s="6"/>
      <c r="L2196" s="6"/>
      <c r="M2196" s="6"/>
      <c r="N2196" s="6"/>
      <c r="O2196" s="6"/>
      <c r="P2196" s="6"/>
      <c r="Q2196" s="6"/>
      <c r="R2196" s="6"/>
      <c r="S2196" s="6"/>
      <c r="T2196" s="6"/>
      <c r="U2196" s="6"/>
      <c r="V2196" s="6"/>
      <c r="W2196" s="6"/>
      <c r="X2196" s="6"/>
      <c r="Y2196" s="6"/>
      <c r="Z2196" s="6"/>
      <c r="AA2196" s="6"/>
    </row>
    <row r="2197" ht="14.25" customHeight="1">
      <c r="A2197" s="6"/>
      <c r="B2197" s="6"/>
      <c r="C2197" s="6"/>
      <c r="D2197" s="6"/>
      <c r="E2197" s="6"/>
      <c r="F2197" s="6"/>
      <c r="G2197" s="6"/>
      <c r="H2197" s="6"/>
      <c r="I2197" s="6"/>
      <c r="J2197" s="6"/>
      <c r="K2197" s="6"/>
      <c r="L2197" s="6"/>
      <c r="M2197" s="6"/>
      <c r="N2197" s="6"/>
      <c r="O2197" s="6"/>
      <c r="P2197" s="6"/>
      <c r="Q2197" s="6"/>
      <c r="R2197" s="6"/>
      <c r="S2197" s="6"/>
      <c r="T2197" s="6"/>
      <c r="U2197" s="6"/>
      <c r="V2197" s="6"/>
      <c r="W2197" s="6"/>
      <c r="X2197" s="6"/>
      <c r="Y2197" s="6"/>
      <c r="Z2197" s="6"/>
      <c r="AA2197" s="6"/>
    </row>
    <row r="2198" ht="14.25" customHeight="1">
      <c r="A2198" s="6"/>
      <c r="B2198" s="6"/>
      <c r="C2198" s="6"/>
      <c r="D2198" s="6"/>
      <c r="E2198" s="6"/>
      <c r="F2198" s="6"/>
      <c r="G2198" s="6"/>
      <c r="H2198" s="6"/>
      <c r="I2198" s="6"/>
      <c r="J2198" s="6"/>
      <c r="K2198" s="6"/>
      <c r="L2198" s="6"/>
      <c r="M2198" s="6"/>
      <c r="N2198" s="6"/>
      <c r="O2198" s="6"/>
      <c r="P2198" s="6"/>
      <c r="Q2198" s="6"/>
      <c r="R2198" s="6"/>
      <c r="S2198" s="6"/>
      <c r="T2198" s="6"/>
      <c r="U2198" s="6"/>
      <c r="V2198" s="6"/>
      <c r="W2198" s="6"/>
      <c r="X2198" s="6"/>
      <c r="Y2198" s="6"/>
      <c r="Z2198" s="6"/>
      <c r="AA2198" s="6"/>
    </row>
    <row r="2199" ht="14.25" customHeight="1">
      <c r="A2199" s="6"/>
      <c r="B2199" s="6"/>
      <c r="C2199" s="6"/>
      <c r="D2199" s="6"/>
      <c r="E2199" s="6"/>
      <c r="F2199" s="6"/>
      <c r="G2199" s="6"/>
      <c r="H2199" s="6"/>
      <c r="I2199" s="6"/>
      <c r="J2199" s="6"/>
      <c r="K2199" s="6"/>
      <c r="L2199" s="6"/>
      <c r="M2199" s="6"/>
      <c r="N2199" s="6"/>
      <c r="O2199" s="6"/>
      <c r="P2199" s="6"/>
      <c r="Q2199" s="6"/>
      <c r="R2199" s="6"/>
      <c r="S2199" s="6"/>
      <c r="T2199" s="6"/>
      <c r="U2199" s="6"/>
      <c r="V2199" s="6"/>
      <c r="W2199" s="6"/>
      <c r="X2199" s="6"/>
      <c r="Y2199" s="6"/>
      <c r="Z2199" s="6"/>
      <c r="AA2199" s="6"/>
    </row>
    <row r="2200" ht="14.25" customHeight="1">
      <c r="A2200" s="6"/>
      <c r="B2200" s="6"/>
      <c r="C2200" s="6"/>
      <c r="D2200" s="6"/>
      <c r="E2200" s="6"/>
      <c r="F2200" s="6"/>
      <c r="G2200" s="6"/>
      <c r="H2200" s="6"/>
      <c r="I2200" s="6"/>
      <c r="J2200" s="6"/>
      <c r="K2200" s="6"/>
      <c r="L2200" s="6"/>
      <c r="M2200" s="6"/>
      <c r="N2200" s="6"/>
      <c r="O2200" s="6"/>
      <c r="P2200" s="6"/>
      <c r="Q2200" s="6"/>
      <c r="R2200" s="6"/>
      <c r="S2200" s="6"/>
      <c r="T2200" s="6"/>
      <c r="U2200" s="6"/>
      <c r="V2200" s="6"/>
      <c r="W2200" s="6"/>
      <c r="X2200" s="6"/>
      <c r="Y2200" s="6"/>
      <c r="Z2200" s="6"/>
      <c r="AA2200" s="6"/>
    </row>
    <row r="2201" ht="14.25" customHeight="1">
      <c r="A2201" s="6"/>
      <c r="B2201" s="6"/>
      <c r="C2201" s="6"/>
      <c r="D2201" s="6"/>
      <c r="E2201" s="6"/>
      <c r="F2201" s="6"/>
      <c r="G2201" s="6"/>
      <c r="H2201" s="6"/>
      <c r="I2201" s="6"/>
      <c r="J2201" s="6"/>
      <c r="K2201" s="6"/>
      <c r="L2201" s="6"/>
      <c r="M2201" s="6"/>
      <c r="N2201" s="6"/>
      <c r="O2201" s="6"/>
      <c r="P2201" s="6"/>
      <c r="Q2201" s="6"/>
      <c r="R2201" s="6"/>
      <c r="S2201" s="6"/>
      <c r="T2201" s="6"/>
      <c r="U2201" s="6"/>
      <c r="V2201" s="6"/>
      <c r="W2201" s="6"/>
      <c r="X2201" s="6"/>
      <c r="Y2201" s="6"/>
      <c r="Z2201" s="6"/>
      <c r="AA2201" s="6"/>
    </row>
    <row r="2202" ht="14.25" customHeight="1">
      <c r="A2202" s="6"/>
      <c r="B2202" s="6"/>
      <c r="C2202" s="6"/>
      <c r="D2202" s="6"/>
      <c r="E2202" s="6"/>
      <c r="F2202" s="6"/>
      <c r="G2202" s="6"/>
      <c r="H2202" s="6"/>
      <c r="I2202" s="6"/>
      <c r="J2202" s="6"/>
      <c r="K2202" s="6"/>
      <c r="L2202" s="6"/>
      <c r="M2202" s="6"/>
      <c r="N2202" s="6"/>
      <c r="O2202" s="6"/>
      <c r="P2202" s="6"/>
      <c r="Q2202" s="6"/>
      <c r="R2202" s="6"/>
      <c r="S2202" s="6"/>
      <c r="T2202" s="6"/>
      <c r="U2202" s="6"/>
      <c r="V2202" s="6"/>
      <c r="W2202" s="6"/>
      <c r="X2202" s="6"/>
      <c r="Y2202" s="6"/>
      <c r="Z2202" s="6"/>
      <c r="AA2202" s="6"/>
    </row>
    <row r="2203" ht="14.25" customHeight="1">
      <c r="A2203" s="6"/>
      <c r="B2203" s="6"/>
      <c r="C2203" s="6"/>
      <c r="D2203" s="6"/>
      <c r="E2203" s="6"/>
      <c r="F2203" s="6"/>
      <c r="G2203" s="6"/>
      <c r="H2203" s="6"/>
      <c r="I2203" s="6"/>
      <c r="J2203" s="6"/>
      <c r="K2203" s="6"/>
      <c r="L2203" s="6"/>
      <c r="M2203" s="6"/>
      <c r="N2203" s="6"/>
      <c r="O2203" s="6"/>
      <c r="P2203" s="6"/>
      <c r="Q2203" s="6"/>
      <c r="R2203" s="6"/>
      <c r="S2203" s="6"/>
      <c r="T2203" s="6"/>
      <c r="U2203" s="6"/>
      <c r="V2203" s="6"/>
      <c r="W2203" s="6"/>
      <c r="X2203" s="6"/>
      <c r="Y2203" s="6"/>
      <c r="Z2203" s="6"/>
      <c r="AA2203" s="6"/>
    </row>
    <row r="2204" ht="14.25" customHeight="1">
      <c r="A2204" s="6"/>
      <c r="B2204" s="6"/>
      <c r="C2204" s="6"/>
      <c r="D2204" s="6"/>
      <c r="E2204" s="6"/>
      <c r="F2204" s="6"/>
      <c r="G2204" s="6"/>
      <c r="H2204" s="6"/>
      <c r="I2204" s="6"/>
      <c r="J2204" s="6"/>
      <c r="K2204" s="6"/>
      <c r="L2204" s="6"/>
      <c r="M2204" s="6"/>
      <c r="N2204" s="6"/>
      <c r="O2204" s="6"/>
      <c r="P2204" s="6"/>
      <c r="Q2204" s="6"/>
      <c r="R2204" s="6"/>
      <c r="S2204" s="6"/>
      <c r="T2204" s="6"/>
      <c r="U2204" s="6"/>
      <c r="V2204" s="6"/>
      <c r="W2204" s="6"/>
      <c r="X2204" s="6"/>
      <c r="Y2204" s="6"/>
      <c r="Z2204" s="6"/>
      <c r="AA2204" s="6"/>
    </row>
    <row r="2205" ht="14.25" customHeight="1">
      <c r="A2205" s="6"/>
      <c r="B2205" s="6"/>
      <c r="C2205" s="6"/>
      <c r="D2205" s="6"/>
      <c r="E2205" s="6"/>
      <c r="F2205" s="6"/>
      <c r="G2205" s="6"/>
      <c r="H2205" s="6"/>
      <c r="I2205" s="6"/>
      <c r="J2205" s="6"/>
      <c r="K2205" s="6"/>
      <c r="L2205" s="6"/>
      <c r="M2205" s="6"/>
      <c r="N2205" s="6"/>
      <c r="O2205" s="6"/>
      <c r="P2205" s="6"/>
      <c r="Q2205" s="6"/>
      <c r="R2205" s="6"/>
      <c r="S2205" s="6"/>
      <c r="T2205" s="6"/>
      <c r="U2205" s="6"/>
      <c r="V2205" s="6"/>
      <c r="W2205" s="6"/>
      <c r="X2205" s="6"/>
      <c r="Y2205" s="6"/>
      <c r="Z2205" s="6"/>
      <c r="AA2205" s="6"/>
    </row>
    <row r="2206" ht="14.25" customHeight="1">
      <c r="A2206" s="6"/>
      <c r="B2206" s="6"/>
      <c r="C2206" s="6"/>
      <c r="D2206" s="6"/>
      <c r="E2206" s="6"/>
      <c r="F2206" s="6"/>
      <c r="G2206" s="6"/>
      <c r="H2206" s="6"/>
      <c r="I2206" s="6"/>
      <c r="J2206" s="6"/>
      <c r="K2206" s="6"/>
      <c r="L2206" s="6"/>
      <c r="M2206" s="6"/>
      <c r="N2206" s="6"/>
      <c r="O2206" s="6"/>
      <c r="P2206" s="6"/>
      <c r="Q2206" s="6"/>
      <c r="R2206" s="6"/>
      <c r="S2206" s="6"/>
      <c r="T2206" s="6"/>
      <c r="U2206" s="6"/>
      <c r="V2206" s="6"/>
      <c r="W2206" s="6"/>
      <c r="X2206" s="6"/>
      <c r="Y2206" s="6"/>
      <c r="Z2206" s="6"/>
      <c r="AA2206" s="6"/>
    </row>
    <row r="2207" ht="14.25" customHeight="1">
      <c r="A2207" s="6"/>
      <c r="B2207" s="6"/>
      <c r="C2207" s="6"/>
      <c r="D2207" s="6"/>
      <c r="E2207" s="6"/>
      <c r="F2207" s="6"/>
      <c r="G2207" s="6"/>
      <c r="H2207" s="6"/>
      <c r="I2207" s="6"/>
      <c r="J2207" s="6"/>
      <c r="K2207" s="6"/>
      <c r="L2207" s="6"/>
      <c r="M2207" s="6"/>
      <c r="N2207" s="6"/>
      <c r="O2207" s="6"/>
      <c r="P2207" s="6"/>
      <c r="Q2207" s="6"/>
      <c r="R2207" s="6"/>
      <c r="S2207" s="6"/>
      <c r="T2207" s="6"/>
      <c r="U2207" s="6"/>
      <c r="V2207" s="6"/>
      <c r="W2207" s="6"/>
      <c r="X2207" s="6"/>
      <c r="Y2207" s="6"/>
      <c r="Z2207" s="6"/>
      <c r="AA2207" s="6"/>
    </row>
    <row r="2208" ht="14.25" customHeight="1">
      <c r="A2208" s="6"/>
      <c r="B2208" s="6"/>
      <c r="C2208" s="6"/>
      <c r="D2208" s="6"/>
      <c r="E2208" s="6"/>
      <c r="F2208" s="6"/>
      <c r="G2208" s="6"/>
      <c r="H2208" s="6"/>
      <c r="I2208" s="6"/>
      <c r="J2208" s="6"/>
      <c r="K2208" s="6"/>
      <c r="L2208" s="6"/>
      <c r="M2208" s="6"/>
      <c r="N2208" s="6"/>
      <c r="O2208" s="6"/>
      <c r="P2208" s="6"/>
      <c r="Q2208" s="6"/>
      <c r="R2208" s="6"/>
      <c r="S2208" s="6"/>
      <c r="T2208" s="6"/>
      <c r="U2208" s="6"/>
      <c r="V2208" s="6"/>
      <c r="W2208" s="6"/>
      <c r="X2208" s="6"/>
      <c r="Y2208" s="6"/>
      <c r="Z2208" s="6"/>
      <c r="AA2208" s="6"/>
    </row>
    <row r="2209" ht="14.25" customHeight="1">
      <c r="A2209" s="6"/>
      <c r="B2209" s="6"/>
      <c r="C2209" s="6"/>
      <c r="D2209" s="6"/>
      <c r="E2209" s="6"/>
      <c r="F2209" s="6"/>
      <c r="G2209" s="6"/>
      <c r="H2209" s="6"/>
      <c r="I2209" s="6"/>
      <c r="J2209" s="6"/>
      <c r="K2209" s="6"/>
      <c r="L2209" s="6"/>
      <c r="M2209" s="6"/>
      <c r="N2209" s="6"/>
      <c r="O2209" s="6"/>
      <c r="P2209" s="6"/>
      <c r="Q2209" s="6"/>
      <c r="R2209" s="6"/>
      <c r="S2209" s="6"/>
      <c r="T2209" s="6"/>
      <c r="U2209" s="6"/>
      <c r="V2209" s="6"/>
      <c r="W2209" s="6"/>
      <c r="X2209" s="6"/>
      <c r="Y2209" s="6"/>
      <c r="Z2209" s="6"/>
      <c r="AA2209" s="6"/>
    </row>
    <row r="2210" ht="14.25" customHeight="1">
      <c r="A2210" s="6"/>
      <c r="B2210" s="6"/>
      <c r="C2210" s="6"/>
      <c r="D2210" s="6"/>
      <c r="E2210" s="6"/>
      <c r="F2210" s="6"/>
      <c r="G2210" s="6"/>
      <c r="H2210" s="6"/>
      <c r="I2210" s="6"/>
      <c r="J2210" s="6"/>
      <c r="K2210" s="6"/>
      <c r="L2210" s="6"/>
      <c r="M2210" s="6"/>
      <c r="N2210" s="6"/>
      <c r="O2210" s="6"/>
      <c r="P2210" s="6"/>
      <c r="Q2210" s="6"/>
      <c r="R2210" s="6"/>
      <c r="S2210" s="6"/>
      <c r="T2210" s="6"/>
      <c r="U2210" s="6"/>
      <c r="V2210" s="6"/>
      <c r="W2210" s="6"/>
      <c r="X2210" s="6"/>
      <c r="Y2210" s="6"/>
      <c r="Z2210" s="6"/>
      <c r="AA2210" s="6"/>
    </row>
    <row r="2211" ht="14.25" customHeight="1">
      <c r="A2211" s="6"/>
      <c r="B2211" s="6"/>
      <c r="C2211" s="6"/>
      <c r="D2211" s="6"/>
      <c r="E2211" s="6"/>
      <c r="F2211" s="6"/>
      <c r="G2211" s="6"/>
      <c r="H2211" s="6"/>
      <c r="I2211" s="6"/>
      <c r="J2211" s="6"/>
      <c r="K2211" s="6"/>
      <c r="L2211" s="6"/>
      <c r="M2211" s="6"/>
      <c r="N2211" s="6"/>
      <c r="O2211" s="6"/>
      <c r="P2211" s="6"/>
      <c r="Q2211" s="6"/>
      <c r="R2211" s="6"/>
      <c r="S2211" s="6"/>
      <c r="T2211" s="6"/>
      <c r="U2211" s="6"/>
      <c r="V2211" s="6"/>
      <c r="W2211" s="6"/>
      <c r="X2211" s="6"/>
      <c r="Y2211" s="6"/>
      <c r="Z2211" s="6"/>
      <c r="AA2211" s="6"/>
    </row>
    <row r="2212" ht="14.25" customHeight="1">
      <c r="A2212" s="6"/>
      <c r="B2212" s="6"/>
      <c r="C2212" s="6"/>
      <c r="D2212" s="6"/>
      <c r="E2212" s="6"/>
      <c r="F2212" s="6"/>
      <c r="G2212" s="6"/>
      <c r="H2212" s="6"/>
      <c r="I2212" s="6"/>
      <c r="J2212" s="6"/>
      <c r="K2212" s="6"/>
      <c r="L2212" s="6"/>
      <c r="M2212" s="6"/>
      <c r="N2212" s="6"/>
      <c r="O2212" s="6"/>
      <c r="P2212" s="6"/>
      <c r="Q2212" s="6"/>
      <c r="R2212" s="6"/>
      <c r="S2212" s="6"/>
      <c r="T2212" s="6"/>
      <c r="U2212" s="6"/>
      <c r="V2212" s="6"/>
      <c r="W2212" s="6"/>
      <c r="X2212" s="6"/>
      <c r="Y2212" s="6"/>
      <c r="Z2212" s="6"/>
      <c r="AA2212" s="6"/>
    </row>
    <row r="2213" ht="14.25" customHeight="1">
      <c r="A2213" s="6"/>
      <c r="B2213" s="6"/>
      <c r="C2213" s="6"/>
      <c r="D2213" s="6"/>
      <c r="E2213" s="6"/>
      <c r="F2213" s="6"/>
      <c r="G2213" s="6"/>
      <c r="H2213" s="6"/>
      <c r="I2213" s="6"/>
      <c r="J2213" s="6"/>
      <c r="K2213" s="6"/>
      <c r="L2213" s="6"/>
      <c r="M2213" s="6"/>
      <c r="N2213" s="6"/>
      <c r="O2213" s="6"/>
      <c r="P2213" s="6"/>
      <c r="Q2213" s="6"/>
      <c r="R2213" s="6"/>
      <c r="S2213" s="6"/>
      <c r="T2213" s="6"/>
      <c r="U2213" s="6"/>
      <c r="V2213" s="6"/>
      <c r="W2213" s="6"/>
      <c r="X2213" s="6"/>
      <c r="Y2213" s="6"/>
      <c r="Z2213" s="6"/>
      <c r="AA2213" s="6"/>
    </row>
    <row r="2214" ht="14.25" customHeight="1">
      <c r="A2214" s="6"/>
      <c r="B2214" s="6"/>
      <c r="C2214" s="6"/>
      <c r="D2214" s="6"/>
      <c r="E2214" s="6"/>
      <c r="F2214" s="6"/>
      <c r="G2214" s="6"/>
      <c r="H2214" s="6"/>
      <c r="I2214" s="6"/>
      <c r="J2214" s="6"/>
      <c r="K2214" s="6"/>
      <c r="L2214" s="6"/>
      <c r="M2214" s="6"/>
      <c r="N2214" s="6"/>
      <c r="O2214" s="6"/>
      <c r="P2214" s="6"/>
      <c r="Q2214" s="6"/>
      <c r="R2214" s="6"/>
      <c r="S2214" s="6"/>
      <c r="T2214" s="6"/>
      <c r="U2214" s="6"/>
      <c r="V2214" s="6"/>
      <c r="W2214" s="6"/>
      <c r="X2214" s="6"/>
      <c r="Y2214" s="6"/>
      <c r="Z2214" s="6"/>
      <c r="AA2214" s="6"/>
    </row>
    <row r="2215" ht="14.25" customHeight="1">
      <c r="A2215" s="6"/>
      <c r="B2215" s="6"/>
      <c r="C2215" s="6"/>
      <c r="D2215" s="6"/>
      <c r="E2215" s="6"/>
      <c r="F2215" s="6"/>
      <c r="G2215" s="6"/>
      <c r="H2215" s="6"/>
      <c r="I2215" s="6"/>
      <c r="J2215" s="6"/>
      <c r="K2215" s="6"/>
      <c r="L2215" s="6"/>
      <c r="M2215" s="6"/>
      <c r="N2215" s="6"/>
      <c r="O2215" s="6"/>
      <c r="P2215" s="6"/>
      <c r="Q2215" s="6"/>
      <c r="R2215" s="6"/>
      <c r="S2215" s="6"/>
      <c r="T2215" s="6"/>
      <c r="U2215" s="6"/>
      <c r="V2215" s="6"/>
      <c r="W2215" s="6"/>
      <c r="X2215" s="6"/>
      <c r="Y2215" s="6"/>
      <c r="Z2215" s="6"/>
      <c r="AA2215" s="6"/>
    </row>
    <row r="2216" ht="14.25" customHeight="1">
      <c r="A2216" s="6"/>
      <c r="B2216" s="6"/>
      <c r="C2216" s="6"/>
      <c r="D2216" s="6"/>
      <c r="E2216" s="6"/>
      <c r="F2216" s="6"/>
      <c r="G2216" s="6"/>
      <c r="H2216" s="6"/>
      <c r="I2216" s="6"/>
      <c r="J2216" s="6"/>
      <c r="K2216" s="6"/>
      <c r="L2216" s="6"/>
      <c r="M2216" s="6"/>
      <c r="N2216" s="6"/>
      <c r="O2216" s="6"/>
      <c r="P2216" s="6"/>
      <c r="Q2216" s="6"/>
      <c r="R2216" s="6"/>
      <c r="S2216" s="6"/>
      <c r="T2216" s="6"/>
      <c r="U2216" s="6"/>
      <c r="V2216" s="6"/>
      <c r="W2216" s="6"/>
      <c r="X2216" s="6"/>
      <c r="Y2216" s="6"/>
      <c r="Z2216" s="6"/>
      <c r="AA2216" s="6"/>
    </row>
    <row r="2217" ht="14.25" customHeight="1">
      <c r="A2217" s="6"/>
      <c r="B2217" s="6"/>
      <c r="C2217" s="6"/>
      <c r="D2217" s="6"/>
      <c r="E2217" s="6"/>
      <c r="F2217" s="6"/>
      <c r="G2217" s="6"/>
      <c r="H2217" s="6"/>
      <c r="I2217" s="6"/>
      <c r="J2217" s="6"/>
      <c r="K2217" s="6"/>
      <c r="L2217" s="6"/>
      <c r="M2217" s="6"/>
      <c r="N2217" s="6"/>
      <c r="O2217" s="6"/>
      <c r="P2217" s="6"/>
      <c r="Q2217" s="6"/>
      <c r="R2217" s="6"/>
      <c r="S2217" s="6"/>
      <c r="T2217" s="6"/>
      <c r="U2217" s="6"/>
      <c r="V2217" s="6"/>
      <c r="W2217" s="6"/>
      <c r="X2217" s="6"/>
      <c r="Y2217" s="6"/>
      <c r="Z2217" s="6"/>
      <c r="AA2217" s="6"/>
    </row>
    <row r="2218" ht="14.25" customHeight="1">
      <c r="A2218" s="6"/>
      <c r="B2218" s="6"/>
      <c r="C2218" s="6"/>
      <c r="D2218" s="6"/>
      <c r="E2218" s="6"/>
      <c r="F2218" s="6"/>
      <c r="G2218" s="6"/>
      <c r="H2218" s="6"/>
      <c r="I2218" s="6"/>
      <c r="J2218" s="6"/>
      <c r="K2218" s="6"/>
      <c r="L2218" s="6"/>
      <c r="M2218" s="6"/>
      <c r="N2218" s="6"/>
      <c r="O2218" s="6"/>
      <c r="P2218" s="6"/>
      <c r="Q2218" s="6"/>
      <c r="R2218" s="6"/>
      <c r="S2218" s="6"/>
      <c r="T2218" s="6"/>
      <c r="U2218" s="6"/>
      <c r="V2218" s="6"/>
      <c r="W2218" s="6"/>
      <c r="X2218" s="6"/>
      <c r="Y2218" s="6"/>
      <c r="Z2218" s="6"/>
      <c r="AA2218" s="6"/>
    </row>
    <row r="2219" ht="14.25" customHeight="1">
      <c r="A2219" s="6"/>
      <c r="B2219" s="6"/>
      <c r="C2219" s="6"/>
      <c r="D2219" s="6"/>
      <c r="E2219" s="6"/>
      <c r="F2219" s="6"/>
      <c r="G2219" s="6"/>
      <c r="H2219" s="6"/>
      <c r="I2219" s="6"/>
      <c r="J2219" s="6"/>
      <c r="K2219" s="6"/>
      <c r="L2219" s="6"/>
      <c r="M2219" s="6"/>
      <c r="N2219" s="6"/>
      <c r="O2219" s="6"/>
      <c r="P2219" s="6"/>
      <c r="Q2219" s="6"/>
      <c r="R2219" s="6"/>
      <c r="S2219" s="6"/>
      <c r="T2219" s="6"/>
      <c r="U2219" s="6"/>
      <c r="V2219" s="6"/>
      <c r="W2219" s="6"/>
      <c r="X2219" s="6"/>
      <c r="Y2219" s="6"/>
      <c r="Z2219" s="6"/>
      <c r="AA2219" s="6"/>
    </row>
    <row r="2220" ht="14.25" customHeight="1">
      <c r="A2220" s="6"/>
      <c r="B2220" s="6"/>
      <c r="C2220" s="6"/>
      <c r="D2220" s="6"/>
      <c r="E2220" s="6"/>
      <c r="F2220" s="6"/>
      <c r="G2220" s="6"/>
      <c r="H2220" s="6"/>
      <c r="I2220" s="6"/>
      <c r="J2220" s="6"/>
      <c r="K2220" s="6"/>
      <c r="L2220" s="6"/>
      <c r="M2220" s="6"/>
      <c r="N2220" s="6"/>
      <c r="O2220" s="6"/>
      <c r="P2220" s="6"/>
      <c r="Q2220" s="6"/>
      <c r="R2220" s="6"/>
      <c r="S2220" s="6"/>
      <c r="T2220" s="6"/>
      <c r="U2220" s="6"/>
      <c r="V2220" s="6"/>
      <c r="W2220" s="6"/>
      <c r="X2220" s="6"/>
      <c r="Y2220" s="6"/>
      <c r="Z2220" s="6"/>
      <c r="AA2220" s="6"/>
    </row>
    <row r="2221" ht="14.25" customHeight="1">
      <c r="A2221" s="6"/>
      <c r="B2221" s="6"/>
      <c r="C2221" s="6"/>
      <c r="D2221" s="6"/>
      <c r="E2221" s="6"/>
      <c r="F2221" s="6"/>
      <c r="G2221" s="6"/>
      <c r="H2221" s="6"/>
      <c r="I2221" s="6"/>
      <c r="J2221" s="6"/>
      <c r="K2221" s="6"/>
      <c r="L2221" s="6"/>
      <c r="M2221" s="6"/>
      <c r="N2221" s="6"/>
      <c r="O2221" s="6"/>
      <c r="P2221" s="6"/>
      <c r="Q2221" s="6"/>
      <c r="R2221" s="6"/>
      <c r="S2221" s="6"/>
      <c r="T2221" s="6"/>
      <c r="U2221" s="6"/>
      <c r="V2221" s="6"/>
      <c r="W2221" s="6"/>
      <c r="X2221" s="6"/>
      <c r="Y2221" s="6"/>
      <c r="Z2221" s="6"/>
      <c r="AA2221" s="6"/>
    </row>
    <row r="2222" ht="14.25" customHeight="1">
      <c r="A2222" s="6"/>
      <c r="B2222" s="6"/>
      <c r="C2222" s="6"/>
      <c r="D2222" s="6"/>
      <c r="E2222" s="6"/>
      <c r="F2222" s="6"/>
      <c r="G2222" s="6"/>
      <c r="H2222" s="6"/>
      <c r="I2222" s="6"/>
      <c r="J2222" s="6"/>
      <c r="K2222" s="6"/>
      <c r="L2222" s="6"/>
      <c r="M2222" s="6"/>
      <c r="N2222" s="6"/>
      <c r="O2222" s="6"/>
      <c r="P2222" s="6"/>
      <c r="Q2222" s="6"/>
      <c r="R2222" s="6"/>
      <c r="S2222" s="6"/>
      <c r="T2222" s="6"/>
      <c r="U2222" s="6"/>
      <c r="V2222" s="6"/>
      <c r="W2222" s="6"/>
      <c r="X2222" s="6"/>
      <c r="Y2222" s="6"/>
      <c r="Z2222" s="6"/>
      <c r="AA2222" s="6"/>
    </row>
    <row r="2223" ht="14.25" customHeight="1">
      <c r="A2223" s="6"/>
      <c r="B2223" s="6"/>
      <c r="C2223" s="6"/>
      <c r="D2223" s="6"/>
      <c r="E2223" s="6"/>
      <c r="F2223" s="6"/>
      <c r="G2223" s="6"/>
      <c r="H2223" s="6"/>
      <c r="I2223" s="6"/>
      <c r="J2223" s="6"/>
      <c r="K2223" s="6"/>
      <c r="L2223" s="6"/>
      <c r="M2223" s="6"/>
      <c r="N2223" s="6"/>
      <c r="O2223" s="6"/>
      <c r="P2223" s="6"/>
      <c r="Q2223" s="6"/>
      <c r="R2223" s="6"/>
      <c r="S2223" s="6"/>
      <c r="T2223" s="6"/>
      <c r="U2223" s="6"/>
      <c r="V2223" s="6"/>
      <c r="W2223" s="6"/>
      <c r="X2223" s="6"/>
      <c r="Y2223" s="6"/>
      <c r="Z2223" s="6"/>
      <c r="AA2223" s="6"/>
    </row>
    <row r="2224" ht="14.25" customHeight="1">
      <c r="A2224" s="6"/>
      <c r="B2224" s="6"/>
      <c r="C2224" s="6"/>
      <c r="D2224" s="6"/>
      <c r="E2224" s="6"/>
      <c r="F2224" s="6"/>
      <c r="G2224" s="6"/>
      <c r="H2224" s="6"/>
      <c r="I2224" s="6"/>
      <c r="J2224" s="6"/>
      <c r="K2224" s="6"/>
      <c r="L2224" s="6"/>
      <c r="M2224" s="6"/>
      <c r="N2224" s="6"/>
      <c r="O2224" s="6"/>
      <c r="P2224" s="6"/>
      <c r="Q2224" s="6"/>
      <c r="R2224" s="6"/>
      <c r="S2224" s="6"/>
      <c r="T2224" s="6"/>
      <c r="U2224" s="6"/>
      <c r="V2224" s="6"/>
      <c r="W2224" s="6"/>
      <c r="X2224" s="6"/>
      <c r="Y2224" s="6"/>
      <c r="Z2224" s="6"/>
      <c r="AA2224" s="6"/>
    </row>
    <row r="2225" ht="14.25" customHeight="1">
      <c r="A2225" s="6"/>
      <c r="B2225" s="6"/>
      <c r="C2225" s="6"/>
      <c r="D2225" s="6"/>
      <c r="E2225" s="6"/>
      <c r="F2225" s="6"/>
      <c r="G2225" s="6"/>
      <c r="H2225" s="6"/>
      <c r="I2225" s="6"/>
      <c r="J2225" s="6"/>
      <c r="K2225" s="6"/>
      <c r="L2225" s="6"/>
      <c r="M2225" s="6"/>
      <c r="N2225" s="6"/>
      <c r="O2225" s="6"/>
      <c r="P2225" s="6"/>
      <c r="Q2225" s="6"/>
      <c r="R2225" s="6"/>
      <c r="S2225" s="6"/>
      <c r="T2225" s="6"/>
      <c r="U2225" s="6"/>
      <c r="V2225" s="6"/>
      <c r="W2225" s="6"/>
      <c r="X2225" s="6"/>
      <c r="Y2225" s="6"/>
      <c r="Z2225" s="6"/>
      <c r="AA2225" s="6"/>
    </row>
    <row r="2226" ht="14.25" customHeight="1">
      <c r="A2226" s="6"/>
      <c r="B2226" s="6"/>
      <c r="C2226" s="6"/>
      <c r="D2226" s="6"/>
      <c r="E2226" s="6"/>
      <c r="F2226" s="6"/>
      <c r="G2226" s="6"/>
      <c r="H2226" s="6"/>
      <c r="I2226" s="6"/>
      <c r="J2226" s="6"/>
      <c r="K2226" s="6"/>
      <c r="L2226" s="6"/>
      <c r="M2226" s="6"/>
      <c r="N2226" s="6"/>
      <c r="O2226" s="6"/>
      <c r="P2226" s="6"/>
      <c r="Q2226" s="6"/>
      <c r="R2226" s="6"/>
      <c r="S2226" s="6"/>
      <c r="T2226" s="6"/>
      <c r="U2226" s="6"/>
      <c r="V2226" s="6"/>
      <c r="W2226" s="6"/>
      <c r="X2226" s="6"/>
      <c r="Y2226" s="6"/>
      <c r="Z2226" s="6"/>
      <c r="AA2226" s="6"/>
    </row>
    <row r="2227" ht="14.25" customHeight="1">
      <c r="A2227" s="6"/>
      <c r="B2227" s="6"/>
      <c r="C2227" s="6"/>
      <c r="D2227" s="6"/>
      <c r="E2227" s="6"/>
      <c r="F2227" s="6"/>
      <c r="G2227" s="6"/>
      <c r="H2227" s="6"/>
      <c r="I2227" s="6"/>
      <c r="J2227" s="6"/>
      <c r="K2227" s="6"/>
      <c r="L2227" s="6"/>
      <c r="M2227" s="6"/>
      <c r="N2227" s="6"/>
      <c r="O2227" s="6"/>
      <c r="P2227" s="6"/>
      <c r="Q2227" s="6"/>
      <c r="R2227" s="6"/>
      <c r="S2227" s="6"/>
      <c r="T2227" s="6"/>
      <c r="U2227" s="6"/>
      <c r="V2227" s="6"/>
      <c r="W2227" s="6"/>
      <c r="X2227" s="6"/>
      <c r="Y2227" s="6"/>
      <c r="Z2227" s="6"/>
      <c r="AA2227" s="6"/>
    </row>
    <row r="2228" ht="14.25" customHeight="1">
      <c r="A2228" s="6"/>
      <c r="B2228" s="6"/>
      <c r="C2228" s="6"/>
      <c r="D2228" s="6"/>
      <c r="E2228" s="6"/>
      <c r="F2228" s="6"/>
      <c r="G2228" s="6"/>
      <c r="H2228" s="6"/>
      <c r="I2228" s="6"/>
      <c r="J2228" s="6"/>
      <c r="K2228" s="6"/>
      <c r="L2228" s="6"/>
      <c r="M2228" s="6"/>
      <c r="N2228" s="6"/>
      <c r="O2228" s="6"/>
      <c r="P2228" s="6"/>
      <c r="Q2228" s="6"/>
      <c r="R2228" s="6"/>
      <c r="S2228" s="6"/>
      <c r="T2228" s="6"/>
      <c r="U2228" s="6"/>
      <c r="V2228" s="6"/>
      <c r="W2228" s="6"/>
      <c r="X2228" s="6"/>
      <c r="Y2228" s="6"/>
      <c r="Z2228" s="6"/>
      <c r="AA2228" s="6"/>
    </row>
    <row r="2229" ht="14.25" customHeight="1">
      <c r="A2229" s="6"/>
      <c r="B2229" s="6"/>
      <c r="C2229" s="6"/>
      <c r="D2229" s="6"/>
      <c r="E2229" s="6"/>
      <c r="F2229" s="6"/>
      <c r="G2229" s="6"/>
      <c r="H2229" s="6"/>
      <c r="I2229" s="6"/>
      <c r="J2229" s="6"/>
      <c r="K2229" s="6"/>
      <c r="L2229" s="6"/>
      <c r="M2229" s="6"/>
      <c r="N2229" s="6"/>
      <c r="O2229" s="6"/>
      <c r="P2229" s="6"/>
      <c r="Q2229" s="6"/>
      <c r="R2229" s="6"/>
      <c r="S2229" s="6"/>
      <c r="T2229" s="6"/>
      <c r="U2229" s="6"/>
      <c r="V2229" s="6"/>
      <c r="W2229" s="6"/>
      <c r="X2229" s="6"/>
      <c r="Y2229" s="6"/>
      <c r="Z2229" s="6"/>
      <c r="AA2229" s="6"/>
    </row>
    <row r="2230" ht="14.25" customHeight="1">
      <c r="A2230" s="6"/>
      <c r="B2230" s="6"/>
      <c r="C2230" s="6"/>
      <c r="D2230" s="6"/>
      <c r="E2230" s="6"/>
      <c r="F2230" s="6"/>
      <c r="G2230" s="6"/>
      <c r="H2230" s="6"/>
      <c r="I2230" s="6"/>
      <c r="J2230" s="6"/>
      <c r="K2230" s="6"/>
      <c r="L2230" s="6"/>
      <c r="M2230" s="6"/>
      <c r="N2230" s="6" t="str">
        <f t="shared" ref="N2230:P2230" si="2">IF(LEN($C2230)&gt;0,H2230-E2230,"")</f>
        <v/>
      </c>
      <c r="O2230" s="6" t="str">
        <f t="shared" si="2"/>
        <v/>
      </c>
      <c r="P2230" s="6" t="str">
        <f t="shared" si="2"/>
        <v/>
      </c>
      <c r="Q2230" s="6"/>
      <c r="R2230" s="6"/>
      <c r="S2230" s="6"/>
      <c r="T2230" s="6"/>
      <c r="U2230" s="6"/>
      <c r="V2230" s="6"/>
      <c r="W2230" s="6"/>
      <c r="X2230" s="6"/>
      <c r="Y2230" s="6"/>
      <c r="Z2230" s="6"/>
      <c r="AA2230" s="6"/>
    </row>
    <row r="2231" ht="14.25" customHeight="1">
      <c r="A2231" s="6"/>
      <c r="B2231" s="6"/>
      <c r="C2231" s="6"/>
      <c r="D2231" s="6"/>
      <c r="E2231" s="6"/>
      <c r="F2231" s="6"/>
      <c r="G2231" s="6"/>
      <c r="H2231" s="6"/>
      <c r="I2231" s="6"/>
      <c r="J2231" s="6"/>
      <c r="K2231" s="6"/>
      <c r="L2231" s="6"/>
      <c r="M2231" s="6"/>
      <c r="N2231" s="6" t="str">
        <f t="shared" ref="N2231:P2231" si="3">IF(LEN($C2231)&gt;0,H2231-E2231,"")</f>
        <v/>
      </c>
      <c r="O2231" s="6" t="str">
        <f t="shared" si="3"/>
        <v/>
      </c>
      <c r="P2231" s="6" t="str">
        <f t="shared" si="3"/>
        <v/>
      </c>
      <c r="Q2231" s="6"/>
      <c r="R2231" s="6"/>
      <c r="S2231" s="6"/>
      <c r="T2231" s="6"/>
      <c r="U2231" s="6"/>
      <c r="V2231" s="6"/>
      <c r="W2231" s="6"/>
      <c r="X2231" s="6"/>
      <c r="Y2231" s="6"/>
      <c r="Z2231" s="6"/>
      <c r="AA2231" s="6"/>
    </row>
    <row r="2232" ht="14.25" customHeight="1">
      <c r="A2232" s="6"/>
      <c r="B2232" s="6"/>
      <c r="C2232" s="6"/>
      <c r="D2232" s="6"/>
      <c r="E2232" s="6"/>
      <c r="F2232" s="6"/>
      <c r="G2232" s="6"/>
      <c r="H2232" s="6"/>
      <c r="I2232" s="6"/>
      <c r="J2232" s="6"/>
      <c r="K2232" s="6"/>
      <c r="L2232" s="6"/>
      <c r="M2232" s="6"/>
      <c r="N2232" s="6" t="str">
        <f t="shared" ref="N2232:P2232" si="4">IF(LEN($C2232)&gt;0,H2232-E2232,"")</f>
        <v/>
      </c>
      <c r="O2232" s="6" t="str">
        <f t="shared" si="4"/>
        <v/>
      </c>
      <c r="P2232" s="6" t="str">
        <f t="shared" si="4"/>
        <v/>
      </c>
      <c r="Q2232" s="6"/>
      <c r="R2232" s="6"/>
      <c r="S2232" s="6"/>
      <c r="T2232" s="6"/>
      <c r="U2232" s="6"/>
      <c r="V2232" s="6"/>
      <c r="W2232" s="6"/>
      <c r="X2232" s="6"/>
      <c r="Y2232" s="6"/>
      <c r="Z2232" s="6"/>
      <c r="AA2232" s="6"/>
    </row>
    <row r="2233" ht="14.25" customHeight="1">
      <c r="A2233" s="6"/>
      <c r="B2233" s="6"/>
      <c r="C2233" s="6"/>
      <c r="D2233" s="6"/>
      <c r="E2233" s="6"/>
      <c r="F2233" s="6"/>
      <c r="G2233" s="6"/>
      <c r="H2233" s="6"/>
      <c r="I2233" s="6"/>
      <c r="J2233" s="6"/>
      <c r="K2233" s="6"/>
      <c r="L2233" s="6"/>
      <c r="M2233" s="6"/>
      <c r="N2233" s="6" t="str">
        <f t="shared" ref="N2233:P2233" si="5">IF(LEN($C2233)&gt;0,H2233-E2233,"")</f>
        <v/>
      </c>
      <c r="O2233" s="6" t="str">
        <f t="shared" si="5"/>
        <v/>
      </c>
      <c r="P2233" s="6" t="str">
        <f t="shared" si="5"/>
        <v/>
      </c>
      <c r="Q2233" s="6"/>
      <c r="R2233" s="6"/>
      <c r="S2233" s="6"/>
      <c r="T2233" s="6"/>
      <c r="U2233" s="6"/>
      <c r="V2233" s="6"/>
      <c r="W2233" s="6"/>
      <c r="X2233" s="6"/>
      <c r="Y2233" s="6"/>
      <c r="Z2233" s="6"/>
      <c r="AA2233" s="6"/>
    </row>
    <row r="2234" ht="14.25" customHeight="1">
      <c r="A2234" s="6"/>
      <c r="B2234" s="6"/>
      <c r="C2234" s="6"/>
      <c r="D2234" s="6"/>
      <c r="E2234" s="6"/>
      <c r="F2234" s="6"/>
      <c r="G2234" s="6"/>
      <c r="H2234" s="6"/>
      <c r="I2234" s="6"/>
      <c r="J2234" s="6"/>
      <c r="K2234" s="6"/>
      <c r="L2234" s="6"/>
      <c r="M2234" s="6"/>
      <c r="N2234" s="6" t="str">
        <f t="shared" ref="N2234:P2234" si="6">IF(LEN($C2234)&gt;0,H2234-E2234,"")</f>
        <v/>
      </c>
      <c r="O2234" s="6" t="str">
        <f t="shared" si="6"/>
        <v/>
      </c>
      <c r="P2234" s="6" t="str">
        <f t="shared" si="6"/>
        <v/>
      </c>
      <c r="Q2234" s="6"/>
      <c r="R2234" s="6"/>
      <c r="S2234" s="6"/>
      <c r="T2234" s="6"/>
      <c r="U2234" s="6"/>
      <c r="V2234" s="6"/>
      <c r="W2234" s="6"/>
      <c r="X2234" s="6"/>
      <c r="Y2234" s="6"/>
      <c r="Z2234" s="6"/>
      <c r="AA2234" s="6"/>
    </row>
  </sheetData>
  <mergeCells count="3">
    <mergeCell ref="C1:U1"/>
    <mergeCell ref="C2:U2"/>
    <mergeCell ref="F4:V4"/>
  </mergeCells>
  <hyperlinks>
    <hyperlink display="Home" location="Home!A1" ref="A6"/>
    <hyperlink display="Model set up" location="Setup!A1" ref="A8"/>
    <hyperlink display="Population" location="Population!A1" ref="A10"/>
  </hyperlinks>
  <printOptions/>
  <pageMargins bottom="0.75" footer="0.0" header="0.0" left="0.7" right="0.7" top="0.75"/>
  <pageSetup paperSize="9" orientation="portrait"/>
  <drawing r:id="rId1"/>
</worksheet>
</file>