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oudconvert\server\files\tasks\e8c00424-b198-4438-bdec-39beb986399e\"/>
    </mc:Choice>
  </mc:AlternateContent>
  <xr:revisionPtr revIDLastSave="0" documentId="8_{19F7141A-EEFF-4370-A709-00717EF058FE}" xr6:coauthVersionLast="47" xr6:coauthVersionMax="47" xr10:uidLastSave="{00000000-0000-0000-0000-000000000000}"/>
  <bookViews>
    <workbookView xWindow="1560" yWindow="1560" windowWidth="11520" windowHeight="7875" tabRatio="659" activeTab="1"/>
  </bookViews>
  <sheets>
    <sheet name="Master " sheetId="6" r:id="rId1"/>
    <sheet name="March 2023" sheetId="3" r:id="rId2"/>
    <sheet name="Pay Slip " sheetId="5" r:id="rId3"/>
  </sheets>
  <definedNames>
    <definedName name="_xlnm._FilterDatabase" localSheetId="1" hidden="1">'March 2023'!$A$7:$AI$7</definedName>
    <definedName name="_xlnm._FilterDatabase" localSheetId="0" hidden="1">'Master '!$A$3:$AR$3</definedName>
    <definedName name="_xlnm._FilterDatabase" localSheetId="2" hidden="1">'Pay Slip '!$B$8:$D$23</definedName>
    <definedName name="Emp_NAA">#REF!</definedName>
    <definedName name="EMP_NO">'March 2023'!$B$8:$B$36</definedName>
    <definedName name="_xlnm.Print_Area" localSheetId="2">'Pay Slip '!$A$1:$H$27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3" l="1"/>
  <c r="Z23" i="3" s="1"/>
  <c r="M23" i="3"/>
  <c r="S23" i="3" s="1"/>
  <c r="L23" i="3"/>
  <c r="I23" i="3"/>
  <c r="C23" i="3"/>
  <c r="X22" i="3"/>
  <c r="Z22" i="3" s="1"/>
  <c r="M22" i="3"/>
  <c r="S22" i="3" s="1"/>
  <c r="L22" i="3"/>
  <c r="I22" i="3"/>
  <c r="C22" i="3"/>
  <c r="M21" i="3"/>
  <c r="L21" i="3"/>
  <c r="I21" i="3"/>
  <c r="R21" i="3" s="1"/>
  <c r="C21" i="3"/>
  <c r="X20" i="3"/>
  <c r="M20" i="3"/>
  <c r="S20" i="3" s="1"/>
  <c r="L20" i="3"/>
  <c r="R20" i="3" s="1"/>
  <c r="I20" i="3"/>
  <c r="C20" i="3"/>
  <c r="X19" i="3"/>
  <c r="AG19" i="3" s="1"/>
  <c r="Z19" i="3"/>
  <c r="M19" i="3"/>
  <c r="L19" i="3"/>
  <c r="I19" i="3"/>
  <c r="C19" i="3"/>
  <c r="M18" i="3"/>
  <c r="L18" i="3"/>
  <c r="I18" i="3"/>
  <c r="C18" i="3"/>
  <c r="M17" i="3"/>
  <c r="L17" i="3"/>
  <c r="I17" i="3"/>
  <c r="C17" i="3"/>
  <c r="M16" i="3"/>
  <c r="L16" i="3"/>
  <c r="I16" i="3"/>
  <c r="C16" i="3"/>
  <c r="M15" i="3"/>
  <c r="L15" i="3"/>
  <c r="I15" i="3"/>
  <c r="S15" i="3" s="1"/>
  <c r="C15" i="3"/>
  <c r="X14" i="3"/>
  <c r="Z14" i="3"/>
  <c r="M14" i="3"/>
  <c r="S14" i="3" s="1"/>
  <c r="L14" i="3"/>
  <c r="R14" i="3" s="1"/>
  <c r="I14" i="3"/>
  <c r="C14" i="3"/>
  <c r="M13" i="3"/>
  <c r="S13" i="3" s="1"/>
  <c r="L13" i="3"/>
  <c r="I13" i="3"/>
  <c r="C13" i="3"/>
  <c r="M12" i="3"/>
  <c r="L12" i="3"/>
  <c r="R12" i="3" s="1"/>
  <c r="I12" i="3"/>
  <c r="C12" i="3"/>
  <c r="M11" i="3"/>
  <c r="L11" i="3"/>
  <c r="I11" i="3"/>
  <c r="C11" i="3"/>
  <c r="X10" i="3"/>
  <c r="Z10" i="3"/>
  <c r="M10" i="3"/>
  <c r="L10" i="3"/>
  <c r="I10" i="3"/>
  <c r="C10" i="3"/>
  <c r="X17" i="6"/>
  <c r="Y17" i="6"/>
  <c r="K21" i="3"/>
  <c r="AE17" i="6"/>
  <c r="X18" i="6"/>
  <c r="J22" i="3"/>
  <c r="AE18" i="6"/>
  <c r="X19" i="6"/>
  <c r="J23" i="3"/>
  <c r="AE19" i="6"/>
  <c r="X20" i="6"/>
  <c r="Y20" i="6"/>
  <c r="K24" i="3" s="1"/>
  <c r="Q24" i="3" s="1"/>
  <c r="AE20" i="6"/>
  <c r="X21" i="6"/>
  <c r="AE21" i="6"/>
  <c r="X22" i="6"/>
  <c r="J26" i="3"/>
  <c r="AE22" i="6"/>
  <c r="X23" i="6"/>
  <c r="Y23" i="6"/>
  <c r="AE23" i="6"/>
  <c r="X24" i="6"/>
  <c r="Y24" i="6"/>
  <c r="AE24" i="6"/>
  <c r="X25" i="6"/>
  <c r="J29" i="3" s="1"/>
  <c r="Y25" i="6"/>
  <c r="AE25" i="6"/>
  <c r="X26" i="6"/>
  <c r="Y26" i="6" s="1"/>
  <c r="AE26" i="6"/>
  <c r="X27" i="6"/>
  <c r="AE27" i="6"/>
  <c r="M26" i="3"/>
  <c r="L26" i="3"/>
  <c r="I26" i="3"/>
  <c r="C26" i="3"/>
  <c r="X25" i="3"/>
  <c r="M25" i="3"/>
  <c r="L25" i="3"/>
  <c r="R25" i="3" s="1"/>
  <c r="I25" i="3"/>
  <c r="C25" i="3"/>
  <c r="X24" i="3"/>
  <c r="Z24" i="3"/>
  <c r="M24" i="3"/>
  <c r="S24" i="3" s="1"/>
  <c r="L24" i="3"/>
  <c r="I24" i="3"/>
  <c r="C24" i="3"/>
  <c r="X9" i="3"/>
  <c r="Z9" i="3" s="1"/>
  <c r="M9" i="3"/>
  <c r="L9" i="3"/>
  <c r="I9" i="3"/>
  <c r="S9" i="3" s="1"/>
  <c r="C9" i="3"/>
  <c r="M30" i="3"/>
  <c r="L30" i="3"/>
  <c r="R30" i="3" s="1"/>
  <c r="I30" i="3"/>
  <c r="C30" i="3"/>
  <c r="X29" i="3"/>
  <c r="AG29" i="3" s="1"/>
  <c r="Z29" i="3"/>
  <c r="M29" i="3"/>
  <c r="L29" i="3"/>
  <c r="I29" i="3"/>
  <c r="C29" i="3"/>
  <c r="X28" i="3"/>
  <c r="Z28" i="3"/>
  <c r="M28" i="3"/>
  <c r="L28" i="3"/>
  <c r="R28" i="3" s="1"/>
  <c r="I28" i="3"/>
  <c r="C28" i="3"/>
  <c r="X27" i="3"/>
  <c r="Z27" i="3" s="1"/>
  <c r="M27" i="3"/>
  <c r="L27" i="3"/>
  <c r="R27" i="3" s="1"/>
  <c r="J27" i="3"/>
  <c r="I27" i="3"/>
  <c r="C27" i="3"/>
  <c r="X31" i="3"/>
  <c r="Z31" i="3" s="1"/>
  <c r="M31" i="3"/>
  <c r="L31" i="3"/>
  <c r="I31" i="3"/>
  <c r="S31" i="3" s="1"/>
  <c r="C31" i="3"/>
  <c r="X7" i="6"/>
  <c r="Y7" i="6"/>
  <c r="K11" i="3"/>
  <c r="AE7" i="6"/>
  <c r="X8" i="6"/>
  <c r="Y8" i="6"/>
  <c r="AB8" i="6"/>
  <c r="AD8" i="6" s="1"/>
  <c r="N12" i="3"/>
  <c r="T12" i="3" s="1"/>
  <c r="AE8" i="6"/>
  <c r="X9" i="6"/>
  <c r="AG9" i="6" s="1"/>
  <c r="Y9" i="6"/>
  <c r="K13" i="3" s="1"/>
  <c r="Q13" i="3" s="1"/>
  <c r="AE9" i="6"/>
  <c r="X10" i="6"/>
  <c r="Y10" i="6"/>
  <c r="K14" i="3" s="1"/>
  <c r="Q14" i="3" s="1"/>
  <c r="AE10" i="6"/>
  <c r="X11" i="6"/>
  <c r="J15" i="3" s="1"/>
  <c r="AE11" i="6"/>
  <c r="X12" i="6"/>
  <c r="J16" i="3"/>
  <c r="AE12" i="6"/>
  <c r="X13" i="6"/>
  <c r="Y13" i="6"/>
  <c r="K17" i="3" s="1"/>
  <c r="AE13" i="6"/>
  <c r="X14" i="6"/>
  <c r="AE14" i="6"/>
  <c r="X15" i="6"/>
  <c r="J19" i="3"/>
  <c r="AE15" i="6"/>
  <c r="X16" i="6"/>
  <c r="AG16" i="6"/>
  <c r="AE16" i="6"/>
  <c r="AE6" i="6"/>
  <c r="AE5" i="6"/>
  <c r="AE4" i="6"/>
  <c r="X5" i="6"/>
  <c r="X6" i="6"/>
  <c r="J10" i="3" s="1"/>
  <c r="Y6" i="6"/>
  <c r="K10" i="3" s="1"/>
  <c r="AB6" i="6"/>
  <c r="N10" i="3" s="1"/>
  <c r="X4" i="6"/>
  <c r="AC4" i="6" s="1"/>
  <c r="J8" i="3"/>
  <c r="G33" i="3"/>
  <c r="D11" i="5"/>
  <c r="C8" i="3"/>
  <c r="I8" i="3"/>
  <c r="S8" i="3" s="1"/>
  <c r="L8" i="3"/>
  <c r="M8" i="3"/>
  <c r="E33" i="3"/>
  <c r="F33" i="3"/>
  <c r="H33" i="3"/>
  <c r="AA33" i="3"/>
  <c r="AB33" i="3"/>
  <c r="AC33" i="3"/>
  <c r="H23" i="5"/>
  <c r="H22" i="5"/>
  <c r="D13" i="5"/>
  <c r="D12" i="5"/>
  <c r="D17" i="5"/>
  <c r="D16" i="5"/>
  <c r="D15" i="5"/>
  <c r="D10" i="5"/>
  <c r="H16" i="5"/>
  <c r="H15" i="5"/>
  <c r="H13" i="5"/>
  <c r="H12" i="5"/>
  <c r="H11" i="5"/>
  <c r="H10" i="5"/>
  <c r="H9" i="5"/>
  <c r="Y4" i="6"/>
  <c r="AB4" i="6" s="1"/>
  <c r="K8" i="3"/>
  <c r="Q8" i="3" s="1"/>
  <c r="AG31" i="3"/>
  <c r="AG27" i="3"/>
  <c r="AG24" i="3"/>
  <c r="AG23" i="3"/>
  <c r="AG14" i="3"/>
  <c r="AG28" i="3"/>
  <c r="AG9" i="3"/>
  <c r="AG22" i="3"/>
  <c r="AG10" i="3"/>
  <c r="Y19" i="6"/>
  <c r="AB19" i="6" s="1"/>
  <c r="N23" i="3" s="1"/>
  <c r="K23" i="3"/>
  <c r="J20" i="3"/>
  <c r="P20" i="3" s="1"/>
  <c r="J21" i="3"/>
  <c r="P21" i="3" s="1"/>
  <c r="J11" i="3"/>
  <c r="J12" i="3"/>
  <c r="P12" i="3"/>
  <c r="J14" i="3"/>
  <c r="K12" i="3"/>
  <c r="Q12" i="3" s="1"/>
  <c r="J17" i="3"/>
  <c r="S21" i="3"/>
  <c r="S12" i="3"/>
  <c r="P23" i="3"/>
  <c r="P22" i="3"/>
  <c r="R23" i="3"/>
  <c r="V23" i="3" s="1"/>
  <c r="W23" i="3" s="1"/>
  <c r="Q11" i="3"/>
  <c r="R26" i="3"/>
  <c r="R22" i="3"/>
  <c r="R11" i="3"/>
  <c r="R13" i="3"/>
  <c r="S28" i="3"/>
  <c r="P11" i="3"/>
  <c r="Q23" i="3"/>
  <c r="Q21" i="3"/>
  <c r="S26" i="3"/>
  <c r="S25" i="3"/>
  <c r="S27" i="3"/>
  <c r="R24" i="3"/>
  <c r="AB20" i="6"/>
  <c r="N24" i="3" s="1"/>
  <c r="T24" i="3" s="1"/>
  <c r="Y22" i="6"/>
  <c r="AB22" i="6" s="1"/>
  <c r="Y18" i="6"/>
  <c r="AB17" i="6"/>
  <c r="AD17" i="6" s="1"/>
  <c r="AG26" i="6"/>
  <c r="AG25" i="6"/>
  <c r="AG23" i="6"/>
  <c r="AG22" i="6"/>
  <c r="AG19" i="6"/>
  <c r="AG18" i="6"/>
  <c r="AG17" i="6"/>
  <c r="P27" i="3"/>
  <c r="S30" i="3"/>
  <c r="P26" i="3"/>
  <c r="AG5" i="6"/>
  <c r="AG15" i="6"/>
  <c r="AG12" i="6"/>
  <c r="AG11" i="6"/>
  <c r="AG8" i="6"/>
  <c r="AG7" i="6"/>
  <c r="AG4" i="6"/>
  <c r="Y16" i="6"/>
  <c r="Y15" i="6"/>
  <c r="Y12" i="6"/>
  <c r="K16" i="3" s="1"/>
  <c r="Y11" i="6"/>
  <c r="K15" i="3"/>
  <c r="AB7" i="6"/>
  <c r="AC6" i="6"/>
  <c r="AD4" i="6"/>
  <c r="D22" i="5"/>
  <c r="D14" i="5"/>
  <c r="AB12" i="6"/>
  <c r="N16" i="3" s="1"/>
  <c r="T16" i="3" s="1"/>
  <c r="K26" i="3"/>
  <c r="Q26" i="3" s="1"/>
  <c r="AD19" i="6"/>
  <c r="AB15" i="6"/>
  <c r="N19" i="3"/>
  <c r="K19" i="3"/>
  <c r="N21" i="3"/>
  <c r="AC17" i="6"/>
  <c r="AC19" i="6"/>
  <c r="AB18" i="6"/>
  <c r="AD18" i="6" s="1"/>
  <c r="AB11" i="6"/>
  <c r="N8" i="3"/>
  <c r="T8" i="3"/>
  <c r="D20" i="5"/>
  <c r="D21" i="5"/>
  <c r="D23" i="5"/>
  <c r="AC15" i="6"/>
  <c r="AD15" i="6"/>
  <c r="N15" i="3"/>
  <c r="T23" i="3"/>
  <c r="O23" i="3"/>
  <c r="D21" i="3"/>
  <c r="N22" i="3"/>
  <c r="T22" i="3" s="1"/>
  <c r="AH19" i="6"/>
  <c r="D23" i="3"/>
  <c r="T21" i="3"/>
  <c r="O19" i="3"/>
  <c r="O8" i="3"/>
  <c r="D19" i="5"/>
  <c r="D24" i="5"/>
  <c r="H17" i="5"/>
  <c r="H19" i="5"/>
  <c r="H24" i="5" s="1"/>
  <c r="H21" i="5"/>
  <c r="K28" i="3" l="1"/>
  <c r="Q28" i="3" s="1"/>
  <c r="AB24" i="6"/>
  <c r="P17" i="3"/>
  <c r="S17" i="3"/>
  <c r="O15" i="3"/>
  <c r="P15" i="3"/>
  <c r="Y27" i="6"/>
  <c r="K31" i="3" s="1"/>
  <c r="Q31" i="3" s="1"/>
  <c r="J31" i="3"/>
  <c r="AB27" i="6"/>
  <c r="N31" i="3" s="1"/>
  <c r="T31" i="3" s="1"/>
  <c r="AG27" i="6"/>
  <c r="AC27" i="6"/>
  <c r="Y21" i="6"/>
  <c r="K25" i="3" s="1"/>
  <c r="Q25" i="3" s="1"/>
  <c r="AG21" i="6"/>
  <c r="J25" i="3"/>
  <c r="R10" i="3"/>
  <c r="R17" i="3"/>
  <c r="Q15" i="3"/>
  <c r="Q17" i="3"/>
  <c r="H25" i="5"/>
  <c r="U23" i="3"/>
  <c r="S10" i="3"/>
  <c r="S33" i="3" s="1"/>
  <c r="T10" i="3"/>
  <c r="M33" i="3"/>
  <c r="S11" i="3"/>
  <c r="V11" i="3" s="1"/>
  <c r="W11" i="3" s="1"/>
  <c r="R19" i="3"/>
  <c r="S19" i="3"/>
  <c r="P19" i="3"/>
  <c r="T19" i="3"/>
  <c r="J18" i="3"/>
  <c r="AG14" i="6"/>
  <c r="Y14" i="6"/>
  <c r="R15" i="3"/>
  <c r="Z20" i="3"/>
  <c r="AG20" i="3"/>
  <c r="AD12" i="6"/>
  <c r="O14" i="3"/>
  <c r="P14" i="3"/>
  <c r="Q19" i="3"/>
  <c r="O12" i="3"/>
  <c r="Y23" i="3"/>
  <c r="AD23" i="3" s="1"/>
  <c r="AF23" i="3"/>
  <c r="U12" i="3"/>
  <c r="V12" i="3"/>
  <c r="W12" i="3" s="1"/>
  <c r="N26" i="3"/>
  <c r="T26" i="3" s="1"/>
  <c r="V26" i="3" s="1"/>
  <c r="W26" i="3" s="1"/>
  <c r="AD22" i="6"/>
  <c r="D10" i="3"/>
  <c r="Q16" i="3"/>
  <c r="O16" i="3"/>
  <c r="AG25" i="3"/>
  <c r="Z25" i="3"/>
  <c r="K30" i="3"/>
  <c r="Q30" i="3" s="1"/>
  <c r="K27" i="3"/>
  <c r="Q27" i="3" s="1"/>
  <c r="AB23" i="6"/>
  <c r="T15" i="3"/>
  <c r="AC8" i="6"/>
  <c r="U21" i="3"/>
  <c r="V21" i="3"/>
  <c r="W21" i="3" s="1"/>
  <c r="Q10" i="3"/>
  <c r="AG20" i="6"/>
  <c r="J24" i="3"/>
  <c r="AC20" i="6"/>
  <c r="AD20" i="6"/>
  <c r="R16" i="3"/>
  <c r="S16" i="3"/>
  <c r="AB26" i="6"/>
  <c r="N30" i="3" s="1"/>
  <c r="T30" i="3" s="1"/>
  <c r="K29" i="3"/>
  <c r="AC25" i="6"/>
  <c r="O21" i="3"/>
  <c r="I33" i="3"/>
  <c r="AD6" i="6"/>
  <c r="P16" i="3"/>
  <c r="J9" i="3"/>
  <c r="Y5" i="6"/>
  <c r="K9" i="3" s="1"/>
  <c r="AB5" i="6"/>
  <c r="R9" i="3"/>
  <c r="P29" i="3"/>
  <c r="V22" i="3"/>
  <c r="W22" i="3" s="1"/>
  <c r="D8" i="3"/>
  <c r="AH4" i="6"/>
  <c r="N11" i="3"/>
  <c r="T11" i="3" s="1"/>
  <c r="AD7" i="6"/>
  <c r="AC7" i="6"/>
  <c r="R31" i="3"/>
  <c r="S29" i="3"/>
  <c r="R29" i="3"/>
  <c r="R8" i="3"/>
  <c r="L33" i="3"/>
  <c r="AC13" i="6"/>
  <c r="AB10" i="6"/>
  <c r="N14" i="3" s="1"/>
  <c r="T14" i="3" s="1"/>
  <c r="AD10" i="6"/>
  <c r="AC10" i="6"/>
  <c r="AG10" i="6"/>
  <c r="S18" i="3"/>
  <c r="R18" i="3"/>
  <c r="K20" i="3"/>
  <c r="Q20" i="3" s="1"/>
  <c r="AB16" i="6"/>
  <c r="P10" i="3"/>
  <c r="O10" i="3"/>
  <c r="AC12" i="6"/>
  <c r="K22" i="3"/>
  <c r="AC18" i="6"/>
  <c r="D19" i="3"/>
  <c r="AH15" i="6"/>
  <c r="AC11" i="6"/>
  <c r="AD11" i="6"/>
  <c r="O26" i="3"/>
  <c r="AH17" i="6"/>
  <c r="P8" i="3"/>
  <c r="AC22" i="6"/>
  <c r="J13" i="3"/>
  <c r="AB13" i="6"/>
  <c r="AB9" i="6"/>
  <c r="J30" i="3"/>
  <c r="AD26" i="6"/>
  <c r="AD9" i="6"/>
  <c r="AG6" i="6"/>
  <c r="AH6" i="6" s="1"/>
  <c r="AG13" i="6"/>
  <c r="AG24" i="6"/>
  <c r="J28" i="3"/>
  <c r="AB25" i="6"/>
  <c r="Y26" i="3" l="1"/>
  <c r="AF26" i="3"/>
  <c r="K18" i="3"/>
  <c r="Q18" i="3" s="1"/>
  <c r="D14" i="3"/>
  <c r="AH10" i="6"/>
  <c r="AH20" i="6"/>
  <c r="D24" i="3"/>
  <c r="Y12" i="3"/>
  <c r="AF12" i="3"/>
  <c r="V14" i="3"/>
  <c r="W14" i="3" s="1"/>
  <c r="U14" i="3"/>
  <c r="AB14" i="6"/>
  <c r="AC14" i="6" s="1"/>
  <c r="U11" i="3"/>
  <c r="N9" i="3"/>
  <c r="O9" i="3" s="1"/>
  <c r="AD5" i="6"/>
  <c r="D29" i="3"/>
  <c r="AD23" i="6"/>
  <c r="N27" i="3"/>
  <c r="X12" i="3"/>
  <c r="D31" i="3"/>
  <c r="V8" i="3"/>
  <c r="U8" i="3"/>
  <c r="Q9" i="3"/>
  <c r="K33" i="3"/>
  <c r="P18" i="3"/>
  <c r="AC5" i="6"/>
  <c r="AC23" i="6"/>
  <c r="O30" i="3"/>
  <c r="P30" i="3"/>
  <c r="U26" i="3"/>
  <c r="P9" i="3"/>
  <c r="J33" i="3"/>
  <c r="AC26" i="6"/>
  <c r="AB21" i="6"/>
  <c r="V19" i="3"/>
  <c r="W19" i="3" s="1"/>
  <c r="U19" i="3"/>
  <c r="AC21" i="6"/>
  <c r="P28" i="3"/>
  <c r="O28" i="3"/>
  <c r="N13" i="3"/>
  <c r="T13" i="3" s="1"/>
  <c r="AC9" i="6"/>
  <c r="O11" i="3"/>
  <c r="Q22" i="3"/>
  <c r="U22" i="3" s="1"/>
  <c r="O22" i="3"/>
  <c r="R33" i="3"/>
  <c r="V16" i="3"/>
  <c r="W16" i="3" s="1"/>
  <c r="U16" i="3"/>
  <c r="Y21" i="3"/>
  <c r="AF21" i="3"/>
  <c r="P25" i="3"/>
  <c r="P13" i="3"/>
  <c r="U29" i="3"/>
  <c r="V29" i="3"/>
  <c r="W29" i="3" s="1"/>
  <c r="D12" i="3"/>
  <c r="AH8" i="6"/>
  <c r="Y11" i="3"/>
  <c r="AF11" i="3"/>
  <c r="V15" i="3"/>
  <c r="W15" i="3" s="1"/>
  <c r="U15" i="3"/>
  <c r="D26" i="3"/>
  <c r="AH22" i="6"/>
  <c r="U10" i="3"/>
  <c r="V10" i="3"/>
  <c r="W10" i="3" s="1"/>
  <c r="D15" i="3"/>
  <c r="AH11" i="6"/>
  <c r="AH7" i="6"/>
  <c r="D11" i="3"/>
  <c r="P24" i="3"/>
  <c r="O24" i="3"/>
  <c r="Q29" i="3"/>
  <c r="AC16" i="6"/>
  <c r="AD16" i="6"/>
  <c r="N20" i="3"/>
  <c r="D17" i="3"/>
  <c r="AH23" i="3"/>
  <c r="AE23" i="3"/>
  <c r="N28" i="3"/>
  <c r="T28" i="3" s="1"/>
  <c r="AD24" i="6"/>
  <c r="N29" i="3"/>
  <c r="T29" i="3" s="1"/>
  <c r="AD25" i="6"/>
  <c r="AH25" i="6" s="1"/>
  <c r="AH18" i="6"/>
  <c r="D22" i="3"/>
  <c r="P31" i="3"/>
  <c r="O31" i="3"/>
  <c r="N17" i="3"/>
  <c r="AD13" i="6"/>
  <c r="AH13" i="6" s="1"/>
  <c r="D16" i="3"/>
  <c r="AH12" i="6"/>
  <c r="AF22" i="3"/>
  <c r="Y22" i="3"/>
  <c r="AD22" i="3" s="1"/>
  <c r="X21" i="3"/>
  <c r="AC24" i="6"/>
  <c r="AD27" i="6"/>
  <c r="AH27" i="6" s="1"/>
  <c r="D18" i="3" l="1"/>
  <c r="Y29" i="3"/>
  <c r="AD29" i="3" s="1"/>
  <c r="AE29" i="3" s="1"/>
  <c r="AF29" i="3"/>
  <c r="AH29" i="3" s="1"/>
  <c r="T20" i="3"/>
  <c r="O20" i="3"/>
  <c r="X15" i="3"/>
  <c r="O13" i="3"/>
  <c r="X11" i="3"/>
  <c r="AH16" i="6"/>
  <c r="D20" i="3"/>
  <c r="V13" i="3"/>
  <c r="W13" i="3" s="1"/>
  <c r="U13" i="3"/>
  <c r="D25" i="3"/>
  <c r="Q33" i="3"/>
  <c r="Z12" i="3"/>
  <c r="AG12" i="3"/>
  <c r="AH12" i="3" s="1"/>
  <c r="T17" i="3"/>
  <c r="O17" i="3"/>
  <c r="U30" i="3"/>
  <c r="V30" i="3"/>
  <c r="W30" i="3" s="1"/>
  <c r="T27" i="3"/>
  <c r="O27" i="3"/>
  <c r="AE14" i="3"/>
  <c r="Z21" i="3"/>
  <c r="AG21" i="3"/>
  <c r="AH21" i="3" s="1"/>
  <c r="AE22" i="3"/>
  <c r="AH22" i="3"/>
  <c r="AF19" i="3"/>
  <c r="Y19" i="3"/>
  <c r="AD19" i="3" s="1"/>
  <c r="AE19" i="3" s="1"/>
  <c r="W8" i="3"/>
  <c r="AF14" i="3"/>
  <c r="AH14" i="3" s="1"/>
  <c r="Y14" i="3"/>
  <c r="AD14" i="3" s="1"/>
  <c r="X16" i="3"/>
  <c r="U24" i="3"/>
  <c r="V24" i="3"/>
  <c r="W24" i="3" s="1"/>
  <c r="T9" i="3"/>
  <c r="U28" i="3"/>
  <c r="V28" i="3"/>
  <c r="W28" i="3" s="1"/>
  <c r="D28" i="3"/>
  <c r="AH24" i="6"/>
  <c r="Y15" i="3"/>
  <c r="AF15" i="3"/>
  <c r="X26" i="3"/>
  <c r="N18" i="3"/>
  <c r="AD14" i="6"/>
  <c r="AH14" i="6" s="1"/>
  <c r="AH19" i="3"/>
  <c r="X8" i="3"/>
  <c r="U31" i="3"/>
  <c r="V31" i="3"/>
  <c r="W31" i="3" s="1"/>
  <c r="O29" i="3"/>
  <c r="Y10" i="3"/>
  <c r="AD10" i="3" s="1"/>
  <c r="AF10" i="3"/>
  <c r="N25" i="3"/>
  <c r="AD21" i="6"/>
  <c r="AH21" i="6" s="1"/>
  <c r="AH23" i="6"/>
  <c r="D27" i="3"/>
  <c r="P33" i="3"/>
  <c r="AF16" i="3"/>
  <c r="Y16" i="3"/>
  <c r="AE10" i="3"/>
  <c r="AH10" i="3"/>
  <c r="AD21" i="3"/>
  <c r="AE21" i="3" s="1"/>
  <c r="D13" i="3"/>
  <c r="AH9" i="6"/>
  <c r="AH26" i="6"/>
  <c r="D30" i="3"/>
  <c r="AH5" i="6"/>
  <c r="D9" i="3"/>
  <c r="D33" i="3" s="1"/>
  <c r="AD12" i="3"/>
  <c r="AE12" i="3" s="1"/>
  <c r="T25" i="3" l="1"/>
  <c r="O25" i="3"/>
  <c r="V9" i="3"/>
  <c r="V20" i="3"/>
  <c r="W20" i="3" s="1"/>
  <c r="U20" i="3"/>
  <c r="Y24" i="3"/>
  <c r="AD24" i="3" s="1"/>
  <c r="AF24" i="3"/>
  <c r="AE24" i="3"/>
  <c r="AH24" i="3"/>
  <c r="AE31" i="3"/>
  <c r="AH31" i="3"/>
  <c r="T18" i="3"/>
  <c r="O18" i="3"/>
  <c r="O33" i="3" s="1"/>
  <c r="Y28" i="3"/>
  <c r="AD28" i="3" s="1"/>
  <c r="AF28" i="3"/>
  <c r="AG16" i="3"/>
  <c r="AH16" i="3" s="1"/>
  <c r="Z16" i="3"/>
  <c r="AD16" i="3" s="1"/>
  <c r="AE16" i="3" s="1"/>
  <c r="Y30" i="3"/>
  <c r="AF30" i="3"/>
  <c r="Z11" i="3"/>
  <c r="AD11" i="3" s="1"/>
  <c r="AE11" i="3" s="1"/>
  <c r="AG11" i="3"/>
  <c r="AH11" i="3" s="1"/>
  <c r="AG8" i="3"/>
  <c r="Z8" i="3"/>
  <c r="X13" i="3"/>
  <c r="AF8" i="3"/>
  <c r="Y8" i="3"/>
  <c r="AF13" i="3"/>
  <c r="Y13" i="3"/>
  <c r="V17" i="3"/>
  <c r="W17" i="3" s="1"/>
  <c r="U17" i="3"/>
  <c r="Z15" i="3"/>
  <c r="AD15" i="3" s="1"/>
  <c r="AE15" i="3" s="1"/>
  <c r="AG15" i="3"/>
  <c r="AH15" i="3" s="1"/>
  <c r="Y31" i="3"/>
  <c r="AD31" i="3" s="1"/>
  <c r="AF31" i="3"/>
  <c r="U27" i="3"/>
  <c r="V27" i="3"/>
  <c r="W27" i="3" s="1"/>
  <c r="Z26" i="3"/>
  <c r="AD26" i="3" s="1"/>
  <c r="AE26" i="3" s="1"/>
  <c r="AG26" i="3"/>
  <c r="AH26" i="3" s="1"/>
  <c r="AH28" i="3"/>
  <c r="AE28" i="3"/>
  <c r="X30" i="3"/>
  <c r="N33" i="3"/>
  <c r="U9" i="3"/>
  <c r="X17" i="3" l="1"/>
  <c r="AH8" i="3"/>
  <c r="V18" i="3"/>
  <c r="W18" i="3" s="1"/>
  <c r="U18" i="3"/>
  <c r="W9" i="3"/>
  <c r="Y27" i="3"/>
  <c r="AD27" i="3" s="1"/>
  <c r="AF27" i="3"/>
  <c r="AD30" i="3"/>
  <c r="AE30" i="3" s="1"/>
  <c r="AH27" i="3"/>
  <c r="AE27" i="3"/>
  <c r="AG30" i="3"/>
  <c r="AH30" i="3" s="1"/>
  <c r="Z30" i="3"/>
  <c r="AF20" i="3"/>
  <c r="Y20" i="3"/>
  <c r="AD20" i="3" s="1"/>
  <c r="AE20" i="3" s="1"/>
  <c r="U33" i="3"/>
  <c r="Y17" i="3"/>
  <c r="AF17" i="3"/>
  <c r="AG13" i="3"/>
  <c r="AH13" i="3" s="1"/>
  <c r="Z13" i="3"/>
  <c r="AD13" i="3" s="1"/>
  <c r="AE13" i="3" s="1"/>
  <c r="T33" i="3"/>
  <c r="U25" i="3"/>
  <c r="V25" i="3"/>
  <c r="W25" i="3" s="1"/>
  <c r="AD8" i="3"/>
  <c r="AH20" i="3"/>
  <c r="V33" i="3" l="1"/>
  <c r="Z17" i="3"/>
  <c r="AG17" i="3"/>
  <c r="Y25" i="3"/>
  <c r="AD25" i="3" s="1"/>
  <c r="AE25" i="3" s="1"/>
  <c r="AF25" i="3"/>
  <c r="AH25" i="3" s="1"/>
  <c r="Y18" i="3"/>
  <c r="AF18" i="3"/>
  <c r="AE8" i="3"/>
  <c r="Y9" i="3"/>
  <c r="AF9" i="3"/>
  <c r="W33" i="3"/>
  <c r="AD17" i="3"/>
  <c r="AE17" i="3" s="1"/>
  <c r="X18" i="3"/>
  <c r="AH9" i="3" l="1"/>
  <c r="AF33" i="3"/>
  <c r="Z18" i="3"/>
  <c r="AD18" i="3" s="1"/>
  <c r="AE18" i="3" s="1"/>
  <c r="AG18" i="3"/>
  <c r="AH18" i="3" s="1"/>
  <c r="AD9" i="3"/>
  <c r="Y33" i="3"/>
  <c r="X33" i="3"/>
  <c r="AH17" i="3"/>
  <c r="AH33" i="3" l="1"/>
  <c r="AE9" i="3"/>
  <c r="AE33" i="3" s="1"/>
  <c r="AD33" i="3"/>
  <c r="Z33" i="3"/>
  <c r="AG33" i="3"/>
</calcChain>
</file>

<file path=xl/sharedStrings.xml><?xml version="1.0" encoding="utf-8"?>
<sst xmlns="http://schemas.openxmlformats.org/spreadsheetml/2006/main" count="281" uniqueCount="163">
  <si>
    <t>NAME OF THE</t>
  </si>
  <si>
    <t>HRA</t>
  </si>
  <si>
    <t>Other Allowance</t>
  </si>
  <si>
    <t>Total Earning PM</t>
  </si>
  <si>
    <t>Monthly Take Home</t>
  </si>
  <si>
    <t>Total Deduction</t>
  </si>
  <si>
    <t>PH</t>
  </si>
  <si>
    <t>WO</t>
  </si>
  <si>
    <t xml:space="preserve">Present Days </t>
  </si>
  <si>
    <t>Total</t>
  </si>
  <si>
    <t>SN</t>
  </si>
  <si>
    <t>ID</t>
  </si>
  <si>
    <t xml:space="preserve">Name </t>
  </si>
  <si>
    <t>DOB</t>
  </si>
  <si>
    <t>DOJ</t>
  </si>
  <si>
    <t xml:space="preserve">Designation </t>
  </si>
  <si>
    <t xml:space="preserve">Department </t>
  </si>
  <si>
    <t xml:space="preserve">Account Number </t>
  </si>
  <si>
    <t xml:space="preserve">PAN Number </t>
  </si>
  <si>
    <t xml:space="preserve">Married/UnMarried </t>
  </si>
  <si>
    <t>:</t>
  </si>
  <si>
    <t>Department</t>
  </si>
  <si>
    <t>MLWF</t>
  </si>
  <si>
    <t>Deductions</t>
  </si>
  <si>
    <t>Basic +DA</t>
  </si>
  <si>
    <t>Transport Allowances</t>
  </si>
  <si>
    <t>Medical Facilities</t>
  </si>
  <si>
    <t>Gross  PM Month</t>
  </si>
  <si>
    <t>Account No</t>
  </si>
  <si>
    <t>Amount</t>
  </si>
  <si>
    <t xml:space="preserve">Pay Slip Month OF </t>
  </si>
  <si>
    <t>Emp. No.</t>
  </si>
  <si>
    <t>Name of Employee</t>
  </si>
  <si>
    <t xml:space="preserve">Paid Holidays </t>
  </si>
  <si>
    <t>IT Pan No.</t>
  </si>
  <si>
    <t>Name of Bank</t>
  </si>
  <si>
    <t xml:space="preserve">Earnings </t>
  </si>
  <si>
    <t>Basic + DA</t>
  </si>
  <si>
    <t>Gross Earning</t>
  </si>
  <si>
    <t>Net Take</t>
  </si>
  <si>
    <t>This is computer Generated Pay Slip, Hence Seal &amp; Signature not required</t>
  </si>
  <si>
    <t>Weekly Off</t>
  </si>
  <si>
    <t xml:space="preserve">Paid Days </t>
  </si>
  <si>
    <t>Gross Salary</t>
  </si>
  <si>
    <t xml:space="preserve">PF Number </t>
  </si>
  <si>
    <t xml:space="preserve">UAN Number </t>
  </si>
  <si>
    <t>Gross Salary PM</t>
  </si>
  <si>
    <t>PF</t>
  </si>
  <si>
    <t>ESIC</t>
  </si>
  <si>
    <t>PT</t>
  </si>
  <si>
    <t>ESIC No</t>
  </si>
  <si>
    <t xml:space="preserve">ESIC Number </t>
  </si>
  <si>
    <t xml:space="preserve">UAN </t>
  </si>
  <si>
    <t xml:space="preserve">Father/Husband's Name </t>
  </si>
  <si>
    <t xml:space="preserve">Aadhar Number </t>
  </si>
  <si>
    <t xml:space="preserve">DOJ for PF </t>
  </si>
  <si>
    <t>Male/Female</t>
  </si>
  <si>
    <t xml:space="preserve">IFSC Code </t>
  </si>
  <si>
    <t>Employee ID</t>
  </si>
  <si>
    <t xml:space="preserve">Scheduled Salary </t>
  </si>
  <si>
    <t xml:space="preserve">Earning Salary </t>
  </si>
  <si>
    <t xml:space="preserve">Deductions </t>
  </si>
  <si>
    <t>Client ID</t>
  </si>
  <si>
    <t>HR</t>
  </si>
  <si>
    <t xml:space="preserve">SITE NAME </t>
  </si>
  <si>
    <t>CLIENT NAME</t>
  </si>
  <si>
    <t>CORP. OFFICE</t>
  </si>
  <si>
    <t>UNMARRIED</t>
  </si>
  <si>
    <t>TMG&amp;PS</t>
  </si>
  <si>
    <t xml:space="preserve">Medical Facilities </t>
  </si>
  <si>
    <t>BHARAT</t>
  </si>
  <si>
    <t>Mail ID</t>
  </si>
  <si>
    <t xml:space="preserve">Name client Address </t>
  </si>
  <si>
    <t xml:space="preserve">Adhar Number </t>
  </si>
  <si>
    <t xml:space="preserve">Site Name </t>
  </si>
  <si>
    <t>ESIC Salary</t>
  </si>
  <si>
    <t>Other</t>
  </si>
  <si>
    <t>F</t>
  </si>
  <si>
    <t>M</t>
  </si>
  <si>
    <t>FATHER/SPOUSE  ( F/S)</t>
  </si>
  <si>
    <t>Advance</t>
  </si>
  <si>
    <t>TMG0027</t>
  </si>
  <si>
    <t>SUSHANT KADLAG</t>
  </si>
  <si>
    <t>PF ID</t>
  </si>
  <si>
    <t>25.02.1992</t>
  </si>
  <si>
    <t>20.03.2017</t>
  </si>
  <si>
    <t>LTA</t>
  </si>
  <si>
    <t>ARCHIT RAMDAS AWARI</t>
  </si>
  <si>
    <t>RAMDAS</t>
  </si>
  <si>
    <t>28.01.1997</t>
  </si>
  <si>
    <t>01.06.2018</t>
  </si>
  <si>
    <t>Paid leaves</t>
  </si>
  <si>
    <t>Total PF Wages</t>
  </si>
  <si>
    <t>Final PF Wages</t>
  </si>
  <si>
    <t>PF WAGES</t>
  </si>
  <si>
    <t>SR EXECUTIVE - HR OPERATIONS</t>
  </si>
  <si>
    <t>ASSISTANT MANAGER - ACCOUNTS</t>
  </si>
  <si>
    <t>ACCOUNTS</t>
  </si>
  <si>
    <t>Company name</t>
  </si>
  <si>
    <t>Statement Of Salary For The Month of March 2023</t>
  </si>
  <si>
    <t>Paid Leaves</t>
  </si>
  <si>
    <t>Basic +DA (50%)</t>
  </si>
  <si>
    <t>HRA (40% ON Basic)</t>
  </si>
  <si>
    <t>LTA (Remaining Amount)</t>
  </si>
  <si>
    <t xml:space="preserve">June </t>
  </si>
  <si>
    <t>Dec</t>
  </si>
  <si>
    <t xml:space="preserve">Sandesh sable </t>
  </si>
  <si>
    <t>Employer PF</t>
  </si>
  <si>
    <t>Employer ESIC</t>
  </si>
  <si>
    <t>Gratutiy</t>
  </si>
  <si>
    <t>Category</t>
  </si>
  <si>
    <t>Skilled</t>
  </si>
  <si>
    <t>Total CTC</t>
  </si>
  <si>
    <t>unskilled</t>
  </si>
  <si>
    <t>semi skilled</t>
  </si>
  <si>
    <t>MAHESH SHINDE</t>
  </si>
  <si>
    <t>RAHUL DESHMUKH</t>
  </si>
  <si>
    <t>SUCHIT BODAKE</t>
  </si>
  <si>
    <t>MANTHAN MAKODE</t>
  </si>
  <si>
    <t>ATHARV KAKADE</t>
  </si>
  <si>
    <t>ARYAN SALUNKE</t>
  </si>
  <si>
    <t>SANIKA KHARADE</t>
  </si>
  <si>
    <t>MAHI JOSHI</t>
  </si>
  <si>
    <t>MANIK DHAMALE</t>
  </si>
  <si>
    <t>RUSHIKESH WAKALE</t>
  </si>
  <si>
    <t>SANDESH CHOKHANDE</t>
  </si>
  <si>
    <t>AMIT BHANGARE</t>
  </si>
  <si>
    <t>VISHAL DESHMUKH</t>
  </si>
  <si>
    <t>JAGDISH HANDE</t>
  </si>
  <si>
    <t>HARSH MEHTA</t>
  </si>
  <si>
    <t>SAMRUDHI SABALE</t>
  </si>
  <si>
    <t>RUTUJA KALE</t>
  </si>
  <si>
    <t>SHRUTI EMGARKAR</t>
  </si>
  <si>
    <t xml:space="preserve">VAISHNAVI </t>
  </si>
  <si>
    <t>AKSHADA</t>
  </si>
  <si>
    <t>YUKTA</t>
  </si>
  <si>
    <t>SEB00001</t>
  </si>
  <si>
    <t>SEB00002</t>
  </si>
  <si>
    <t>SEB00003</t>
  </si>
  <si>
    <t>SEB00004</t>
  </si>
  <si>
    <t>SEB00005</t>
  </si>
  <si>
    <t>SEB00006</t>
  </si>
  <si>
    <t>SEB00007</t>
  </si>
  <si>
    <t>SEB00008</t>
  </si>
  <si>
    <t>SEB00009</t>
  </si>
  <si>
    <t>SEB00010</t>
  </si>
  <si>
    <t>SEB00011</t>
  </si>
  <si>
    <t>SEB00012</t>
  </si>
  <si>
    <t>SEB00013</t>
  </si>
  <si>
    <t>SEB00014</t>
  </si>
  <si>
    <t>SEB00015</t>
  </si>
  <si>
    <t>SEB00016</t>
  </si>
  <si>
    <t>SEB00017</t>
  </si>
  <si>
    <t>SEB00018</t>
  </si>
  <si>
    <t>SEB00019</t>
  </si>
  <si>
    <t>SEB00020</t>
  </si>
  <si>
    <t>SEB00021</t>
  </si>
  <si>
    <t>SEB00022</t>
  </si>
  <si>
    <t>SEB00023</t>
  </si>
  <si>
    <t>SEB00024</t>
  </si>
  <si>
    <t>EMPLOYER PF</t>
  </si>
  <si>
    <t>EMPLOYER ESIC</t>
  </si>
  <si>
    <t>CTC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</si>
</sst>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90" formatCode="_(* #,##0_);_(* \(#,##0\);_(* &quot;-&quot;??_);_(@_)"/>
    <numFmt numFmtId="192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 applyProtection="1">
      <alignment horizontal="center" vertical="center"/>
      <protection hidden="1"/>
    </xf>
    <xf numFmtId="17" fontId="8" fillId="0" borderId="0" xfId="0" applyNumberFormat="1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left"/>
      <protection hidden="1"/>
    </xf>
    <xf numFmtId="0" fontId="8" fillId="0" borderId="2" xfId="0" applyFont="1" applyBorder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8" fillId="0" borderId="0" xfId="0" applyFont="1" applyProtection="1">
      <protection hidden="1"/>
    </xf>
    <xf numFmtId="2" fontId="7" fillId="0" borderId="0" xfId="0" applyNumberFormat="1" applyFont="1" applyAlignment="1" applyProtection="1">
      <alignment horizontal="left"/>
      <protection hidden="1"/>
    </xf>
    <xf numFmtId="2" fontId="7" fillId="0" borderId="0" xfId="0" applyNumberFormat="1" applyFont="1" applyProtection="1">
      <protection hidden="1"/>
    </xf>
    <xf numFmtId="2" fontId="8" fillId="0" borderId="0" xfId="0" applyNumberFormat="1" applyFont="1" applyAlignment="1" applyProtection="1">
      <alignment horizontal="center"/>
      <protection hidden="1"/>
    </xf>
    <xf numFmtId="192" fontId="7" fillId="0" borderId="0" xfId="0" applyNumberFormat="1" applyFont="1" applyAlignment="1" applyProtection="1">
      <alignment horizontal="left"/>
      <protection hidden="1"/>
    </xf>
    <xf numFmtId="2" fontId="7" fillId="0" borderId="1" xfId="0" applyNumberFormat="1" applyFont="1" applyBorder="1" applyProtection="1"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2" fontId="10" fillId="0" borderId="0" xfId="6" applyNumberFormat="1" applyFont="1" applyAlignment="1" applyProtection="1">
      <alignment horizontal="left"/>
      <protection hidden="1"/>
    </xf>
    <xf numFmtId="2" fontId="10" fillId="0" borderId="0" xfId="6" applyNumberFormat="1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Protection="1">
      <protection hidden="1"/>
    </xf>
    <xf numFmtId="2" fontId="8" fillId="0" borderId="3" xfId="0" applyNumberFormat="1" applyFont="1" applyBorder="1" applyAlignment="1" applyProtection="1">
      <alignment horizontal="left" vertical="center"/>
      <protection hidden="1"/>
    </xf>
    <xf numFmtId="2" fontId="8" fillId="0" borderId="3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2" fontId="7" fillId="0" borderId="0" xfId="0" applyNumberFormat="1" applyFont="1" applyAlignment="1" applyProtection="1">
      <alignment horizontal="left" vertical="center"/>
      <protection hidden="1"/>
    </xf>
    <xf numFmtId="2" fontId="7" fillId="0" borderId="0" xfId="0" applyNumberFormat="1" applyFon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1" fontId="14" fillId="0" borderId="4" xfId="0" applyNumberFormat="1" applyFont="1" applyBorder="1" applyAlignment="1">
      <alignment horizontal="left"/>
    </xf>
    <xf numFmtId="1" fontId="14" fillId="0" borderId="4" xfId="0" applyNumberFormat="1" applyFont="1" applyBorder="1"/>
    <xf numFmtId="1" fontId="13" fillId="0" borderId="0" xfId="0" applyNumberFormat="1" applyFont="1"/>
    <xf numFmtId="0" fontId="14" fillId="0" borderId="4" xfId="0" applyFont="1" applyBorder="1"/>
    <xf numFmtId="0" fontId="14" fillId="0" borderId="4" xfId="0" applyFont="1" applyBorder="1" applyAlignment="1">
      <alignment horizontal="left"/>
    </xf>
    <xf numFmtId="2" fontId="14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17" fontId="13" fillId="0" borderId="4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3" fillId="0" borderId="4" xfId="0" applyFont="1" applyBorder="1"/>
    <xf numFmtId="1" fontId="13" fillId="0" borderId="4" xfId="0" applyNumberFormat="1" applyFont="1" applyBorder="1"/>
    <xf numFmtId="1" fontId="13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14" fontId="13" fillId="0" borderId="4" xfId="0" applyNumberFormat="1" applyFont="1" applyBorder="1"/>
    <xf numFmtId="2" fontId="13" fillId="0" borderId="0" xfId="0" applyNumberFormat="1" applyFont="1"/>
    <xf numFmtId="15" fontId="13" fillId="0" borderId="4" xfId="0" applyNumberFormat="1" applyFont="1" applyBorder="1"/>
    <xf numFmtId="1" fontId="13" fillId="0" borderId="0" xfId="0" applyNumberFormat="1" applyFont="1" applyAlignment="1">
      <alignment horizontal="left"/>
    </xf>
    <xf numFmtId="0" fontId="11" fillId="0" borderId="0" xfId="0" applyFont="1" applyAlignment="1">
      <alignment horizontal="right" vertical="center"/>
    </xf>
    <xf numFmtId="190" fontId="11" fillId="0" borderId="0" xfId="0" applyNumberFormat="1" applyFont="1" applyAlignment="1">
      <alignment vertical="center"/>
    </xf>
    <xf numFmtId="1" fontId="13" fillId="3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left"/>
    </xf>
    <xf numFmtId="190" fontId="12" fillId="0" borderId="4" xfId="1" applyNumberFormat="1" applyFont="1" applyFill="1" applyBorder="1" applyAlignment="1">
      <alignment horizontal="center" vertical="center"/>
    </xf>
    <xf numFmtId="190" fontId="12" fillId="0" borderId="4" xfId="1" applyNumberFormat="1" applyFont="1" applyFill="1" applyBorder="1" applyAlignment="1">
      <alignment horizontal="right" vertical="center"/>
    </xf>
    <xf numFmtId="190" fontId="11" fillId="0" borderId="4" xfId="1" applyNumberFormat="1" applyFont="1" applyFill="1" applyBorder="1" applyAlignment="1">
      <alignment vertical="center"/>
    </xf>
    <xf numFmtId="190" fontId="11" fillId="0" borderId="4" xfId="1" applyNumberFormat="1" applyFont="1" applyFill="1" applyBorder="1"/>
    <xf numFmtId="1" fontId="11" fillId="0" borderId="4" xfId="0" applyNumberFormat="1" applyFont="1" applyFill="1" applyBorder="1"/>
    <xf numFmtId="43" fontId="11" fillId="0" borderId="4" xfId="0" applyNumberFormat="1" applyFont="1" applyFill="1" applyBorder="1"/>
    <xf numFmtId="190" fontId="11" fillId="0" borderId="4" xfId="0" applyNumberFormat="1" applyFont="1" applyFill="1" applyBorder="1"/>
    <xf numFmtId="0" fontId="11" fillId="0" borderId="0" xfId="0" applyFont="1" applyFill="1"/>
    <xf numFmtId="190" fontId="11" fillId="0" borderId="0" xfId="0" applyNumberFormat="1" applyFont="1" applyFill="1"/>
    <xf numFmtId="0" fontId="15" fillId="0" borderId="4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7" fillId="0" borderId="2" xfId="0" applyFont="1" applyBorder="1"/>
    <xf numFmtId="0" fontId="7" fillId="0" borderId="0" xfId="0" applyFont="1" applyBorder="1" applyProtection="1">
      <protection hidden="1"/>
    </xf>
    <xf numFmtId="0" fontId="10" fillId="0" borderId="0" xfId="0" applyFont="1" applyBorder="1"/>
    <xf numFmtId="0" fontId="7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7" fillId="0" borderId="0" xfId="0" applyNumberFormat="1" applyFont="1" applyBorder="1" applyAlignment="1" applyProtection="1">
      <alignment horizontal="left"/>
      <protection hidden="1"/>
    </xf>
    <xf numFmtId="2" fontId="7" fillId="0" borderId="2" xfId="0" applyNumberFormat="1" applyFont="1" applyBorder="1" applyAlignment="1" applyProtection="1">
      <alignment horizontal="left"/>
      <protection hidden="1"/>
    </xf>
    <xf numFmtId="2" fontId="7" fillId="0" borderId="0" xfId="0" applyNumberFormat="1" applyFont="1" applyBorder="1" applyAlignment="1" applyProtection="1">
      <alignment horizontal="left"/>
      <protection hidden="1"/>
    </xf>
    <xf numFmtId="2" fontId="8" fillId="0" borderId="0" xfId="0" applyNumberFormat="1" applyFont="1" applyBorder="1" applyAlignment="1" applyProtection="1">
      <alignment horizontal="left" vertical="center"/>
      <protection hidden="1"/>
    </xf>
    <xf numFmtId="0" fontId="13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190" fontId="12" fillId="0" borderId="4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90" fontId="11" fillId="0" borderId="0" xfId="0" applyNumberFormat="1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" fontId="14" fillId="2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190" fontId="12" fillId="3" borderId="4" xfId="1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vertical="center" wrapText="1"/>
    </xf>
    <xf numFmtId="190" fontId="11" fillId="0" borderId="4" xfId="0" applyNumberFormat="1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left" vertical="center"/>
      <protection hidden="1"/>
    </xf>
    <xf numFmtId="0" fontId="16" fillId="0" borderId="0" xfId="0" applyFont="1" applyAlignment="1">
      <alignment horizontal="center"/>
    </xf>
    <xf numFmtId="0" fontId="9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2"/>
    <cellStyle name="Comma 2 2" xfId="3"/>
    <cellStyle name="Nor}al" xfId="4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7"/>
  <sheetViews>
    <sheetView zoomScale="85" zoomScaleNormal="85" zoomScalePageLayoutView="85" workbookViewId="0">
      <selection activeCell="B4" sqref="B4:B27"/>
    </sheetView>
  </sheetViews>
  <sheetFormatPr defaultColWidth="11.42578125" defaultRowHeight="12.75" x14ac:dyDescent="0.2"/>
  <cols>
    <col min="1" max="1" width="5.42578125" style="52" bestFit="1" customWidth="1"/>
    <col min="2" max="2" width="11" style="52" customWidth="1"/>
    <col min="3" max="3" width="10.7109375" style="107" bestFit="1" customWidth="1"/>
    <col min="4" max="4" width="25.7109375" style="52" bestFit="1" customWidth="1"/>
    <col min="5" max="5" width="13.28515625" style="52" customWidth="1"/>
    <col min="6" max="6" width="11.28515625" style="52" customWidth="1"/>
    <col min="7" max="9" width="11.7109375" style="52" customWidth="1"/>
    <col min="10" max="10" width="13.42578125" style="52" customWidth="1"/>
    <col min="11" max="11" width="30.7109375" style="52" customWidth="1"/>
    <col min="12" max="13" width="13.42578125" style="52" customWidth="1"/>
    <col min="14" max="14" width="15.42578125" style="52" customWidth="1"/>
    <col min="15" max="15" width="14.28515625" style="52" customWidth="1"/>
    <col min="16" max="16" width="18.28515625" style="56" customWidth="1"/>
    <col min="17" max="17" width="24.28515625" style="52" customWidth="1"/>
    <col min="18" max="18" width="18.7109375" style="72" customWidth="1"/>
    <col min="19" max="19" width="14.7109375" style="52" bestFit="1" customWidth="1"/>
    <col min="20" max="20" width="12.28515625" style="107" customWidth="1"/>
    <col min="21" max="21" width="25.28515625" style="52" bestFit="1" customWidth="1"/>
    <col min="22" max="22" width="14.42578125" style="52" customWidth="1"/>
    <col min="23" max="23" width="14.28515625" style="123" customWidth="1"/>
    <col min="24" max="24" width="13" style="123" customWidth="1"/>
    <col min="25" max="25" width="9" style="123" customWidth="1"/>
    <col min="26" max="27" width="13.7109375" style="123" customWidth="1"/>
    <col min="28" max="28" width="9.42578125" style="123" bestFit="1" customWidth="1"/>
    <col min="29" max="34" width="11" style="123" customWidth="1"/>
    <col min="35" max="35" width="18.28515625" style="123" bestFit="1" customWidth="1"/>
    <col min="36" max="36" width="9.42578125" style="52" bestFit="1" customWidth="1"/>
    <col min="37" max="37" width="22.42578125" style="52" bestFit="1" customWidth="1"/>
    <col min="38" max="38" width="11.42578125" style="52" bestFit="1" customWidth="1"/>
    <col min="39" max="39" width="6.7109375" style="52" customWidth="1"/>
    <col min="40" max="40" width="3" style="52" bestFit="1" customWidth="1"/>
    <col min="41" max="41" width="13.28515625" style="52" bestFit="1" customWidth="1"/>
    <col min="42" max="42" width="22.42578125" style="70" bestFit="1" customWidth="1"/>
    <col min="43" max="16384" width="11.42578125" style="52"/>
  </cols>
  <sheetData>
    <row r="2" spans="1:44" s="53" customFormat="1" x14ac:dyDescent="0.2">
      <c r="A2" s="57"/>
      <c r="B2" s="57">
        <v>1</v>
      </c>
      <c r="C2" s="58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57">
        <v>12</v>
      </c>
      <c r="N2" s="57">
        <v>13</v>
      </c>
      <c r="O2" s="57">
        <v>14</v>
      </c>
      <c r="P2" s="55">
        <v>15</v>
      </c>
      <c r="Q2" s="57">
        <v>16</v>
      </c>
      <c r="R2" s="54">
        <v>17</v>
      </c>
      <c r="S2" s="57">
        <v>18</v>
      </c>
      <c r="T2" s="58">
        <v>19</v>
      </c>
      <c r="U2" s="57">
        <v>20</v>
      </c>
      <c r="V2" s="57">
        <v>21</v>
      </c>
      <c r="W2" s="122">
        <v>22</v>
      </c>
      <c r="X2" s="122">
        <v>23</v>
      </c>
      <c r="Y2" s="122">
        <v>24</v>
      </c>
      <c r="Z2" s="122">
        <v>25</v>
      </c>
      <c r="AA2" s="122">
        <v>26</v>
      </c>
      <c r="AB2" s="122">
        <v>27</v>
      </c>
      <c r="AC2" s="122">
        <v>28</v>
      </c>
      <c r="AD2" s="122"/>
      <c r="AE2" s="122"/>
      <c r="AF2" s="122"/>
      <c r="AG2" s="122"/>
      <c r="AH2" s="122"/>
      <c r="AI2" s="122">
        <v>29</v>
      </c>
      <c r="AJ2" s="57">
        <v>30</v>
      </c>
      <c r="AK2" s="57">
        <v>31</v>
      </c>
      <c r="AL2" s="57">
        <v>32</v>
      </c>
      <c r="AM2" s="57">
        <v>33</v>
      </c>
      <c r="AN2" s="57">
        <v>34</v>
      </c>
      <c r="AP2" s="59"/>
    </row>
    <row r="3" spans="1:44" s="116" customFormat="1" ht="51" x14ac:dyDescent="0.25">
      <c r="A3" s="61" t="s">
        <v>10</v>
      </c>
      <c r="B3" s="61" t="s">
        <v>11</v>
      </c>
      <c r="C3" s="61" t="s">
        <v>62</v>
      </c>
      <c r="D3" s="61" t="s">
        <v>12</v>
      </c>
      <c r="E3" s="61" t="s">
        <v>53</v>
      </c>
      <c r="F3" s="61" t="s">
        <v>56</v>
      </c>
      <c r="G3" s="61" t="s">
        <v>13</v>
      </c>
      <c r="H3" s="61" t="s">
        <v>14</v>
      </c>
      <c r="I3" s="61" t="s">
        <v>55</v>
      </c>
      <c r="J3" s="61" t="s">
        <v>19</v>
      </c>
      <c r="K3" s="61" t="s">
        <v>15</v>
      </c>
      <c r="L3" s="61" t="s">
        <v>16</v>
      </c>
      <c r="M3" s="61" t="s">
        <v>64</v>
      </c>
      <c r="N3" s="61" t="s">
        <v>65</v>
      </c>
      <c r="O3" s="61" t="s">
        <v>18</v>
      </c>
      <c r="P3" s="115" t="s">
        <v>54</v>
      </c>
      <c r="Q3" s="61" t="s">
        <v>35</v>
      </c>
      <c r="R3" s="115" t="s">
        <v>17</v>
      </c>
      <c r="S3" s="61" t="s">
        <v>57</v>
      </c>
      <c r="T3" s="61" t="s">
        <v>50</v>
      </c>
      <c r="U3" s="61" t="s">
        <v>44</v>
      </c>
      <c r="V3" s="61" t="s">
        <v>45</v>
      </c>
      <c r="W3" s="61" t="s">
        <v>46</v>
      </c>
      <c r="X3" s="60" t="s">
        <v>101</v>
      </c>
      <c r="Y3" s="60" t="s">
        <v>102</v>
      </c>
      <c r="Z3" s="60" t="s">
        <v>25</v>
      </c>
      <c r="AA3" s="61" t="s">
        <v>26</v>
      </c>
      <c r="AB3" s="61" t="s">
        <v>103</v>
      </c>
      <c r="AC3" s="61" t="s">
        <v>46</v>
      </c>
      <c r="AD3" s="61" t="s">
        <v>107</v>
      </c>
      <c r="AE3" s="61" t="s">
        <v>108</v>
      </c>
      <c r="AF3" s="61" t="s">
        <v>22</v>
      </c>
      <c r="AG3" s="61" t="s">
        <v>109</v>
      </c>
      <c r="AH3" s="61" t="s">
        <v>112</v>
      </c>
      <c r="AI3" s="61" t="s">
        <v>110</v>
      </c>
      <c r="AJ3" s="61" t="s">
        <v>71</v>
      </c>
      <c r="AK3" s="61" t="s">
        <v>72</v>
      </c>
      <c r="AL3" s="61" t="s">
        <v>79</v>
      </c>
      <c r="AM3" s="61" t="s">
        <v>83</v>
      </c>
      <c r="AN3" s="61"/>
      <c r="AP3" s="117"/>
    </row>
    <row r="4" spans="1:44" x14ac:dyDescent="0.2">
      <c r="A4" s="65">
        <v>1</v>
      </c>
      <c r="B4" s="68" t="s">
        <v>136</v>
      </c>
      <c r="C4" s="87"/>
      <c r="D4" s="65" t="s">
        <v>82</v>
      </c>
      <c r="E4" s="65" t="s">
        <v>70</v>
      </c>
      <c r="F4" s="62" t="s">
        <v>78</v>
      </c>
      <c r="G4" s="69" t="s">
        <v>84</v>
      </c>
      <c r="H4" s="69" t="s">
        <v>85</v>
      </c>
      <c r="I4" s="69" t="s">
        <v>85</v>
      </c>
      <c r="J4" s="65" t="s">
        <v>67</v>
      </c>
      <c r="K4" s="65" t="s">
        <v>95</v>
      </c>
      <c r="L4" s="65" t="s">
        <v>63</v>
      </c>
      <c r="M4" s="64" t="s">
        <v>66</v>
      </c>
      <c r="N4" s="64" t="s">
        <v>68</v>
      </c>
      <c r="O4" s="65"/>
      <c r="P4" s="66"/>
      <c r="Q4" s="65"/>
      <c r="R4" s="75"/>
      <c r="S4" s="65"/>
      <c r="T4" s="63"/>
      <c r="U4" s="65"/>
      <c r="V4" s="66"/>
      <c r="W4" s="120">
        <v>20000</v>
      </c>
      <c r="X4" s="121">
        <f>W4*50%</f>
        <v>10000</v>
      </c>
      <c r="Y4" s="121">
        <f>X4*40%</f>
        <v>4000</v>
      </c>
      <c r="Z4" s="121">
        <v>2083</v>
      </c>
      <c r="AA4" s="121">
        <v>2083</v>
      </c>
      <c r="AB4" s="120">
        <f>W4-X4-Y4-Z4-AA4</f>
        <v>1834</v>
      </c>
      <c r="AC4" s="120">
        <f>SUM(X4:AB4)</f>
        <v>20000</v>
      </c>
      <c r="AD4" s="120">
        <f>((IF((X4+Z4+AA4+AB4)&gt;15000,15000,W4))*13%)</f>
        <v>1950</v>
      </c>
      <c r="AE4" s="120">
        <f>(IF((W4)&lt;21001,W4,0))*3.25%</f>
        <v>650</v>
      </c>
      <c r="AF4" s="120">
        <v>6</v>
      </c>
      <c r="AG4" s="120">
        <f>X4*4.81%</f>
        <v>480.99999999999994</v>
      </c>
      <c r="AH4" s="120">
        <f>SUM(AC4:AG4)</f>
        <v>23087</v>
      </c>
      <c r="AI4" s="121" t="s">
        <v>114</v>
      </c>
      <c r="AJ4" s="65"/>
      <c r="AK4" s="65"/>
      <c r="AL4" s="65" t="s">
        <v>77</v>
      </c>
      <c r="AM4" s="65">
        <v>10027</v>
      </c>
      <c r="AN4" s="65"/>
      <c r="AO4" s="56"/>
      <c r="AP4" s="56"/>
      <c r="AQ4" s="56"/>
      <c r="AR4" s="56"/>
    </row>
    <row r="5" spans="1:44" x14ac:dyDescent="0.2">
      <c r="A5" s="65">
        <v>2</v>
      </c>
      <c r="B5" s="68" t="s">
        <v>137</v>
      </c>
      <c r="C5" s="63"/>
      <c r="D5" s="65" t="s">
        <v>87</v>
      </c>
      <c r="E5" s="65" t="s">
        <v>88</v>
      </c>
      <c r="F5" s="62" t="s">
        <v>78</v>
      </c>
      <c r="G5" s="71" t="s">
        <v>89</v>
      </c>
      <c r="H5" s="71" t="s">
        <v>90</v>
      </c>
      <c r="I5" s="71" t="s">
        <v>90</v>
      </c>
      <c r="J5" s="65" t="s">
        <v>67</v>
      </c>
      <c r="K5" s="62" t="s">
        <v>96</v>
      </c>
      <c r="L5" s="65" t="s">
        <v>97</v>
      </c>
      <c r="M5" s="64" t="s">
        <v>66</v>
      </c>
      <c r="N5" s="64" t="s">
        <v>68</v>
      </c>
      <c r="O5" s="65"/>
      <c r="P5" s="66"/>
      <c r="Q5" s="65"/>
      <c r="R5" s="65"/>
      <c r="S5" s="65"/>
      <c r="T5" s="63"/>
      <c r="U5" s="65"/>
      <c r="V5" s="66"/>
      <c r="W5" s="121">
        <v>50000</v>
      </c>
      <c r="X5" s="121">
        <f t="shared" ref="X5:X27" si="0">W5*50%</f>
        <v>25000</v>
      </c>
      <c r="Y5" s="121">
        <f>X5*40%</f>
        <v>10000</v>
      </c>
      <c r="Z5" s="121">
        <v>2083</v>
      </c>
      <c r="AA5" s="121">
        <v>2083</v>
      </c>
      <c r="AB5" s="120">
        <f>W5-X5-Y5-Z5-AA5</f>
        <v>10834</v>
      </c>
      <c r="AC5" s="120">
        <f>SUM(X5:AB5)</f>
        <v>50000</v>
      </c>
      <c r="AD5" s="120">
        <f>((IF((X5+Z5+AA5+AB5)&gt;15000,15000,W5))*13%)</f>
        <v>1950</v>
      </c>
      <c r="AE5" s="120">
        <f>(IF((W5)&lt;21001,W5,0))*3.25%</f>
        <v>0</v>
      </c>
      <c r="AF5" s="120">
        <v>6</v>
      </c>
      <c r="AG5" s="120">
        <f>X5*4.81%</f>
        <v>1202.5</v>
      </c>
      <c r="AH5" s="120">
        <f>SUM(AC5:AG5)</f>
        <v>53158.5</v>
      </c>
      <c r="AI5" s="121" t="s">
        <v>111</v>
      </c>
      <c r="AJ5" s="65"/>
      <c r="AK5" s="65"/>
      <c r="AL5" s="65" t="s">
        <v>77</v>
      </c>
      <c r="AM5" s="65">
        <v>10032</v>
      </c>
      <c r="AN5" s="65"/>
      <c r="AO5" s="56"/>
    </row>
    <row r="6" spans="1:44" x14ac:dyDescent="0.2">
      <c r="A6" s="65">
        <v>3</v>
      </c>
      <c r="B6" s="68" t="s">
        <v>138</v>
      </c>
      <c r="C6" s="63"/>
      <c r="D6" s="65" t="s">
        <v>106</v>
      </c>
      <c r="E6" s="65"/>
      <c r="F6" s="62" t="s">
        <v>78</v>
      </c>
      <c r="G6" s="65"/>
      <c r="H6" s="65"/>
      <c r="I6" s="65"/>
      <c r="J6" s="65"/>
      <c r="K6" s="65"/>
      <c r="L6" s="65"/>
      <c r="M6" s="65"/>
      <c r="N6" s="65"/>
      <c r="O6" s="65"/>
      <c r="P6" s="66"/>
      <c r="Q6" s="65"/>
      <c r="R6" s="67"/>
      <c r="S6" s="65"/>
      <c r="T6" s="63"/>
      <c r="U6" s="65"/>
      <c r="V6" s="65"/>
      <c r="W6" s="121">
        <v>40000</v>
      </c>
      <c r="X6" s="121">
        <f t="shared" si="0"/>
        <v>20000</v>
      </c>
      <c r="Y6" s="121">
        <f>X6*40%</f>
        <v>8000</v>
      </c>
      <c r="Z6" s="121">
        <v>2083</v>
      </c>
      <c r="AA6" s="121">
        <v>2083</v>
      </c>
      <c r="AB6" s="121">
        <f>W6-X6-Y6-Z6-AA6</f>
        <v>7834</v>
      </c>
      <c r="AC6" s="121">
        <f>SUM(X6:AB6)</f>
        <v>40000</v>
      </c>
      <c r="AD6" s="120">
        <f>((IF((X6+Z6+AA6+AB6)&gt;15000,15000,W6))*13%)</f>
        <v>1950</v>
      </c>
      <c r="AE6" s="120">
        <f>(IF((W6)&lt;21001,W6,0))*3.25%</f>
        <v>0</v>
      </c>
      <c r="AF6" s="121">
        <v>6</v>
      </c>
      <c r="AG6" s="120">
        <f>X6*4.81%</f>
        <v>961.99999999999989</v>
      </c>
      <c r="AH6" s="120">
        <f>SUM(AC6:AG6)</f>
        <v>42918</v>
      </c>
      <c r="AI6" s="121" t="s">
        <v>111</v>
      </c>
      <c r="AJ6" s="65"/>
      <c r="AK6" s="65"/>
      <c r="AL6" s="65"/>
      <c r="AM6" s="65"/>
      <c r="AN6" s="65"/>
    </row>
    <row r="7" spans="1:44" x14ac:dyDescent="0.2">
      <c r="A7" s="65">
        <v>4</v>
      </c>
      <c r="B7" s="68" t="s">
        <v>139</v>
      </c>
      <c r="C7" s="63"/>
      <c r="D7" s="65" t="s">
        <v>115</v>
      </c>
      <c r="E7" s="65"/>
      <c r="F7" s="62" t="s">
        <v>78</v>
      </c>
      <c r="G7" s="65"/>
      <c r="H7" s="65"/>
      <c r="I7" s="65"/>
      <c r="J7" s="65"/>
      <c r="K7" s="65"/>
      <c r="L7" s="65"/>
      <c r="M7" s="65"/>
      <c r="N7" s="65"/>
      <c r="O7" s="65"/>
      <c r="P7" s="66"/>
      <c r="Q7" s="65"/>
      <c r="R7" s="67"/>
      <c r="S7" s="65"/>
      <c r="T7" s="63"/>
      <c r="U7" s="65"/>
      <c r="V7" s="65"/>
      <c r="W7" s="121">
        <v>15000</v>
      </c>
      <c r="X7" s="121">
        <f t="shared" si="0"/>
        <v>7500</v>
      </c>
      <c r="Y7" s="121">
        <f t="shared" ref="Y7:Y27" si="1">X7*40%</f>
        <v>3000</v>
      </c>
      <c r="Z7" s="121">
        <v>2083</v>
      </c>
      <c r="AA7" s="121">
        <v>2083</v>
      </c>
      <c r="AB7" s="121">
        <f t="shared" ref="AB7:AB16" si="2">W7-X7-Y7-Z7-AA7</f>
        <v>334</v>
      </c>
      <c r="AC7" s="121">
        <f t="shared" ref="AC7:AC16" si="3">SUM(X7:AB7)</f>
        <v>15000</v>
      </c>
      <c r="AD7" s="120">
        <f t="shared" ref="AD7:AD16" si="4">((IF((X7+Z7+AA7+AB7)&gt;15000,15000,W7))*13%)</f>
        <v>1950</v>
      </c>
      <c r="AE7" s="120">
        <f t="shared" ref="AE7:AE16" si="5">(IF((W7)&lt;21001,W7,0))*3.25%</f>
        <v>487.5</v>
      </c>
      <c r="AF7" s="121">
        <v>6</v>
      </c>
      <c r="AG7" s="120">
        <f t="shared" ref="AG7:AG16" si="6">X7*4.81%</f>
        <v>360.75</v>
      </c>
      <c r="AH7" s="120">
        <f t="shared" ref="AH7:AH16" si="7">SUM(AC7:AG7)</f>
        <v>17804.25</v>
      </c>
      <c r="AI7" s="121" t="s">
        <v>113</v>
      </c>
      <c r="AJ7" s="65"/>
      <c r="AK7" s="65"/>
      <c r="AL7" s="65"/>
      <c r="AM7" s="65"/>
      <c r="AN7" s="65"/>
    </row>
    <row r="8" spans="1:44" x14ac:dyDescent="0.2">
      <c r="A8" s="65">
        <v>5</v>
      </c>
      <c r="B8" s="68" t="s">
        <v>140</v>
      </c>
      <c r="C8" s="63"/>
      <c r="D8" s="65" t="s">
        <v>116</v>
      </c>
      <c r="E8" s="65"/>
      <c r="F8" s="62" t="s">
        <v>78</v>
      </c>
      <c r="G8" s="65"/>
      <c r="H8" s="65"/>
      <c r="I8" s="65"/>
      <c r="J8" s="65"/>
      <c r="K8" s="65"/>
      <c r="L8" s="65"/>
      <c r="M8" s="65"/>
      <c r="N8" s="65"/>
      <c r="O8" s="65"/>
      <c r="P8" s="66"/>
      <c r="Q8" s="65"/>
      <c r="R8" s="67"/>
      <c r="S8" s="65"/>
      <c r="T8" s="63"/>
      <c r="U8" s="65"/>
      <c r="V8" s="65"/>
      <c r="W8" s="121">
        <v>18000</v>
      </c>
      <c r="X8" s="121">
        <f t="shared" si="0"/>
        <v>9000</v>
      </c>
      <c r="Y8" s="121">
        <f t="shared" si="1"/>
        <v>3600</v>
      </c>
      <c r="Z8" s="121">
        <v>2083</v>
      </c>
      <c r="AA8" s="121">
        <v>2083</v>
      </c>
      <c r="AB8" s="121">
        <f t="shared" si="2"/>
        <v>1234</v>
      </c>
      <c r="AC8" s="121">
        <f t="shared" si="3"/>
        <v>18000</v>
      </c>
      <c r="AD8" s="120">
        <f t="shared" si="4"/>
        <v>2340</v>
      </c>
      <c r="AE8" s="120">
        <f t="shared" si="5"/>
        <v>585</v>
      </c>
      <c r="AF8" s="121">
        <v>6</v>
      </c>
      <c r="AG8" s="120">
        <f t="shared" si="6"/>
        <v>432.9</v>
      </c>
      <c r="AH8" s="120">
        <f t="shared" si="7"/>
        <v>21363.9</v>
      </c>
      <c r="AI8" s="121" t="s">
        <v>113</v>
      </c>
      <c r="AJ8" s="65"/>
      <c r="AK8" s="65"/>
      <c r="AL8" s="65"/>
      <c r="AM8" s="65"/>
      <c r="AN8" s="65"/>
    </row>
    <row r="9" spans="1:44" x14ac:dyDescent="0.2">
      <c r="A9" s="65">
        <v>6</v>
      </c>
      <c r="B9" s="68" t="s">
        <v>141</v>
      </c>
      <c r="C9" s="63"/>
      <c r="D9" s="65" t="s">
        <v>117</v>
      </c>
      <c r="E9" s="65"/>
      <c r="F9" s="62" t="s">
        <v>78</v>
      </c>
      <c r="G9" s="65"/>
      <c r="H9" s="65"/>
      <c r="I9" s="65"/>
      <c r="J9" s="65"/>
      <c r="K9" s="65"/>
      <c r="L9" s="65"/>
      <c r="M9" s="65"/>
      <c r="N9" s="65"/>
      <c r="O9" s="65"/>
      <c r="P9" s="66"/>
      <c r="Q9" s="65"/>
      <c r="R9" s="67"/>
      <c r="S9" s="65"/>
      <c r="T9" s="63"/>
      <c r="U9" s="65"/>
      <c r="V9" s="65"/>
      <c r="W9" s="121">
        <v>19000</v>
      </c>
      <c r="X9" s="121">
        <f t="shared" si="0"/>
        <v>9500</v>
      </c>
      <c r="Y9" s="121">
        <f t="shared" si="1"/>
        <v>3800</v>
      </c>
      <c r="Z9" s="121">
        <v>2083</v>
      </c>
      <c r="AA9" s="121">
        <v>2083</v>
      </c>
      <c r="AB9" s="121">
        <f t="shared" si="2"/>
        <v>1534</v>
      </c>
      <c r="AC9" s="121">
        <f t="shared" si="3"/>
        <v>19000</v>
      </c>
      <c r="AD9" s="120">
        <f t="shared" si="4"/>
        <v>1950</v>
      </c>
      <c r="AE9" s="120">
        <f t="shared" si="5"/>
        <v>617.5</v>
      </c>
      <c r="AF9" s="121">
        <v>6</v>
      </c>
      <c r="AG9" s="120">
        <f t="shared" si="6"/>
        <v>456.95</v>
      </c>
      <c r="AH9" s="120">
        <f t="shared" si="7"/>
        <v>22030.45</v>
      </c>
      <c r="AI9" s="121" t="s">
        <v>113</v>
      </c>
      <c r="AJ9" s="65"/>
      <c r="AK9" s="65"/>
      <c r="AL9" s="65"/>
      <c r="AM9" s="65"/>
      <c r="AN9" s="65"/>
    </row>
    <row r="10" spans="1:44" x14ac:dyDescent="0.2">
      <c r="A10" s="65">
        <v>7</v>
      </c>
      <c r="B10" s="68" t="s">
        <v>142</v>
      </c>
      <c r="C10" s="63"/>
      <c r="D10" s="65" t="s">
        <v>118</v>
      </c>
      <c r="E10" s="65"/>
      <c r="F10" s="62" t="s">
        <v>78</v>
      </c>
      <c r="G10" s="65"/>
      <c r="H10" s="65"/>
      <c r="I10" s="65"/>
      <c r="J10" s="65"/>
      <c r="K10" s="65"/>
      <c r="L10" s="65"/>
      <c r="M10" s="65"/>
      <c r="N10" s="65"/>
      <c r="O10" s="65"/>
      <c r="P10" s="66"/>
      <c r="Q10" s="65"/>
      <c r="R10" s="67"/>
      <c r="S10" s="65"/>
      <c r="T10" s="63"/>
      <c r="U10" s="65"/>
      <c r="V10" s="65"/>
      <c r="W10" s="121">
        <v>21000</v>
      </c>
      <c r="X10" s="121">
        <f t="shared" si="0"/>
        <v>10500</v>
      </c>
      <c r="Y10" s="121">
        <f t="shared" si="1"/>
        <v>4200</v>
      </c>
      <c r="Z10" s="121">
        <v>2083</v>
      </c>
      <c r="AA10" s="121">
        <v>2083</v>
      </c>
      <c r="AB10" s="121">
        <f t="shared" si="2"/>
        <v>2134</v>
      </c>
      <c r="AC10" s="121">
        <f t="shared" si="3"/>
        <v>21000</v>
      </c>
      <c r="AD10" s="120">
        <f t="shared" si="4"/>
        <v>1950</v>
      </c>
      <c r="AE10" s="120">
        <f t="shared" si="5"/>
        <v>682.5</v>
      </c>
      <c r="AF10" s="121">
        <v>6</v>
      </c>
      <c r="AG10" s="120">
        <f t="shared" si="6"/>
        <v>505.04999999999995</v>
      </c>
      <c r="AH10" s="120">
        <f t="shared" si="7"/>
        <v>24143.55</v>
      </c>
      <c r="AI10" s="121" t="s">
        <v>114</v>
      </c>
      <c r="AJ10" s="65"/>
      <c r="AK10" s="65"/>
      <c r="AL10" s="65"/>
      <c r="AM10" s="65"/>
      <c r="AN10" s="65"/>
    </row>
    <row r="11" spans="1:44" x14ac:dyDescent="0.2">
      <c r="A11" s="65">
        <v>8</v>
      </c>
      <c r="B11" s="68" t="s">
        <v>143</v>
      </c>
      <c r="C11" s="63"/>
      <c r="D11" s="65" t="s">
        <v>119</v>
      </c>
      <c r="E11" s="65"/>
      <c r="F11" s="62" t="s">
        <v>78</v>
      </c>
      <c r="G11" s="65"/>
      <c r="H11" s="65"/>
      <c r="I11" s="65"/>
      <c r="J11" s="65"/>
      <c r="K11" s="65"/>
      <c r="L11" s="65"/>
      <c r="M11" s="65"/>
      <c r="N11" s="65"/>
      <c r="O11" s="65"/>
      <c r="P11" s="66"/>
      <c r="Q11" s="65"/>
      <c r="R11" s="67"/>
      <c r="S11" s="65"/>
      <c r="T11" s="63"/>
      <c r="U11" s="65"/>
      <c r="V11" s="65"/>
      <c r="W11" s="121">
        <v>20000</v>
      </c>
      <c r="X11" s="121">
        <f t="shared" si="0"/>
        <v>10000</v>
      </c>
      <c r="Y11" s="121">
        <f t="shared" si="1"/>
        <v>4000</v>
      </c>
      <c r="Z11" s="121">
        <v>2083</v>
      </c>
      <c r="AA11" s="121">
        <v>2083</v>
      </c>
      <c r="AB11" s="121">
        <f t="shared" si="2"/>
        <v>1834</v>
      </c>
      <c r="AC11" s="121">
        <f t="shared" si="3"/>
        <v>20000</v>
      </c>
      <c r="AD11" s="120">
        <f t="shared" si="4"/>
        <v>1950</v>
      </c>
      <c r="AE11" s="120">
        <f t="shared" si="5"/>
        <v>650</v>
      </c>
      <c r="AF11" s="121">
        <v>6</v>
      </c>
      <c r="AG11" s="120">
        <f t="shared" si="6"/>
        <v>480.99999999999994</v>
      </c>
      <c r="AH11" s="120">
        <f t="shared" si="7"/>
        <v>23087</v>
      </c>
      <c r="AI11" s="121" t="s">
        <v>114</v>
      </c>
      <c r="AJ11" s="65"/>
      <c r="AK11" s="65"/>
      <c r="AL11" s="65"/>
      <c r="AM11" s="65"/>
      <c r="AN11" s="65"/>
    </row>
    <row r="12" spans="1:44" x14ac:dyDescent="0.2">
      <c r="A12" s="65">
        <v>9</v>
      </c>
      <c r="B12" s="68" t="s">
        <v>144</v>
      </c>
      <c r="C12" s="63"/>
      <c r="D12" s="65" t="s">
        <v>120</v>
      </c>
      <c r="E12" s="65"/>
      <c r="F12" s="62" t="s">
        <v>78</v>
      </c>
      <c r="G12" s="65"/>
      <c r="H12" s="65"/>
      <c r="I12" s="65"/>
      <c r="J12" s="65"/>
      <c r="K12" s="65"/>
      <c r="L12" s="65"/>
      <c r="M12" s="65"/>
      <c r="N12" s="65"/>
      <c r="O12" s="65"/>
      <c r="P12" s="66"/>
      <c r="Q12" s="65"/>
      <c r="R12" s="67"/>
      <c r="S12" s="65"/>
      <c r="T12" s="63"/>
      <c r="U12" s="65"/>
      <c r="V12" s="65"/>
      <c r="W12" s="121">
        <v>20000</v>
      </c>
      <c r="X12" s="121">
        <f t="shared" si="0"/>
        <v>10000</v>
      </c>
      <c r="Y12" s="121">
        <f t="shared" si="1"/>
        <v>4000</v>
      </c>
      <c r="Z12" s="121">
        <v>2083</v>
      </c>
      <c r="AA12" s="121">
        <v>2083</v>
      </c>
      <c r="AB12" s="121">
        <f t="shared" si="2"/>
        <v>1834</v>
      </c>
      <c r="AC12" s="121">
        <f t="shared" si="3"/>
        <v>20000</v>
      </c>
      <c r="AD12" s="120">
        <f t="shared" si="4"/>
        <v>1950</v>
      </c>
      <c r="AE12" s="120">
        <f t="shared" si="5"/>
        <v>650</v>
      </c>
      <c r="AF12" s="121">
        <v>6</v>
      </c>
      <c r="AG12" s="120">
        <f t="shared" si="6"/>
        <v>480.99999999999994</v>
      </c>
      <c r="AH12" s="120">
        <f t="shared" si="7"/>
        <v>23087</v>
      </c>
      <c r="AI12" s="121" t="s">
        <v>114</v>
      </c>
      <c r="AJ12" s="65"/>
      <c r="AK12" s="65"/>
      <c r="AL12" s="65"/>
      <c r="AM12" s="65"/>
      <c r="AN12" s="65"/>
    </row>
    <row r="13" spans="1:44" x14ac:dyDescent="0.2">
      <c r="A13" s="65">
        <v>10</v>
      </c>
      <c r="B13" s="68" t="s">
        <v>145</v>
      </c>
      <c r="C13" s="63"/>
      <c r="D13" s="65" t="s">
        <v>121</v>
      </c>
      <c r="E13" s="65"/>
      <c r="F13" s="65" t="s">
        <v>77</v>
      </c>
      <c r="G13" s="65"/>
      <c r="H13" s="65"/>
      <c r="I13" s="65"/>
      <c r="J13" s="65"/>
      <c r="K13" s="65"/>
      <c r="L13" s="65"/>
      <c r="M13" s="65"/>
      <c r="N13" s="65"/>
      <c r="O13" s="65"/>
      <c r="P13" s="66"/>
      <c r="Q13" s="65"/>
      <c r="R13" s="67"/>
      <c r="S13" s="65"/>
      <c r="T13" s="63"/>
      <c r="U13" s="65"/>
      <c r="V13" s="65"/>
      <c r="W13" s="121">
        <v>20000</v>
      </c>
      <c r="X13" s="121">
        <f t="shared" si="0"/>
        <v>10000</v>
      </c>
      <c r="Y13" s="121">
        <f t="shared" si="1"/>
        <v>4000</v>
      </c>
      <c r="Z13" s="121">
        <v>2083</v>
      </c>
      <c r="AA13" s="121">
        <v>2083</v>
      </c>
      <c r="AB13" s="121">
        <f t="shared" si="2"/>
        <v>1834</v>
      </c>
      <c r="AC13" s="121">
        <f t="shared" si="3"/>
        <v>20000</v>
      </c>
      <c r="AD13" s="120">
        <f t="shared" si="4"/>
        <v>1950</v>
      </c>
      <c r="AE13" s="120">
        <f t="shared" si="5"/>
        <v>650</v>
      </c>
      <c r="AF13" s="121">
        <v>6</v>
      </c>
      <c r="AG13" s="120">
        <f t="shared" si="6"/>
        <v>480.99999999999994</v>
      </c>
      <c r="AH13" s="120">
        <f t="shared" si="7"/>
        <v>23087</v>
      </c>
      <c r="AI13" s="121" t="s">
        <v>114</v>
      </c>
      <c r="AJ13" s="65"/>
      <c r="AK13" s="65"/>
      <c r="AL13" s="65"/>
      <c r="AM13" s="65"/>
      <c r="AN13" s="65"/>
    </row>
    <row r="14" spans="1:44" x14ac:dyDescent="0.2">
      <c r="A14" s="65">
        <v>11</v>
      </c>
      <c r="B14" s="68" t="s">
        <v>146</v>
      </c>
      <c r="C14" s="63"/>
      <c r="D14" s="65" t="s">
        <v>122</v>
      </c>
      <c r="E14" s="65"/>
      <c r="F14" s="65" t="s">
        <v>77</v>
      </c>
      <c r="G14" s="65"/>
      <c r="H14" s="65"/>
      <c r="I14" s="65"/>
      <c r="J14" s="65"/>
      <c r="K14" s="65"/>
      <c r="L14" s="65"/>
      <c r="M14" s="65"/>
      <c r="N14" s="65"/>
      <c r="O14" s="65"/>
      <c r="P14" s="66"/>
      <c r="Q14" s="65"/>
      <c r="R14" s="67"/>
      <c r="S14" s="65"/>
      <c r="T14" s="63"/>
      <c r="U14" s="65"/>
      <c r="V14" s="65"/>
      <c r="W14" s="121">
        <v>20000</v>
      </c>
      <c r="X14" s="121">
        <f t="shared" si="0"/>
        <v>10000</v>
      </c>
      <c r="Y14" s="121">
        <f t="shared" si="1"/>
        <v>4000</v>
      </c>
      <c r="Z14" s="121">
        <v>2083</v>
      </c>
      <c r="AA14" s="121">
        <v>2083</v>
      </c>
      <c r="AB14" s="121">
        <f t="shared" si="2"/>
        <v>1834</v>
      </c>
      <c r="AC14" s="121">
        <f t="shared" si="3"/>
        <v>20000</v>
      </c>
      <c r="AD14" s="120">
        <f t="shared" si="4"/>
        <v>1950</v>
      </c>
      <c r="AE14" s="120">
        <f t="shared" si="5"/>
        <v>650</v>
      </c>
      <c r="AF14" s="121">
        <v>6</v>
      </c>
      <c r="AG14" s="120">
        <f t="shared" si="6"/>
        <v>480.99999999999994</v>
      </c>
      <c r="AH14" s="120">
        <f t="shared" si="7"/>
        <v>23087</v>
      </c>
      <c r="AI14" s="121" t="s">
        <v>114</v>
      </c>
      <c r="AJ14" s="65"/>
      <c r="AK14" s="65"/>
      <c r="AL14" s="65"/>
      <c r="AM14" s="65"/>
      <c r="AN14" s="65"/>
    </row>
    <row r="15" spans="1:44" x14ac:dyDescent="0.2">
      <c r="A15" s="65">
        <v>12</v>
      </c>
      <c r="B15" s="68" t="s">
        <v>147</v>
      </c>
      <c r="C15" s="63"/>
      <c r="D15" s="65" t="s">
        <v>123</v>
      </c>
      <c r="E15" s="65"/>
      <c r="F15" s="65" t="s">
        <v>77</v>
      </c>
      <c r="G15" s="65"/>
      <c r="H15" s="65"/>
      <c r="I15" s="65"/>
      <c r="J15" s="65"/>
      <c r="K15" s="65"/>
      <c r="L15" s="65"/>
      <c r="M15" s="65"/>
      <c r="N15" s="65"/>
      <c r="O15" s="65"/>
      <c r="P15" s="66"/>
      <c r="Q15" s="65"/>
      <c r="R15" s="67"/>
      <c r="S15" s="65"/>
      <c r="T15" s="63"/>
      <c r="U15" s="65"/>
      <c r="V15" s="65"/>
      <c r="W15" s="121">
        <v>40000</v>
      </c>
      <c r="X15" s="121">
        <f t="shared" si="0"/>
        <v>20000</v>
      </c>
      <c r="Y15" s="121">
        <f t="shared" si="1"/>
        <v>8000</v>
      </c>
      <c r="Z15" s="121">
        <v>2083</v>
      </c>
      <c r="AA15" s="121">
        <v>2083</v>
      </c>
      <c r="AB15" s="121">
        <f t="shared" si="2"/>
        <v>7834</v>
      </c>
      <c r="AC15" s="121">
        <f t="shared" si="3"/>
        <v>40000</v>
      </c>
      <c r="AD15" s="120">
        <f t="shared" si="4"/>
        <v>1950</v>
      </c>
      <c r="AE15" s="120">
        <f t="shared" si="5"/>
        <v>0</v>
      </c>
      <c r="AF15" s="121">
        <v>6</v>
      </c>
      <c r="AG15" s="120">
        <f t="shared" si="6"/>
        <v>961.99999999999989</v>
      </c>
      <c r="AH15" s="120">
        <f t="shared" si="7"/>
        <v>42918</v>
      </c>
      <c r="AI15" s="121" t="s">
        <v>111</v>
      </c>
      <c r="AJ15" s="65"/>
      <c r="AK15" s="65"/>
      <c r="AL15" s="65"/>
      <c r="AM15" s="65"/>
      <c r="AN15" s="65"/>
    </row>
    <row r="16" spans="1:44" x14ac:dyDescent="0.2">
      <c r="A16" s="65">
        <v>13</v>
      </c>
      <c r="B16" s="68" t="s">
        <v>148</v>
      </c>
      <c r="C16" s="63"/>
      <c r="D16" s="65" t="s">
        <v>124</v>
      </c>
      <c r="E16" s="65"/>
      <c r="F16" s="62" t="s">
        <v>78</v>
      </c>
      <c r="G16" s="65"/>
      <c r="H16" s="65"/>
      <c r="I16" s="65"/>
      <c r="J16" s="65"/>
      <c r="K16" s="65"/>
      <c r="L16" s="65"/>
      <c r="M16" s="65"/>
      <c r="N16" s="65"/>
      <c r="O16" s="65"/>
      <c r="P16" s="66"/>
      <c r="Q16" s="65"/>
      <c r="R16" s="67"/>
      <c r="S16" s="65"/>
      <c r="T16" s="63"/>
      <c r="U16" s="65"/>
      <c r="V16" s="65"/>
      <c r="W16" s="121">
        <v>30000</v>
      </c>
      <c r="X16" s="121">
        <f t="shared" si="0"/>
        <v>15000</v>
      </c>
      <c r="Y16" s="121">
        <f t="shared" si="1"/>
        <v>6000</v>
      </c>
      <c r="Z16" s="121">
        <v>2083</v>
      </c>
      <c r="AA16" s="121">
        <v>2083</v>
      </c>
      <c r="AB16" s="121">
        <f t="shared" si="2"/>
        <v>4834</v>
      </c>
      <c r="AC16" s="121">
        <f t="shared" si="3"/>
        <v>30000</v>
      </c>
      <c r="AD16" s="120">
        <f t="shared" si="4"/>
        <v>1950</v>
      </c>
      <c r="AE16" s="120">
        <f t="shared" si="5"/>
        <v>0</v>
      </c>
      <c r="AF16" s="121">
        <v>6</v>
      </c>
      <c r="AG16" s="120">
        <f t="shared" si="6"/>
        <v>721.5</v>
      </c>
      <c r="AH16" s="120">
        <f t="shared" si="7"/>
        <v>32677.5</v>
      </c>
      <c r="AI16" s="121" t="s">
        <v>111</v>
      </c>
      <c r="AJ16" s="65"/>
      <c r="AK16" s="65"/>
      <c r="AL16" s="65"/>
      <c r="AM16" s="65"/>
      <c r="AN16" s="65"/>
    </row>
    <row r="17" spans="1:40" x14ac:dyDescent="0.2">
      <c r="A17" s="65">
        <v>14</v>
      </c>
      <c r="B17" s="68" t="s">
        <v>149</v>
      </c>
      <c r="C17" s="63"/>
      <c r="D17" s="65" t="s">
        <v>125</v>
      </c>
      <c r="E17" s="65"/>
      <c r="F17" s="62" t="s">
        <v>78</v>
      </c>
      <c r="G17" s="65"/>
      <c r="H17" s="65"/>
      <c r="I17" s="65"/>
      <c r="J17" s="65"/>
      <c r="K17" s="65"/>
      <c r="L17" s="65"/>
      <c r="M17" s="65"/>
      <c r="N17" s="65"/>
      <c r="O17" s="65"/>
      <c r="P17" s="66"/>
      <c r="Q17" s="65"/>
      <c r="R17" s="67"/>
      <c r="S17" s="65"/>
      <c r="T17" s="63"/>
      <c r="U17" s="65"/>
      <c r="V17" s="65"/>
      <c r="W17" s="121">
        <v>16000</v>
      </c>
      <c r="X17" s="121">
        <f t="shared" si="0"/>
        <v>8000</v>
      </c>
      <c r="Y17" s="121">
        <f t="shared" si="1"/>
        <v>3200</v>
      </c>
      <c r="Z17" s="121">
        <v>2083</v>
      </c>
      <c r="AA17" s="121">
        <v>2083</v>
      </c>
      <c r="AB17" s="121">
        <f t="shared" ref="AB17:AB27" si="8">W17-X17-Y17-Z17-AA17</f>
        <v>634</v>
      </c>
      <c r="AC17" s="121">
        <f t="shared" ref="AC17:AC27" si="9">SUM(X17:AB17)</f>
        <v>16000</v>
      </c>
      <c r="AD17" s="120">
        <f t="shared" ref="AD17:AD27" si="10">((IF((X17+Z17+AA17+AB17)&gt;15000,15000,W17))*13%)</f>
        <v>2080</v>
      </c>
      <c r="AE17" s="120">
        <f t="shared" ref="AE17:AE27" si="11">(IF((W17)&lt;21001,W17,0))*3.25%</f>
        <v>520</v>
      </c>
      <c r="AF17" s="121">
        <v>6</v>
      </c>
      <c r="AG17" s="120">
        <f t="shared" ref="AG17:AG27" si="12">X17*4.81%</f>
        <v>384.79999999999995</v>
      </c>
      <c r="AH17" s="120">
        <f t="shared" ref="AH17:AH27" si="13">SUM(AC17:AG17)</f>
        <v>18990.8</v>
      </c>
      <c r="AI17" s="121" t="s">
        <v>113</v>
      </c>
      <c r="AJ17" s="65"/>
      <c r="AK17" s="65"/>
      <c r="AL17" s="65"/>
      <c r="AM17" s="65"/>
      <c r="AN17" s="65"/>
    </row>
    <row r="18" spans="1:40" x14ac:dyDescent="0.2">
      <c r="A18" s="65">
        <v>15</v>
      </c>
      <c r="B18" s="68" t="s">
        <v>150</v>
      </c>
      <c r="C18" s="63"/>
      <c r="D18" s="65" t="s">
        <v>126</v>
      </c>
      <c r="E18" s="65"/>
      <c r="F18" s="62" t="s">
        <v>78</v>
      </c>
      <c r="G18" s="65"/>
      <c r="H18" s="65"/>
      <c r="I18" s="65"/>
      <c r="J18" s="65"/>
      <c r="K18" s="65"/>
      <c r="L18" s="65"/>
      <c r="M18" s="65"/>
      <c r="N18" s="65"/>
      <c r="O18" s="65"/>
      <c r="P18" s="66"/>
      <c r="Q18" s="65"/>
      <c r="R18" s="67"/>
      <c r="S18" s="65"/>
      <c r="T18" s="63"/>
      <c r="U18" s="65"/>
      <c r="V18" s="65"/>
      <c r="W18" s="121">
        <v>25000</v>
      </c>
      <c r="X18" s="121">
        <f t="shared" si="0"/>
        <v>12500</v>
      </c>
      <c r="Y18" s="121">
        <f t="shared" si="1"/>
        <v>5000</v>
      </c>
      <c r="Z18" s="121">
        <v>2083</v>
      </c>
      <c r="AA18" s="121">
        <v>2083</v>
      </c>
      <c r="AB18" s="121">
        <f t="shared" si="8"/>
        <v>3334</v>
      </c>
      <c r="AC18" s="121">
        <f t="shared" si="9"/>
        <v>25000</v>
      </c>
      <c r="AD18" s="120">
        <f t="shared" si="10"/>
        <v>1950</v>
      </c>
      <c r="AE18" s="120">
        <f t="shared" si="11"/>
        <v>0</v>
      </c>
      <c r="AF18" s="121">
        <v>6</v>
      </c>
      <c r="AG18" s="120">
        <f t="shared" si="12"/>
        <v>601.25</v>
      </c>
      <c r="AH18" s="120">
        <f t="shared" si="13"/>
        <v>27557.25</v>
      </c>
      <c r="AI18" s="121" t="s">
        <v>114</v>
      </c>
      <c r="AJ18" s="65"/>
      <c r="AK18" s="65"/>
      <c r="AL18" s="65"/>
      <c r="AM18" s="65"/>
      <c r="AN18" s="65"/>
    </row>
    <row r="19" spans="1:40" x14ac:dyDescent="0.2">
      <c r="A19" s="65">
        <v>16</v>
      </c>
      <c r="B19" s="68" t="s">
        <v>151</v>
      </c>
      <c r="C19" s="63"/>
      <c r="D19" s="65" t="s">
        <v>127</v>
      </c>
      <c r="E19" s="65"/>
      <c r="F19" s="62" t="s">
        <v>78</v>
      </c>
      <c r="G19" s="65"/>
      <c r="H19" s="65"/>
      <c r="I19" s="65"/>
      <c r="J19" s="65"/>
      <c r="K19" s="65"/>
      <c r="L19" s="65"/>
      <c r="M19" s="65"/>
      <c r="N19" s="65"/>
      <c r="O19" s="65"/>
      <c r="P19" s="66"/>
      <c r="Q19" s="65"/>
      <c r="R19" s="67"/>
      <c r="S19" s="65"/>
      <c r="T19" s="63"/>
      <c r="U19" s="65"/>
      <c r="V19" s="65"/>
      <c r="W19" s="121">
        <v>27000</v>
      </c>
      <c r="X19" s="121">
        <f t="shared" si="0"/>
        <v>13500</v>
      </c>
      <c r="Y19" s="121">
        <f t="shared" si="1"/>
        <v>5400</v>
      </c>
      <c r="Z19" s="121">
        <v>2083</v>
      </c>
      <c r="AA19" s="121">
        <v>2083</v>
      </c>
      <c r="AB19" s="121">
        <f t="shared" si="8"/>
        <v>3934</v>
      </c>
      <c r="AC19" s="121">
        <f t="shared" si="9"/>
        <v>27000</v>
      </c>
      <c r="AD19" s="120">
        <f t="shared" si="10"/>
        <v>1950</v>
      </c>
      <c r="AE19" s="120">
        <f t="shared" si="11"/>
        <v>0</v>
      </c>
      <c r="AF19" s="121">
        <v>6</v>
      </c>
      <c r="AG19" s="120">
        <f t="shared" si="12"/>
        <v>649.34999999999991</v>
      </c>
      <c r="AH19" s="120">
        <f t="shared" si="13"/>
        <v>29605.35</v>
      </c>
      <c r="AI19" s="121" t="s">
        <v>114</v>
      </c>
      <c r="AJ19" s="65"/>
      <c r="AK19" s="65"/>
      <c r="AL19" s="65"/>
      <c r="AM19" s="65"/>
      <c r="AN19" s="65"/>
    </row>
    <row r="20" spans="1:40" x14ac:dyDescent="0.2">
      <c r="A20" s="65">
        <v>17</v>
      </c>
      <c r="B20" s="68" t="s">
        <v>152</v>
      </c>
      <c r="C20" s="63"/>
      <c r="D20" s="65" t="s">
        <v>128</v>
      </c>
      <c r="E20" s="65"/>
      <c r="F20" s="62" t="s">
        <v>78</v>
      </c>
      <c r="G20" s="65"/>
      <c r="H20" s="65"/>
      <c r="I20" s="65"/>
      <c r="J20" s="65"/>
      <c r="K20" s="65"/>
      <c r="L20" s="65"/>
      <c r="M20" s="65"/>
      <c r="N20" s="65"/>
      <c r="O20" s="65"/>
      <c r="P20" s="66"/>
      <c r="Q20" s="65"/>
      <c r="R20" s="67"/>
      <c r="S20" s="65"/>
      <c r="T20" s="63"/>
      <c r="U20" s="65"/>
      <c r="V20" s="65"/>
      <c r="W20" s="121">
        <v>43000</v>
      </c>
      <c r="X20" s="121">
        <f t="shared" si="0"/>
        <v>21500</v>
      </c>
      <c r="Y20" s="121">
        <f t="shared" si="1"/>
        <v>8600</v>
      </c>
      <c r="Z20" s="121">
        <v>2083</v>
      </c>
      <c r="AA20" s="121">
        <v>2083</v>
      </c>
      <c r="AB20" s="121">
        <f t="shared" si="8"/>
        <v>8734</v>
      </c>
      <c r="AC20" s="121">
        <f t="shared" si="9"/>
        <v>43000</v>
      </c>
      <c r="AD20" s="120">
        <f t="shared" si="10"/>
        <v>1950</v>
      </c>
      <c r="AE20" s="120">
        <f t="shared" si="11"/>
        <v>0</v>
      </c>
      <c r="AF20" s="121">
        <v>6</v>
      </c>
      <c r="AG20" s="120">
        <f t="shared" si="12"/>
        <v>1034.1499999999999</v>
      </c>
      <c r="AH20" s="120">
        <f t="shared" si="13"/>
        <v>45990.15</v>
      </c>
      <c r="AI20" s="121" t="s">
        <v>111</v>
      </c>
      <c r="AJ20" s="65"/>
      <c r="AK20" s="65"/>
      <c r="AL20" s="65"/>
      <c r="AM20" s="65"/>
      <c r="AN20" s="65"/>
    </row>
    <row r="21" spans="1:40" x14ac:dyDescent="0.2">
      <c r="A21" s="65">
        <v>18</v>
      </c>
      <c r="B21" s="68" t="s">
        <v>153</v>
      </c>
      <c r="C21" s="63"/>
      <c r="D21" s="65" t="s">
        <v>129</v>
      </c>
      <c r="E21" s="65"/>
      <c r="F21" s="62" t="s">
        <v>78</v>
      </c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65"/>
      <c r="R21" s="67"/>
      <c r="S21" s="65"/>
      <c r="T21" s="63"/>
      <c r="U21" s="65"/>
      <c r="V21" s="65"/>
      <c r="W21" s="121">
        <v>32000</v>
      </c>
      <c r="X21" s="121">
        <f t="shared" si="0"/>
        <v>16000</v>
      </c>
      <c r="Y21" s="121">
        <f t="shared" si="1"/>
        <v>6400</v>
      </c>
      <c r="Z21" s="121">
        <v>2083</v>
      </c>
      <c r="AA21" s="121">
        <v>2083</v>
      </c>
      <c r="AB21" s="121">
        <f t="shared" si="8"/>
        <v>5434</v>
      </c>
      <c r="AC21" s="121">
        <f t="shared" si="9"/>
        <v>32000</v>
      </c>
      <c r="AD21" s="120">
        <f t="shared" si="10"/>
        <v>1950</v>
      </c>
      <c r="AE21" s="120">
        <f t="shared" si="11"/>
        <v>0</v>
      </c>
      <c r="AF21" s="121">
        <v>6</v>
      </c>
      <c r="AG21" s="120">
        <f t="shared" si="12"/>
        <v>769.59999999999991</v>
      </c>
      <c r="AH21" s="120">
        <f t="shared" si="13"/>
        <v>34725.599999999999</v>
      </c>
      <c r="AI21" s="121" t="s">
        <v>111</v>
      </c>
      <c r="AJ21" s="65"/>
      <c r="AK21" s="65"/>
      <c r="AL21" s="65"/>
      <c r="AM21" s="65"/>
      <c r="AN21" s="65"/>
    </row>
    <row r="22" spans="1:40" x14ac:dyDescent="0.2">
      <c r="A22" s="65">
        <v>19</v>
      </c>
      <c r="B22" s="68" t="s">
        <v>154</v>
      </c>
      <c r="C22" s="63"/>
      <c r="D22" s="65" t="s">
        <v>130</v>
      </c>
      <c r="E22" s="65"/>
      <c r="F22" s="65" t="s">
        <v>77</v>
      </c>
      <c r="G22" s="65"/>
      <c r="H22" s="65"/>
      <c r="I22" s="65"/>
      <c r="J22" s="65"/>
      <c r="K22" s="65"/>
      <c r="L22" s="65"/>
      <c r="M22" s="65"/>
      <c r="N22" s="65"/>
      <c r="O22" s="65"/>
      <c r="P22" s="66"/>
      <c r="Q22" s="65"/>
      <c r="R22" s="67"/>
      <c r="S22" s="65"/>
      <c r="T22" s="63"/>
      <c r="U22" s="65"/>
      <c r="V22" s="65"/>
      <c r="W22" s="121">
        <v>16000</v>
      </c>
      <c r="X22" s="121">
        <f t="shared" si="0"/>
        <v>8000</v>
      </c>
      <c r="Y22" s="121">
        <f t="shared" si="1"/>
        <v>3200</v>
      </c>
      <c r="Z22" s="121">
        <v>2083</v>
      </c>
      <c r="AA22" s="121">
        <v>2083</v>
      </c>
      <c r="AB22" s="121">
        <f t="shared" si="8"/>
        <v>634</v>
      </c>
      <c r="AC22" s="121">
        <f t="shared" si="9"/>
        <v>16000</v>
      </c>
      <c r="AD22" s="120">
        <f t="shared" si="10"/>
        <v>2080</v>
      </c>
      <c r="AE22" s="120">
        <f t="shared" si="11"/>
        <v>520</v>
      </c>
      <c r="AF22" s="121">
        <v>6</v>
      </c>
      <c r="AG22" s="120">
        <f t="shared" si="12"/>
        <v>384.79999999999995</v>
      </c>
      <c r="AH22" s="120">
        <f t="shared" si="13"/>
        <v>18990.8</v>
      </c>
      <c r="AI22" s="121" t="s">
        <v>113</v>
      </c>
      <c r="AJ22" s="65"/>
      <c r="AK22" s="65"/>
      <c r="AL22" s="65"/>
      <c r="AM22" s="65"/>
      <c r="AN22" s="65"/>
    </row>
    <row r="23" spans="1:40" x14ac:dyDescent="0.2">
      <c r="A23" s="65">
        <v>20</v>
      </c>
      <c r="B23" s="68" t="s">
        <v>155</v>
      </c>
      <c r="C23" s="63"/>
      <c r="D23" s="65" t="s">
        <v>131</v>
      </c>
      <c r="E23" s="65"/>
      <c r="F23" s="65" t="s">
        <v>77</v>
      </c>
      <c r="G23" s="65"/>
      <c r="H23" s="65"/>
      <c r="I23" s="65"/>
      <c r="J23" s="65"/>
      <c r="K23" s="65"/>
      <c r="L23" s="65"/>
      <c r="M23" s="65"/>
      <c r="N23" s="65"/>
      <c r="O23" s="65"/>
      <c r="P23" s="66"/>
      <c r="Q23" s="65"/>
      <c r="R23" s="67"/>
      <c r="S23" s="65"/>
      <c r="T23" s="63"/>
      <c r="U23" s="65"/>
      <c r="V23" s="65"/>
      <c r="W23" s="121">
        <v>31000</v>
      </c>
      <c r="X23" s="121">
        <f t="shared" si="0"/>
        <v>15500</v>
      </c>
      <c r="Y23" s="121">
        <f t="shared" si="1"/>
        <v>6200</v>
      </c>
      <c r="Z23" s="121">
        <v>2083</v>
      </c>
      <c r="AA23" s="121">
        <v>2083</v>
      </c>
      <c r="AB23" s="121">
        <f t="shared" si="8"/>
        <v>5134</v>
      </c>
      <c r="AC23" s="121">
        <f t="shared" si="9"/>
        <v>31000</v>
      </c>
      <c r="AD23" s="120">
        <f t="shared" si="10"/>
        <v>1950</v>
      </c>
      <c r="AE23" s="120">
        <f t="shared" si="11"/>
        <v>0</v>
      </c>
      <c r="AF23" s="121">
        <v>6</v>
      </c>
      <c r="AG23" s="120">
        <f t="shared" si="12"/>
        <v>745.55</v>
      </c>
      <c r="AH23" s="120">
        <f t="shared" si="13"/>
        <v>33701.550000000003</v>
      </c>
      <c r="AI23" s="121" t="s">
        <v>111</v>
      </c>
      <c r="AJ23" s="65"/>
      <c r="AK23" s="65"/>
      <c r="AL23" s="65"/>
      <c r="AM23" s="65"/>
      <c r="AN23" s="65"/>
    </row>
    <row r="24" spans="1:40" x14ac:dyDescent="0.2">
      <c r="A24" s="65">
        <v>21</v>
      </c>
      <c r="B24" s="68" t="s">
        <v>156</v>
      </c>
      <c r="C24" s="63"/>
      <c r="D24" s="65" t="s">
        <v>132</v>
      </c>
      <c r="E24" s="65"/>
      <c r="F24" s="65" t="s">
        <v>77</v>
      </c>
      <c r="G24" s="65"/>
      <c r="H24" s="65"/>
      <c r="I24" s="65"/>
      <c r="J24" s="65"/>
      <c r="K24" s="65"/>
      <c r="L24" s="65"/>
      <c r="M24" s="65"/>
      <c r="N24" s="65"/>
      <c r="O24" s="65"/>
      <c r="P24" s="66"/>
      <c r="Q24" s="65"/>
      <c r="R24" s="67"/>
      <c r="S24" s="65"/>
      <c r="T24" s="63"/>
      <c r="U24" s="65"/>
      <c r="V24" s="65"/>
      <c r="W24" s="121">
        <v>24000</v>
      </c>
      <c r="X24" s="121">
        <f t="shared" si="0"/>
        <v>12000</v>
      </c>
      <c r="Y24" s="121">
        <f t="shared" si="1"/>
        <v>4800</v>
      </c>
      <c r="Z24" s="121">
        <v>2083</v>
      </c>
      <c r="AA24" s="121">
        <v>2083</v>
      </c>
      <c r="AB24" s="121">
        <f t="shared" si="8"/>
        <v>3034</v>
      </c>
      <c r="AC24" s="121">
        <f t="shared" si="9"/>
        <v>24000</v>
      </c>
      <c r="AD24" s="120">
        <f t="shared" si="10"/>
        <v>1950</v>
      </c>
      <c r="AE24" s="120">
        <f t="shared" si="11"/>
        <v>0</v>
      </c>
      <c r="AF24" s="121">
        <v>6</v>
      </c>
      <c r="AG24" s="120">
        <f t="shared" si="12"/>
        <v>577.19999999999993</v>
      </c>
      <c r="AH24" s="120">
        <f t="shared" si="13"/>
        <v>26533.200000000001</v>
      </c>
      <c r="AI24" s="121" t="s">
        <v>114</v>
      </c>
      <c r="AJ24" s="65"/>
      <c r="AK24" s="65"/>
      <c r="AL24" s="65"/>
      <c r="AM24" s="65"/>
      <c r="AN24" s="65"/>
    </row>
    <row r="25" spans="1:40" x14ac:dyDescent="0.2">
      <c r="A25" s="65">
        <v>22</v>
      </c>
      <c r="B25" s="68" t="s">
        <v>157</v>
      </c>
      <c r="C25" s="63"/>
      <c r="D25" s="65" t="s">
        <v>133</v>
      </c>
      <c r="E25" s="65"/>
      <c r="F25" s="65" t="s">
        <v>77</v>
      </c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65"/>
      <c r="R25" s="67"/>
      <c r="S25" s="65"/>
      <c r="T25" s="63"/>
      <c r="U25" s="65"/>
      <c r="V25" s="65"/>
      <c r="W25" s="121">
        <v>31000</v>
      </c>
      <c r="X25" s="121">
        <f t="shared" si="0"/>
        <v>15500</v>
      </c>
      <c r="Y25" s="121">
        <f t="shared" si="1"/>
        <v>6200</v>
      </c>
      <c r="Z25" s="121">
        <v>2083</v>
      </c>
      <c r="AA25" s="121">
        <v>2083</v>
      </c>
      <c r="AB25" s="121">
        <f t="shared" si="8"/>
        <v>5134</v>
      </c>
      <c r="AC25" s="121">
        <f t="shared" si="9"/>
        <v>31000</v>
      </c>
      <c r="AD25" s="120">
        <f t="shared" si="10"/>
        <v>1950</v>
      </c>
      <c r="AE25" s="120">
        <f t="shared" si="11"/>
        <v>0</v>
      </c>
      <c r="AF25" s="121">
        <v>6</v>
      </c>
      <c r="AG25" s="120">
        <f t="shared" si="12"/>
        <v>745.55</v>
      </c>
      <c r="AH25" s="120">
        <f t="shared" si="13"/>
        <v>33701.550000000003</v>
      </c>
      <c r="AI25" s="121" t="s">
        <v>111</v>
      </c>
      <c r="AJ25" s="65"/>
      <c r="AK25" s="65"/>
      <c r="AL25" s="65"/>
      <c r="AM25" s="65"/>
      <c r="AN25" s="65"/>
    </row>
    <row r="26" spans="1:40" x14ac:dyDescent="0.2">
      <c r="A26" s="65">
        <v>23</v>
      </c>
      <c r="B26" s="68" t="s">
        <v>158</v>
      </c>
      <c r="C26" s="63"/>
      <c r="D26" s="65" t="s">
        <v>134</v>
      </c>
      <c r="E26" s="65"/>
      <c r="F26" s="65" t="s">
        <v>77</v>
      </c>
      <c r="G26" s="65"/>
      <c r="H26" s="65"/>
      <c r="I26" s="65"/>
      <c r="J26" s="65"/>
      <c r="K26" s="65"/>
      <c r="L26" s="65"/>
      <c r="M26" s="65"/>
      <c r="N26" s="65"/>
      <c r="O26" s="65"/>
      <c r="P26" s="66"/>
      <c r="Q26" s="65"/>
      <c r="R26" s="67"/>
      <c r="S26" s="65"/>
      <c r="T26" s="63"/>
      <c r="U26" s="65"/>
      <c r="V26" s="65"/>
      <c r="W26" s="121">
        <v>16000</v>
      </c>
      <c r="X26" s="121">
        <f t="shared" si="0"/>
        <v>8000</v>
      </c>
      <c r="Y26" s="121">
        <f t="shared" si="1"/>
        <v>3200</v>
      </c>
      <c r="Z26" s="121">
        <v>2083</v>
      </c>
      <c r="AA26" s="121">
        <v>2083</v>
      </c>
      <c r="AB26" s="121">
        <f t="shared" si="8"/>
        <v>634</v>
      </c>
      <c r="AC26" s="121">
        <f t="shared" si="9"/>
        <v>16000</v>
      </c>
      <c r="AD26" s="120">
        <f t="shared" si="10"/>
        <v>2080</v>
      </c>
      <c r="AE26" s="120">
        <f t="shared" si="11"/>
        <v>520</v>
      </c>
      <c r="AF26" s="121">
        <v>6</v>
      </c>
      <c r="AG26" s="120">
        <f t="shared" si="12"/>
        <v>384.79999999999995</v>
      </c>
      <c r="AH26" s="120">
        <f t="shared" si="13"/>
        <v>18990.8</v>
      </c>
      <c r="AI26" s="121" t="s">
        <v>113</v>
      </c>
      <c r="AJ26" s="65"/>
      <c r="AK26" s="65"/>
      <c r="AL26" s="65"/>
      <c r="AM26" s="65"/>
      <c r="AN26" s="65"/>
    </row>
    <row r="27" spans="1:40" x14ac:dyDescent="0.2">
      <c r="A27" s="65">
        <v>24</v>
      </c>
      <c r="B27" s="68" t="s">
        <v>159</v>
      </c>
      <c r="C27" s="63"/>
      <c r="D27" s="65" t="s">
        <v>135</v>
      </c>
      <c r="E27" s="65"/>
      <c r="F27" s="65" t="s">
        <v>77</v>
      </c>
      <c r="G27" s="65"/>
      <c r="H27" s="65"/>
      <c r="I27" s="65"/>
      <c r="J27" s="65"/>
      <c r="K27" s="65"/>
      <c r="L27" s="65"/>
      <c r="M27" s="65"/>
      <c r="N27" s="65"/>
      <c r="O27" s="65"/>
      <c r="P27" s="66"/>
      <c r="Q27" s="65"/>
      <c r="R27" s="67"/>
      <c r="S27" s="65"/>
      <c r="T27" s="63"/>
      <c r="U27" s="65"/>
      <c r="V27" s="65"/>
      <c r="W27" s="121">
        <v>40000</v>
      </c>
      <c r="X27" s="121">
        <f t="shared" si="0"/>
        <v>20000</v>
      </c>
      <c r="Y27" s="121">
        <f t="shared" si="1"/>
        <v>8000</v>
      </c>
      <c r="Z27" s="121">
        <v>2083</v>
      </c>
      <c r="AA27" s="121">
        <v>2083</v>
      </c>
      <c r="AB27" s="121">
        <f t="shared" si="8"/>
        <v>7834</v>
      </c>
      <c r="AC27" s="121">
        <f t="shared" si="9"/>
        <v>40000</v>
      </c>
      <c r="AD27" s="120">
        <f t="shared" si="10"/>
        <v>1950</v>
      </c>
      <c r="AE27" s="120">
        <f t="shared" si="11"/>
        <v>0</v>
      </c>
      <c r="AF27" s="121">
        <v>6</v>
      </c>
      <c r="AG27" s="120">
        <f t="shared" si="12"/>
        <v>961.99999999999989</v>
      </c>
      <c r="AH27" s="120">
        <f t="shared" si="13"/>
        <v>42918</v>
      </c>
      <c r="AI27" s="121" t="s">
        <v>111</v>
      </c>
      <c r="AJ27" s="65"/>
      <c r="AK27" s="65"/>
      <c r="AL27" s="65"/>
      <c r="AM27" s="65"/>
      <c r="AN27" s="65"/>
    </row>
  </sheetData>
  <autoFilter ref="A3:AR3"/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47"/>
  <sheetViews>
    <sheetView tabSelected="1" zoomScaleNormal="100" zoomScalePageLayoutView="150" workbookViewId="0">
      <selection activeCell="G32" sqref="G32"/>
    </sheetView>
  </sheetViews>
  <sheetFormatPr defaultColWidth="11.42578125" defaultRowHeight="12" x14ac:dyDescent="0.25"/>
  <cols>
    <col min="1" max="1" width="3" style="44" customWidth="1"/>
    <col min="2" max="2" width="40.5703125" style="44" bestFit="1" customWidth="1"/>
    <col min="3" max="3" width="23.42578125" style="44" bestFit="1" customWidth="1"/>
    <col min="4" max="4" width="10.7109375" style="44" bestFit="1" customWidth="1"/>
    <col min="5" max="6" width="5.7109375" style="44" customWidth="1"/>
    <col min="7" max="8" width="7.7109375" style="44" customWidth="1"/>
    <col min="9" max="9" width="8" style="73" customWidth="1"/>
    <col min="10" max="10" width="10" style="44" customWidth="1"/>
    <col min="11" max="11" width="9.28515625" style="44" customWidth="1"/>
    <col min="12" max="12" width="11.42578125" style="44" customWidth="1"/>
    <col min="13" max="13" width="9.28515625" style="44" customWidth="1"/>
    <col min="14" max="14" width="9" style="44" customWidth="1"/>
    <col min="15" max="15" width="11.7109375" style="44" customWidth="1"/>
    <col min="16" max="16" width="11.28515625" style="44" customWidth="1"/>
    <col min="17" max="17" width="10.28515625" style="44" customWidth="1"/>
    <col min="18" max="19" width="9.7109375" style="44" customWidth="1"/>
    <col min="20" max="20" width="7.7109375" style="44" customWidth="1"/>
    <col min="21" max="21" width="10.28515625" style="44" customWidth="1"/>
    <col min="22" max="24" width="9.28515625" style="44" customWidth="1"/>
    <col min="25" max="25" width="8.42578125" style="44" customWidth="1"/>
    <col min="26" max="26" width="7.42578125" style="44" customWidth="1"/>
    <col min="27" max="27" width="7.28515625" style="44" customWidth="1"/>
    <col min="28" max="28" width="10.5703125" style="44" bestFit="1" customWidth="1"/>
    <col min="29" max="29" width="9.7109375" style="44" customWidth="1"/>
    <col min="30" max="30" width="11.7109375" style="44" customWidth="1"/>
    <col min="31" max="31" width="11.7109375" style="44" bestFit="1" customWidth="1"/>
    <col min="32" max="32" width="11.28515625" style="44" bestFit="1" customWidth="1"/>
    <col min="33" max="16384" width="11.42578125" style="44"/>
  </cols>
  <sheetData>
    <row r="2" spans="1:35" x14ac:dyDescent="0.25">
      <c r="A2" s="41"/>
      <c r="B2" s="118" t="s">
        <v>98</v>
      </c>
      <c r="C2" s="42"/>
      <c r="D2" s="42"/>
      <c r="E2" s="42"/>
      <c r="F2" s="42"/>
      <c r="G2" s="42"/>
      <c r="H2" s="42"/>
      <c r="I2" s="43"/>
    </row>
    <row r="3" spans="1:35" x14ac:dyDescent="0.25">
      <c r="A3" s="45"/>
      <c r="B3" s="42" t="s">
        <v>99</v>
      </c>
      <c r="C3" s="45"/>
      <c r="D3" s="45"/>
      <c r="E3" s="45"/>
      <c r="F3" s="45"/>
      <c r="G3" s="45"/>
      <c r="H3" s="45"/>
      <c r="I3" s="46"/>
    </row>
    <row r="4" spans="1:35" x14ac:dyDescent="0.25">
      <c r="A4" s="42"/>
      <c r="C4" s="42"/>
      <c r="D4" s="42"/>
      <c r="E4" s="42"/>
      <c r="F4" s="42"/>
      <c r="G4" s="42"/>
      <c r="H4" s="42"/>
      <c r="I4" s="114">
        <v>31</v>
      </c>
    </row>
    <row r="5" spans="1:35" x14ac:dyDescent="0.25">
      <c r="A5" s="47"/>
      <c r="B5" s="48">
        <v>1</v>
      </c>
      <c r="C5" s="48">
        <v>2</v>
      </c>
      <c r="D5" s="48">
        <v>3</v>
      </c>
      <c r="E5" s="48">
        <v>4</v>
      </c>
      <c r="F5" s="48">
        <v>5</v>
      </c>
      <c r="G5" s="48">
        <v>6</v>
      </c>
      <c r="H5" s="48">
        <v>7</v>
      </c>
      <c r="I5" s="48">
        <v>8</v>
      </c>
      <c r="J5" s="48">
        <v>9</v>
      </c>
      <c r="K5" s="48">
        <v>10</v>
      </c>
      <c r="L5" s="48">
        <v>11</v>
      </c>
      <c r="M5" s="48">
        <v>12</v>
      </c>
      <c r="N5" s="48">
        <v>13</v>
      </c>
      <c r="O5" s="48">
        <v>14</v>
      </c>
      <c r="P5" s="48">
        <v>15</v>
      </c>
      <c r="Q5" s="48">
        <v>16</v>
      </c>
      <c r="R5" s="48">
        <v>17</v>
      </c>
      <c r="S5" s="48">
        <v>18</v>
      </c>
      <c r="T5" s="48">
        <v>19</v>
      </c>
      <c r="U5" s="48">
        <v>20</v>
      </c>
      <c r="V5" s="48">
        <v>21</v>
      </c>
      <c r="W5" s="48">
        <v>22</v>
      </c>
      <c r="X5" s="48">
        <v>23</v>
      </c>
      <c r="Y5" s="48">
        <v>24</v>
      </c>
      <c r="Z5" s="48">
        <v>25</v>
      </c>
      <c r="AA5" s="48">
        <v>26</v>
      </c>
      <c r="AB5" s="48">
        <v>27</v>
      </c>
      <c r="AC5" s="48">
        <v>28</v>
      </c>
      <c r="AD5" s="48">
        <v>29</v>
      </c>
      <c r="AE5" s="48">
        <v>30</v>
      </c>
      <c r="AF5" s="48">
        <v>31</v>
      </c>
      <c r="AG5" s="48">
        <v>32</v>
      </c>
      <c r="AH5" s="48">
        <v>33</v>
      </c>
    </row>
    <row r="6" spans="1:35" x14ac:dyDescent="0.25">
      <c r="A6" s="47"/>
      <c r="B6" s="48"/>
      <c r="C6" s="48"/>
      <c r="D6" s="48"/>
      <c r="E6" s="48"/>
      <c r="F6" s="48"/>
      <c r="G6" s="48"/>
      <c r="H6" s="48"/>
      <c r="I6" s="48"/>
      <c r="J6" s="129" t="s">
        <v>59</v>
      </c>
      <c r="K6" s="130"/>
      <c r="L6" s="130"/>
      <c r="M6" s="130"/>
      <c r="N6" s="130"/>
      <c r="O6" s="131"/>
      <c r="P6" s="129" t="s">
        <v>60</v>
      </c>
      <c r="Q6" s="130"/>
      <c r="R6" s="130"/>
      <c r="S6" s="130"/>
      <c r="T6" s="130"/>
      <c r="U6" s="131"/>
      <c r="V6" s="49"/>
      <c r="W6" s="49"/>
      <c r="X6" s="49"/>
      <c r="Y6" s="129" t="s">
        <v>61</v>
      </c>
      <c r="Z6" s="130"/>
      <c r="AA6" s="130"/>
      <c r="AB6" s="131"/>
      <c r="AC6" s="50"/>
      <c r="AD6" s="48"/>
      <c r="AE6" s="48"/>
    </row>
    <row r="7" spans="1:35" s="51" customFormat="1" ht="36" x14ac:dyDescent="0.25">
      <c r="A7" s="124" t="s">
        <v>10</v>
      </c>
      <c r="B7" s="124" t="s">
        <v>58</v>
      </c>
      <c r="C7" s="124" t="s">
        <v>0</v>
      </c>
      <c r="D7" s="124" t="s">
        <v>43</v>
      </c>
      <c r="E7" s="124" t="s">
        <v>6</v>
      </c>
      <c r="F7" s="124" t="s">
        <v>7</v>
      </c>
      <c r="G7" s="124" t="s">
        <v>100</v>
      </c>
      <c r="H7" s="124" t="s">
        <v>8</v>
      </c>
      <c r="I7" s="125" t="s">
        <v>9</v>
      </c>
      <c r="J7" s="124" t="s">
        <v>24</v>
      </c>
      <c r="K7" s="124" t="s">
        <v>1</v>
      </c>
      <c r="L7" s="124" t="s">
        <v>25</v>
      </c>
      <c r="M7" s="126" t="s">
        <v>69</v>
      </c>
      <c r="N7" s="126" t="s">
        <v>2</v>
      </c>
      <c r="O7" s="126" t="s">
        <v>3</v>
      </c>
      <c r="P7" s="124" t="s">
        <v>24</v>
      </c>
      <c r="Q7" s="124" t="s">
        <v>1</v>
      </c>
      <c r="R7" s="124" t="s">
        <v>25</v>
      </c>
      <c r="S7" s="126" t="s">
        <v>69</v>
      </c>
      <c r="T7" s="126" t="s">
        <v>2</v>
      </c>
      <c r="U7" s="126" t="s">
        <v>27</v>
      </c>
      <c r="V7" s="126" t="s">
        <v>92</v>
      </c>
      <c r="W7" s="126" t="s">
        <v>93</v>
      </c>
      <c r="X7" s="126" t="s">
        <v>75</v>
      </c>
      <c r="Y7" s="126" t="s">
        <v>47</v>
      </c>
      <c r="Z7" s="126" t="s">
        <v>48</v>
      </c>
      <c r="AA7" s="126" t="s">
        <v>49</v>
      </c>
      <c r="AB7" s="126" t="s">
        <v>22</v>
      </c>
      <c r="AC7" s="126" t="s">
        <v>76</v>
      </c>
      <c r="AD7" s="126" t="s">
        <v>5</v>
      </c>
      <c r="AE7" s="126" t="s">
        <v>4</v>
      </c>
      <c r="AF7" s="127" t="s">
        <v>160</v>
      </c>
      <c r="AG7" s="127" t="s">
        <v>161</v>
      </c>
      <c r="AH7" s="127" t="s">
        <v>162</v>
      </c>
    </row>
    <row r="8" spans="1:35" s="85" customFormat="1" ht="12.75" x14ac:dyDescent="0.2">
      <c r="A8" s="76">
        <v>1</v>
      </c>
      <c r="B8" s="68" t="s">
        <v>136</v>
      </c>
      <c r="C8" s="77" t="str">
        <f>VLOOKUP(B8,'Master '!B$4:AN$63,3,0)</f>
        <v>SUSHANT KADLAG</v>
      </c>
      <c r="D8" s="78">
        <f>VLOOKUP(B8,'Master '!B$4:AQ$63,28,0)</f>
        <v>20000</v>
      </c>
      <c r="E8" s="119">
        <v>1</v>
      </c>
      <c r="F8" s="119">
        <v>4</v>
      </c>
      <c r="G8" s="119">
        <v>0</v>
      </c>
      <c r="H8" s="119">
        <v>26</v>
      </c>
      <c r="I8" s="79">
        <f t="shared" ref="I8:I31" si="0">SUM(E8:H8)</f>
        <v>31</v>
      </c>
      <c r="J8" s="80">
        <f>VLOOKUP(B8,'Master '!B$4:AR$133,23,0)</f>
        <v>10000</v>
      </c>
      <c r="K8" s="80">
        <f>VLOOKUP(B8,'Master '!B$4:AT$133,24,0)</f>
        <v>4000</v>
      </c>
      <c r="L8" s="80">
        <f>VLOOKUP(B8,'Master '!B$4:AU$133,25,0)</f>
        <v>2083</v>
      </c>
      <c r="M8" s="80">
        <f>VLOOKUP(B8,'Master '!B$4:AW$133,26,0)</f>
        <v>2083</v>
      </c>
      <c r="N8" s="80">
        <f>VLOOKUP(B8,'Master '!B$4:AX$133,27,0)</f>
        <v>1834</v>
      </c>
      <c r="O8" s="80">
        <f t="shared" ref="O8:O31" si="1">SUM(J8:N8)</f>
        <v>20000</v>
      </c>
      <c r="P8" s="81">
        <f t="shared" ref="P8:T9" si="2">ROUNDUP((J8/$I$4*$I8),0)</f>
        <v>10000</v>
      </c>
      <c r="Q8" s="81">
        <f t="shared" si="2"/>
        <v>4000</v>
      </c>
      <c r="R8" s="81">
        <f t="shared" si="2"/>
        <v>2083</v>
      </c>
      <c r="S8" s="81">
        <f t="shared" si="2"/>
        <v>2083</v>
      </c>
      <c r="T8" s="81">
        <f t="shared" si="2"/>
        <v>1834</v>
      </c>
      <c r="U8" s="81">
        <f t="shared" ref="U8:U31" si="3">ROUNDUP((SUM(P8:T8)),0)</f>
        <v>20000</v>
      </c>
      <c r="V8" s="81">
        <f t="shared" ref="V8:V31" si="4">P8+R8+S8+T8</f>
        <v>16000</v>
      </c>
      <c r="W8" s="81">
        <f t="shared" ref="W8:W31" si="5">IF(V8&gt;15000,15000,V8)</f>
        <v>15000</v>
      </c>
      <c r="X8" s="81">
        <f>ROUND(IF((VLOOKUP(B8,'Master '!B$4:W$29,22,0))&lt;20999,U8,0),0)</f>
        <v>20000</v>
      </c>
      <c r="Y8" s="81">
        <f t="shared" ref="Y8:Y31" si="6">W8*12%</f>
        <v>1800</v>
      </c>
      <c r="Z8" s="81">
        <f t="shared" ref="Z8:Z31" si="7">ROUNDUP((X8*0.75%),0)</f>
        <v>150</v>
      </c>
      <c r="AA8" s="81">
        <v>200</v>
      </c>
      <c r="AB8" s="82"/>
      <c r="AC8" s="83"/>
      <c r="AD8" s="84">
        <f t="shared" ref="AD8:AD31" si="8">SUM(Y8:AC8)</f>
        <v>2150</v>
      </c>
      <c r="AE8" s="84">
        <f t="shared" ref="AE8:AE31" si="9">U8-AD8</f>
        <v>17850</v>
      </c>
      <c r="AF8" s="128">
        <f>W8*13%</f>
        <v>1950</v>
      </c>
      <c r="AG8" s="128">
        <f>X8*3.25%</f>
        <v>650</v>
      </c>
      <c r="AH8" s="84">
        <f>U8+AF8+AG8</f>
        <v>22600</v>
      </c>
      <c r="AI8" s="86"/>
    </row>
    <row r="9" spans="1:35" s="85" customFormat="1" ht="12.75" x14ac:dyDescent="0.2">
      <c r="A9" s="76">
        <v>2</v>
      </c>
      <c r="B9" s="68" t="s">
        <v>137</v>
      </c>
      <c r="C9" s="77" t="str">
        <f>VLOOKUP(B9,'Master '!B$4:AN$63,3,0)</f>
        <v>ARCHIT RAMDAS AWARI</v>
      </c>
      <c r="D9" s="78">
        <f>VLOOKUP(B9,'Master '!B$4:AQ$63,28,0)</f>
        <v>50000</v>
      </c>
      <c r="E9" s="119">
        <v>1</v>
      </c>
      <c r="F9" s="119">
        <v>3</v>
      </c>
      <c r="G9" s="119">
        <v>0</v>
      </c>
      <c r="H9" s="119">
        <v>25</v>
      </c>
      <c r="I9" s="79">
        <f t="shared" si="0"/>
        <v>29</v>
      </c>
      <c r="J9" s="80">
        <f>VLOOKUP(B9,'Master '!B$4:AR$133,23,0)</f>
        <v>25000</v>
      </c>
      <c r="K9" s="80">
        <f>VLOOKUP(B9,'Master '!B$4:AT$133,24,0)</f>
        <v>10000</v>
      </c>
      <c r="L9" s="80">
        <f>VLOOKUP(B9,'Master '!B$4:AU$133,25,0)</f>
        <v>2083</v>
      </c>
      <c r="M9" s="80">
        <f>VLOOKUP(B9,'Master '!B$4:AW$133,26,0)</f>
        <v>2083</v>
      </c>
      <c r="N9" s="80">
        <f>VLOOKUP(B9,'Master '!B$4:AX$133,27,0)</f>
        <v>10834</v>
      </c>
      <c r="O9" s="80">
        <f t="shared" si="1"/>
        <v>50000</v>
      </c>
      <c r="P9" s="81">
        <f t="shared" si="2"/>
        <v>23388</v>
      </c>
      <c r="Q9" s="81">
        <f t="shared" si="2"/>
        <v>9355</v>
      </c>
      <c r="R9" s="81">
        <f t="shared" si="2"/>
        <v>1949</v>
      </c>
      <c r="S9" s="81">
        <f t="shared" si="2"/>
        <v>1949</v>
      </c>
      <c r="T9" s="81">
        <f t="shared" si="2"/>
        <v>10136</v>
      </c>
      <c r="U9" s="81">
        <f t="shared" si="3"/>
        <v>46777</v>
      </c>
      <c r="V9" s="81">
        <f t="shared" si="4"/>
        <v>37422</v>
      </c>
      <c r="W9" s="81">
        <f t="shared" si="5"/>
        <v>15000</v>
      </c>
      <c r="X9" s="81">
        <f>ROUND(IF((VLOOKUP(B9,'Master '!B$4:W$29,22,0))&lt;20999,U9,0),0)</f>
        <v>0</v>
      </c>
      <c r="Y9" s="81">
        <f t="shared" si="6"/>
        <v>1800</v>
      </c>
      <c r="Z9" s="81">
        <f t="shared" si="7"/>
        <v>0</v>
      </c>
      <c r="AA9" s="81">
        <v>200</v>
      </c>
      <c r="AB9" s="82"/>
      <c r="AC9" s="83"/>
      <c r="AD9" s="84">
        <f t="shared" si="8"/>
        <v>2000</v>
      </c>
      <c r="AE9" s="84">
        <f t="shared" si="9"/>
        <v>44777</v>
      </c>
      <c r="AF9" s="128">
        <f t="shared" ref="AF9:AF31" si="10">W9*13%</f>
        <v>1950</v>
      </c>
      <c r="AG9" s="128">
        <f t="shared" ref="AG9:AG31" si="11">X9*3.25%</f>
        <v>0</v>
      </c>
      <c r="AH9" s="84">
        <f t="shared" ref="AH9:AH31" si="12">U9+AF9+AG9</f>
        <v>48727</v>
      </c>
    </row>
    <row r="10" spans="1:35" s="85" customFormat="1" ht="12.75" x14ac:dyDescent="0.2">
      <c r="A10" s="76">
        <v>3</v>
      </c>
      <c r="B10" s="68" t="s">
        <v>138</v>
      </c>
      <c r="C10" s="77" t="str">
        <f>VLOOKUP(B10,'Master '!B$4:AN$63,3,0)</f>
        <v xml:space="preserve">Sandesh sable </v>
      </c>
      <c r="D10" s="78">
        <f>VLOOKUP(B10,'Master '!B$4:AQ$63,28,0)</f>
        <v>40000</v>
      </c>
      <c r="E10" s="119">
        <v>0</v>
      </c>
      <c r="F10" s="119">
        <v>4</v>
      </c>
      <c r="G10" s="119">
        <v>0</v>
      </c>
      <c r="H10" s="119">
        <v>25</v>
      </c>
      <c r="I10" s="79">
        <f t="shared" si="0"/>
        <v>29</v>
      </c>
      <c r="J10" s="80">
        <f>VLOOKUP(B10,'Master '!B$4:AR$133,23,0)</f>
        <v>20000</v>
      </c>
      <c r="K10" s="80">
        <f>VLOOKUP(B10,'Master '!B$4:AT$133,24,0)</f>
        <v>8000</v>
      </c>
      <c r="L10" s="80">
        <f>VLOOKUP(B10,'Master '!B$4:AU$133,25,0)</f>
        <v>2083</v>
      </c>
      <c r="M10" s="80">
        <f>VLOOKUP(B10,'Master '!B$4:AW$133,26,0)</f>
        <v>2083</v>
      </c>
      <c r="N10" s="80">
        <f>VLOOKUP(B10,'Master '!B$4:AX$133,27,0)</f>
        <v>7834</v>
      </c>
      <c r="O10" s="80">
        <f t="shared" si="1"/>
        <v>40000</v>
      </c>
      <c r="P10" s="81">
        <f t="shared" ref="P10:P23" si="13">ROUNDUP((J10/$I$4*$I10),0)</f>
        <v>18710</v>
      </c>
      <c r="Q10" s="81">
        <f t="shared" ref="Q10:Q23" si="14">ROUNDUP((K10/$I$4*$I10),0)</f>
        <v>7484</v>
      </c>
      <c r="R10" s="81">
        <f t="shared" ref="R10:R23" si="15">ROUNDUP((L10/$I$4*$I10),0)</f>
        <v>1949</v>
      </c>
      <c r="S10" s="81">
        <f t="shared" ref="S10:S23" si="16">ROUNDUP((M10/$I$4*$I10),0)</f>
        <v>1949</v>
      </c>
      <c r="T10" s="81">
        <f t="shared" ref="T10:T23" si="17">ROUNDUP((N10/$I$4*$I10),0)</f>
        <v>7329</v>
      </c>
      <c r="U10" s="81">
        <f t="shared" si="3"/>
        <v>37421</v>
      </c>
      <c r="V10" s="81">
        <f t="shared" si="4"/>
        <v>29937</v>
      </c>
      <c r="W10" s="81">
        <f t="shared" si="5"/>
        <v>15000</v>
      </c>
      <c r="X10" s="81">
        <f>ROUND(IF((VLOOKUP(B10,'Master '!B$4:W$29,22,0))&lt;20999,U10,0),0)</f>
        <v>0</v>
      </c>
      <c r="Y10" s="81">
        <f t="shared" si="6"/>
        <v>1800</v>
      </c>
      <c r="Z10" s="81">
        <f t="shared" si="7"/>
        <v>0</v>
      </c>
      <c r="AA10" s="81">
        <v>200</v>
      </c>
      <c r="AB10" s="82"/>
      <c r="AC10" s="83"/>
      <c r="AD10" s="84">
        <f t="shared" si="8"/>
        <v>2000</v>
      </c>
      <c r="AE10" s="84">
        <f t="shared" si="9"/>
        <v>35421</v>
      </c>
      <c r="AF10" s="128">
        <f t="shared" si="10"/>
        <v>1950</v>
      </c>
      <c r="AG10" s="128">
        <f t="shared" si="11"/>
        <v>0</v>
      </c>
      <c r="AH10" s="84">
        <f t="shared" si="12"/>
        <v>39371</v>
      </c>
    </row>
    <row r="11" spans="1:35" s="85" customFormat="1" ht="12.75" x14ac:dyDescent="0.2">
      <c r="A11" s="76">
        <v>4</v>
      </c>
      <c r="B11" s="68" t="s">
        <v>139</v>
      </c>
      <c r="C11" s="77" t="str">
        <f>VLOOKUP(B11,'Master '!B$4:AN$63,3,0)</f>
        <v>MAHESH SHINDE</v>
      </c>
      <c r="D11" s="78">
        <f>VLOOKUP(B11,'Master '!B$4:AQ$63,28,0)</f>
        <v>15000</v>
      </c>
      <c r="E11" s="119">
        <v>1</v>
      </c>
      <c r="F11" s="119">
        <v>2</v>
      </c>
      <c r="G11" s="119">
        <v>0</v>
      </c>
      <c r="H11" s="119">
        <v>26</v>
      </c>
      <c r="I11" s="79">
        <f t="shared" si="0"/>
        <v>29</v>
      </c>
      <c r="J11" s="80">
        <f>VLOOKUP(B11,'Master '!B$4:AR$133,23,0)</f>
        <v>7500</v>
      </c>
      <c r="K11" s="80">
        <f>VLOOKUP(B11,'Master '!B$4:AT$133,24,0)</f>
        <v>3000</v>
      </c>
      <c r="L11" s="80">
        <f>VLOOKUP(B11,'Master '!B$4:AU$133,25,0)</f>
        <v>2083</v>
      </c>
      <c r="M11" s="80">
        <f>VLOOKUP(B11,'Master '!B$4:AW$133,26,0)</f>
        <v>2083</v>
      </c>
      <c r="N11" s="80">
        <f>VLOOKUP(B11,'Master '!B$4:AX$133,27,0)</f>
        <v>334</v>
      </c>
      <c r="O11" s="80">
        <f t="shared" si="1"/>
        <v>15000</v>
      </c>
      <c r="P11" s="81">
        <f t="shared" si="13"/>
        <v>7017</v>
      </c>
      <c r="Q11" s="81">
        <f t="shared" si="14"/>
        <v>2807</v>
      </c>
      <c r="R11" s="81">
        <f t="shared" si="15"/>
        <v>1949</v>
      </c>
      <c r="S11" s="81">
        <f t="shared" si="16"/>
        <v>1949</v>
      </c>
      <c r="T11" s="81">
        <f t="shared" si="17"/>
        <v>313</v>
      </c>
      <c r="U11" s="81">
        <f t="shared" si="3"/>
        <v>14035</v>
      </c>
      <c r="V11" s="81">
        <f t="shared" si="4"/>
        <v>11228</v>
      </c>
      <c r="W11" s="81">
        <f t="shared" si="5"/>
        <v>11228</v>
      </c>
      <c r="X11" s="81">
        <f>ROUND(IF((VLOOKUP(B11,'Master '!B$4:W$29,22,0))&lt;20999,U11,0),0)</f>
        <v>14035</v>
      </c>
      <c r="Y11" s="81">
        <f t="shared" si="6"/>
        <v>1347.36</v>
      </c>
      <c r="Z11" s="81">
        <f t="shared" si="7"/>
        <v>106</v>
      </c>
      <c r="AA11" s="81">
        <v>200</v>
      </c>
      <c r="AB11" s="82"/>
      <c r="AC11" s="83"/>
      <c r="AD11" s="84">
        <f t="shared" si="8"/>
        <v>1653.36</v>
      </c>
      <c r="AE11" s="84">
        <f t="shared" si="9"/>
        <v>12381.64</v>
      </c>
      <c r="AF11" s="128">
        <f t="shared" si="10"/>
        <v>1459.64</v>
      </c>
      <c r="AG11" s="128">
        <f t="shared" si="11"/>
        <v>456.13749999999999</v>
      </c>
      <c r="AH11" s="84">
        <f t="shared" si="12"/>
        <v>15950.7775</v>
      </c>
    </row>
    <row r="12" spans="1:35" s="85" customFormat="1" ht="12.75" x14ac:dyDescent="0.2">
      <c r="A12" s="76">
        <v>5</v>
      </c>
      <c r="B12" s="68" t="s">
        <v>140</v>
      </c>
      <c r="C12" s="77" t="str">
        <f>VLOOKUP(B12,'Master '!B$4:AN$63,3,0)</f>
        <v>RAHUL DESHMUKH</v>
      </c>
      <c r="D12" s="78">
        <f>VLOOKUP(B12,'Master '!B$4:AQ$63,28,0)</f>
        <v>18000</v>
      </c>
      <c r="E12" s="119">
        <v>1</v>
      </c>
      <c r="F12" s="119">
        <v>4</v>
      </c>
      <c r="G12" s="119">
        <v>0</v>
      </c>
      <c r="H12" s="119">
        <v>26</v>
      </c>
      <c r="I12" s="79">
        <f t="shared" si="0"/>
        <v>31</v>
      </c>
      <c r="J12" s="80">
        <f>VLOOKUP(B12,'Master '!B$4:AR$133,23,0)</f>
        <v>9000</v>
      </c>
      <c r="K12" s="80">
        <f>VLOOKUP(B12,'Master '!B$4:AT$133,24,0)</f>
        <v>3600</v>
      </c>
      <c r="L12" s="80">
        <f>VLOOKUP(B12,'Master '!B$4:AU$133,25,0)</f>
        <v>2083</v>
      </c>
      <c r="M12" s="80">
        <f>VLOOKUP(B12,'Master '!B$4:AW$133,26,0)</f>
        <v>2083</v>
      </c>
      <c r="N12" s="80">
        <f>VLOOKUP(B12,'Master '!B$4:AX$133,27,0)</f>
        <v>1234</v>
      </c>
      <c r="O12" s="80">
        <f t="shared" si="1"/>
        <v>18000</v>
      </c>
      <c r="P12" s="81">
        <f t="shared" si="13"/>
        <v>9000</v>
      </c>
      <c r="Q12" s="81">
        <f t="shared" si="14"/>
        <v>3600</v>
      </c>
      <c r="R12" s="81">
        <f t="shared" si="15"/>
        <v>2083</v>
      </c>
      <c r="S12" s="81">
        <f t="shared" si="16"/>
        <v>2083</v>
      </c>
      <c r="T12" s="81">
        <f t="shared" si="17"/>
        <v>1234</v>
      </c>
      <c r="U12" s="81">
        <f t="shared" si="3"/>
        <v>18000</v>
      </c>
      <c r="V12" s="81">
        <f t="shared" si="4"/>
        <v>14400</v>
      </c>
      <c r="W12" s="81">
        <f t="shared" si="5"/>
        <v>14400</v>
      </c>
      <c r="X12" s="81">
        <f>ROUND(IF((VLOOKUP(B12,'Master '!B$4:W$29,22,0))&lt;20999,U12,0),0)</f>
        <v>18000</v>
      </c>
      <c r="Y12" s="81">
        <f t="shared" si="6"/>
        <v>1728</v>
      </c>
      <c r="Z12" s="81">
        <f t="shared" si="7"/>
        <v>135</v>
      </c>
      <c r="AA12" s="81">
        <v>200</v>
      </c>
      <c r="AB12" s="82"/>
      <c r="AC12" s="83"/>
      <c r="AD12" s="84">
        <f t="shared" si="8"/>
        <v>2063</v>
      </c>
      <c r="AE12" s="84">
        <f t="shared" si="9"/>
        <v>15937</v>
      </c>
      <c r="AF12" s="128">
        <f t="shared" si="10"/>
        <v>1872</v>
      </c>
      <c r="AG12" s="128">
        <f t="shared" si="11"/>
        <v>585</v>
      </c>
      <c r="AH12" s="84">
        <f t="shared" si="12"/>
        <v>20457</v>
      </c>
    </row>
    <row r="13" spans="1:35" s="85" customFormat="1" ht="12.75" x14ac:dyDescent="0.2">
      <c r="A13" s="76">
        <v>6</v>
      </c>
      <c r="B13" s="68" t="s">
        <v>141</v>
      </c>
      <c r="C13" s="77" t="str">
        <f>VLOOKUP(B13,'Master '!B$4:AN$63,3,0)</f>
        <v>SUCHIT BODAKE</v>
      </c>
      <c r="D13" s="78">
        <f>VLOOKUP(B13,'Master '!B$4:AQ$63,28,0)</f>
        <v>19000</v>
      </c>
      <c r="E13" s="119">
        <v>0</v>
      </c>
      <c r="F13" s="119">
        <v>3</v>
      </c>
      <c r="G13" s="119">
        <v>0</v>
      </c>
      <c r="H13" s="119">
        <v>24</v>
      </c>
      <c r="I13" s="79">
        <f t="shared" si="0"/>
        <v>27</v>
      </c>
      <c r="J13" s="80">
        <f>VLOOKUP(B13,'Master '!B$4:AR$133,23,0)</f>
        <v>9500</v>
      </c>
      <c r="K13" s="80">
        <f>VLOOKUP(B13,'Master '!B$4:AT$133,24,0)</f>
        <v>3800</v>
      </c>
      <c r="L13" s="80">
        <f>VLOOKUP(B13,'Master '!B$4:AU$133,25,0)</f>
        <v>2083</v>
      </c>
      <c r="M13" s="80">
        <f>VLOOKUP(B13,'Master '!B$4:AW$133,26,0)</f>
        <v>2083</v>
      </c>
      <c r="N13" s="80">
        <f>VLOOKUP(B13,'Master '!B$4:AX$133,27,0)</f>
        <v>1534</v>
      </c>
      <c r="O13" s="80">
        <f t="shared" si="1"/>
        <v>19000</v>
      </c>
      <c r="P13" s="81">
        <f t="shared" si="13"/>
        <v>8275</v>
      </c>
      <c r="Q13" s="81">
        <f t="shared" si="14"/>
        <v>3310</v>
      </c>
      <c r="R13" s="81">
        <f t="shared" si="15"/>
        <v>1815</v>
      </c>
      <c r="S13" s="81">
        <f t="shared" si="16"/>
        <v>1815</v>
      </c>
      <c r="T13" s="81">
        <f t="shared" si="17"/>
        <v>1337</v>
      </c>
      <c r="U13" s="81">
        <f t="shared" si="3"/>
        <v>16552</v>
      </c>
      <c r="V13" s="81">
        <f t="shared" si="4"/>
        <v>13242</v>
      </c>
      <c r="W13" s="81">
        <f t="shared" si="5"/>
        <v>13242</v>
      </c>
      <c r="X13" s="81">
        <f>ROUND(IF((VLOOKUP(B13,'Master '!B$4:W$29,22,0))&lt;20999,U13,0),0)</f>
        <v>16552</v>
      </c>
      <c r="Y13" s="81">
        <f t="shared" si="6"/>
        <v>1589.04</v>
      </c>
      <c r="Z13" s="81">
        <f t="shared" si="7"/>
        <v>125</v>
      </c>
      <c r="AA13" s="81">
        <v>200</v>
      </c>
      <c r="AB13" s="82"/>
      <c r="AC13" s="83"/>
      <c r="AD13" s="84">
        <f t="shared" si="8"/>
        <v>1914.04</v>
      </c>
      <c r="AE13" s="84">
        <f t="shared" si="9"/>
        <v>14637.96</v>
      </c>
      <c r="AF13" s="128">
        <f t="shared" si="10"/>
        <v>1721.46</v>
      </c>
      <c r="AG13" s="128">
        <f t="shared" si="11"/>
        <v>537.94000000000005</v>
      </c>
      <c r="AH13" s="84">
        <f t="shared" si="12"/>
        <v>18811.399999999998</v>
      </c>
    </row>
    <row r="14" spans="1:35" s="85" customFormat="1" ht="12.75" x14ac:dyDescent="0.2">
      <c r="A14" s="76">
        <v>7</v>
      </c>
      <c r="B14" s="68" t="s">
        <v>142</v>
      </c>
      <c r="C14" s="77" t="str">
        <f>VLOOKUP(B14,'Master '!B$4:AN$63,3,0)</f>
        <v>MANTHAN MAKODE</v>
      </c>
      <c r="D14" s="78">
        <f>VLOOKUP(B14,'Master '!B$4:AQ$63,28,0)</f>
        <v>21000</v>
      </c>
      <c r="E14" s="119">
        <v>1</v>
      </c>
      <c r="F14" s="119">
        <v>4</v>
      </c>
      <c r="G14" s="119">
        <v>0</v>
      </c>
      <c r="H14" s="119">
        <v>26</v>
      </c>
      <c r="I14" s="79">
        <f t="shared" si="0"/>
        <v>31</v>
      </c>
      <c r="J14" s="80">
        <f>VLOOKUP(B14,'Master '!B$4:AR$133,23,0)</f>
        <v>10500</v>
      </c>
      <c r="K14" s="80">
        <f>VLOOKUP(B14,'Master '!B$4:AT$133,24,0)</f>
        <v>4200</v>
      </c>
      <c r="L14" s="80">
        <f>VLOOKUP(B14,'Master '!B$4:AU$133,25,0)</f>
        <v>2083</v>
      </c>
      <c r="M14" s="80">
        <f>VLOOKUP(B14,'Master '!B$4:AW$133,26,0)</f>
        <v>2083</v>
      </c>
      <c r="N14" s="80">
        <f>VLOOKUP(B14,'Master '!B$4:AX$133,27,0)</f>
        <v>2134</v>
      </c>
      <c r="O14" s="80">
        <f t="shared" si="1"/>
        <v>21000</v>
      </c>
      <c r="P14" s="81">
        <f t="shared" si="13"/>
        <v>10500</v>
      </c>
      <c r="Q14" s="81">
        <f t="shared" si="14"/>
        <v>4200</v>
      </c>
      <c r="R14" s="81">
        <f t="shared" si="15"/>
        <v>2083</v>
      </c>
      <c r="S14" s="81">
        <f t="shared" si="16"/>
        <v>2083</v>
      </c>
      <c r="T14" s="81">
        <f t="shared" si="17"/>
        <v>2134</v>
      </c>
      <c r="U14" s="81">
        <f t="shared" si="3"/>
        <v>21000</v>
      </c>
      <c r="V14" s="81">
        <f t="shared" si="4"/>
        <v>16800</v>
      </c>
      <c r="W14" s="81">
        <f t="shared" si="5"/>
        <v>15000</v>
      </c>
      <c r="X14" s="81">
        <f>ROUND(IF((VLOOKUP(B14,'Master '!B$4:W$29,22,0))&lt;20999,U14,0),0)</f>
        <v>0</v>
      </c>
      <c r="Y14" s="81">
        <f t="shared" si="6"/>
        <v>1800</v>
      </c>
      <c r="Z14" s="81">
        <f t="shared" si="7"/>
        <v>0</v>
      </c>
      <c r="AA14" s="81">
        <v>200</v>
      </c>
      <c r="AB14" s="82"/>
      <c r="AC14" s="83"/>
      <c r="AD14" s="84">
        <f t="shared" si="8"/>
        <v>2000</v>
      </c>
      <c r="AE14" s="84">
        <f t="shared" si="9"/>
        <v>19000</v>
      </c>
      <c r="AF14" s="128">
        <f t="shared" si="10"/>
        <v>1950</v>
      </c>
      <c r="AG14" s="128">
        <f t="shared" si="11"/>
        <v>0</v>
      </c>
      <c r="AH14" s="84">
        <f t="shared" si="12"/>
        <v>22950</v>
      </c>
    </row>
    <row r="15" spans="1:35" s="85" customFormat="1" ht="12.75" x14ac:dyDescent="0.2">
      <c r="A15" s="76">
        <v>8</v>
      </c>
      <c r="B15" s="68" t="s">
        <v>143</v>
      </c>
      <c r="C15" s="77" t="str">
        <f>VLOOKUP(B15,'Master '!B$4:AN$63,3,0)</f>
        <v>ATHARV KAKADE</v>
      </c>
      <c r="D15" s="78">
        <f>VLOOKUP(B15,'Master '!B$4:AQ$63,28,0)</f>
        <v>20000</v>
      </c>
      <c r="E15" s="119">
        <v>0</v>
      </c>
      <c r="F15" s="119">
        <v>4</v>
      </c>
      <c r="G15" s="119">
        <v>0</v>
      </c>
      <c r="H15" s="119">
        <v>25</v>
      </c>
      <c r="I15" s="79">
        <f t="shared" si="0"/>
        <v>29</v>
      </c>
      <c r="J15" s="80">
        <f>VLOOKUP(B15,'Master '!B$4:AR$133,23,0)</f>
        <v>10000</v>
      </c>
      <c r="K15" s="80">
        <f>VLOOKUP(B15,'Master '!B$4:AT$133,24,0)</f>
        <v>4000</v>
      </c>
      <c r="L15" s="80">
        <f>VLOOKUP(B15,'Master '!B$4:AU$133,25,0)</f>
        <v>2083</v>
      </c>
      <c r="M15" s="80">
        <f>VLOOKUP(B15,'Master '!B$4:AW$133,26,0)</f>
        <v>2083</v>
      </c>
      <c r="N15" s="80">
        <f>VLOOKUP(B15,'Master '!B$4:AX$133,27,0)</f>
        <v>1834</v>
      </c>
      <c r="O15" s="80">
        <f t="shared" si="1"/>
        <v>20000</v>
      </c>
      <c r="P15" s="81">
        <f t="shared" si="13"/>
        <v>9355</v>
      </c>
      <c r="Q15" s="81">
        <f t="shared" si="14"/>
        <v>3742</v>
      </c>
      <c r="R15" s="81">
        <f t="shared" si="15"/>
        <v>1949</v>
      </c>
      <c r="S15" s="81">
        <f t="shared" si="16"/>
        <v>1949</v>
      </c>
      <c r="T15" s="81">
        <f t="shared" si="17"/>
        <v>1716</v>
      </c>
      <c r="U15" s="81">
        <f t="shared" si="3"/>
        <v>18711</v>
      </c>
      <c r="V15" s="81">
        <f t="shared" si="4"/>
        <v>14969</v>
      </c>
      <c r="W15" s="81">
        <f t="shared" si="5"/>
        <v>14969</v>
      </c>
      <c r="X15" s="81">
        <f>ROUND(IF((VLOOKUP(B15,'Master '!B$4:W$29,22,0))&lt;20999,U15,0),0)</f>
        <v>18711</v>
      </c>
      <c r="Y15" s="81">
        <f t="shared" si="6"/>
        <v>1796.28</v>
      </c>
      <c r="Z15" s="81">
        <f t="shared" si="7"/>
        <v>141</v>
      </c>
      <c r="AA15" s="81">
        <v>200</v>
      </c>
      <c r="AB15" s="82"/>
      <c r="AC15" s="83"/>
      <c r="AD15" s="84">
        <f t="shared" si="8"/>
        <v>2137.2799999999997</v>
      </c>
      <c r="AE15" s="84">
        <f t="shared" si="9"/>
        <v>16573.72</v>
      </c>
      <c r="AF15" s="128">
        <f t="shared" si="10"/>
        <v>1945.97</v>
      </c>
      <c r="AG15" s="128">
        <f t="shared" si="11"/>
        <v>608.10750000000007</v>
      </c>
      <c r="AH15" s="84">
        <f t="shared" si="12"/>
        <v>21265.077499999999</v>
      </c>
    </row>
    <row r="16" spans="1:35" s="85" customFormat="1" ht="12.75" x14ac:dyDescent="0.2">
      <c r="A16" s="76">
        <v>9</v>
      </c>
      <c r="B16" s="68" t="s">
        <v>144</v>
      </c>
      <c r="C16" s="77" t="str">
        <f>VLOOKUP(B16,'Master '!B$4:AN$63,3,0)</f>
        <v>ARYAN SALUNKE</v>
      </c>
      <c r="D16" s="78">
        <f>VLOOKUP(B16,'Master '!B$4:AQ$63,28,0)</f>
        <v>20000</v>
      </c>
      <c r="E16" s="119">
        <v>1</v>
      </c>
      <c r="F16" s="119">
        <v>2</v>
      </c>
      <c r="G16" s="119">
        <v>0</v>
      </c>
      <c r="H16" s="119">
        <v>26</v>
      </c>
      <c r="I16" s="79">
        <f t="shared" si="0"/>
        <v>29</v>
      </c>
      <c r="J16" s="80">
        <f>VLOOKUP(B16,'Master '!B$4:AR$133,23,0)</f>
        <v>10000</v>
      </c>
      <c r="K16" s="80">
        <f>VLOOKUP(B16,'Master '!B$4:AT$133,24,0)</f>
        <v>4000</v>
      </c>
      <c r="L16" s="80">
        <f>VLOOKUP(B16,'Master '!B$4:AU$133,25,0)</f>
        <v>2083</v>
      </c>
      <c r="M16" s="80">
        <f>VLOOKUP(B16,'Master '!B$4:AW$133,26,0)</f>
        <v>2083</v>
      </c>
      <c r="N16" s="80">
        <f>VLOOKUP(B16,'Master '!B$4:AX$133,27,0)</f>
        <v>1834</v>
      </c>
      <c r="O16" s="80">
        <f t="shared" si="1"/>
        <v>20000</v>
      </c>
      <c r="P16" s="81">
        <f t="shared" si="13"/>
        <v>9355</v>
      </c>
      <c r="Q16" s="81">
        <f t="shared" si="14"/>
        <v>3742</v>
      </c>
      <c r="R16" s="81">
        <f t="shared" si="15"/>
        <v>1949</v>
      </c>
      <c r="S16" s="81">
        <f t="shared" si="16"/>
        <v>1949</v>
      </c>
      <c r="T16" s="81">
        <f t="shared" si="17"/>
        <v>1716</v>
      </c>
      <c r="U16" s="81">
        <f t="shared" si="3"/>
        <v>18711</v>
      </c>
      <c r="V16" s="81">
        <f t="shared" si="4"/>
        <v>14969</v>
      </c>
      <c r="W16" s="81">
        <f t="shared" si="5"/>
        <v>14969</v>
      </c>
      <c r="X16" s="81">
        <f>ROUND(IF((VLOOKUP(B16,'Master '!B$4:W$29,22,0))&lt;20999,U16,0),0)</f>
        <v>18711</v>
      </c>
      <c r="Y16" s="81">
        <f t="shared" si="6"/>
        <v>1796.28</v>
      </c>
      <c r="Z16" s="81">
        <f t="shared" si="7"/>
        <v>141</v>
      </c>
      <c r="AA16" s="81">
        <v>200</v>
      </c>
      <c r="AB16" s="82"/>
      <c r="AC16" s="83"/>
      <c r="AD16" s="84">
        <f t="shared" si="8"/>
        <v>2137.2799999999997</v>
      </c>
      <c r="AE16" s="84">
        <f t="shared" si="9"/>
        <v>16573.72</v>
      </c>
      <c r="AF16" s="128">
        <f t="shared" si="10"/>
        <v>1945.97</v>
      </c>
      <c r="AG16" s="128">
        <f t="shared" si="11"/>
        <v>608.10750000000007</v>
      </c>
      <c r="AH16" s="84">
        <f t="shared" si="12"/>
        <v>21265.077499999999</v>
      </c>
    </row>
    <row r="17" spans="1:34" s="85" customFormat="1" ht="12.75" x14ac:dyDescent="0.2">
      <c r="A17" s="76">
        <v>10</v>
      </c>
      <c r="B17" s="68" t="s">
        <v>145</v>
      </c>
      <c r="C17" s="77" t="str">
        <f>VLOOKUP(B17,'Master '!B$4:AN$63,3,0)</f>
        <v>SANIKA KHARADE</v>
      </c>
      <c r="D17" s="78">
        <f>VLOOKUP(B17,'Master '!B$4:AQ$63,28,0)</f>
        <v>20000</v>
      </c>
      <c r="E17" s="119">
        <v>1</v>
      </c>
      <c r="F17" s="119">
        <v>4</v>
      </c>
      <c r="G17" s="119">
        <v>0</v>
      </c>
      <c r="H17" s="119">
        <v>26</v>
      </c>
      <c r="I17" s="79">
        <f t="shared" si="0"/>
        <v>31</v>
      </c>
      <c r="J17" s="80">
        <f>VLOOKUP(B17,'Master '!B$4:AR$133,23,0)</f>
        <v>10000</v>
      </c>
      <c r="K17" s="80">
        <f>VLOOKUP(B17,'Master '!B$4:AT$133,24,0)</f>
        <v>4000</v>
      </c>
      <c r="L17" s="80">
        <f>VLOOKUP(B17,'Master '!B$4:AU$133,25,0)</f>
        <v>2083</v>
      </c>
      <c r="M17" s="80">
        <f>VLOOKUP(B17,'Master '!B$4:AW$133,26,0)</f>
        <v>2083</v>
      </c>
      <c r="N17" s="80">
        <f>VLOOKUP(B17,'Master '!B$4:AX$133,27,0)</f>
        <v>1834</v>
      </c>
      <c r="O17" s="80">
        <f t="shared" si="1"/>
        <v>20000</v>
      </c>
      <c r="P17" s="81">
        <f t="shared" si="13"/>
        <v>10000</v>
      </c>
      <c r="Q17" s="81">
        <f t="shared" si="14"/>
        <v>4000</v>
      </c>
      <c r="R17" s="81">
        <f t="shared" si="15"/>
        <v>2083</v>
      </c>
      <c r="S17" s="81">
        <f t="shared" si="16"/>
        <v>2083</v>
      </c>
      <c r="T17" s="81">
        <f t="shared" si="17"/>
        <v>1834</v>
      </c>
      <c r="U17" s="81">
        <f t="shared" si="3"/>
        <v>20000</v>
      </c>
      <c r="V17" s="81">
        <f t="shared" si="4"/>
        <v>16000</v>
      </c>
      <c r="W17" s="81">
        <f t="shared" si="5"/>
        <v>15000</v>
      </c>
      <c r="X17" s="81">
        <f>ROUND(IF((VLOOKUP(B17,'Master '!B$4:W$29,22,0))&lt;20999,U17,0),0)</f>
        <v>20000</v>
      </c>
      <c r="Y17" s="81">
        <f t="shared" si="6"/>
        <v>1800</v>
      </c>
      <c r="Z17" s="81">
        <f t="shared" si="7"/>
        <v>150</v>
      </c>
      <c r="AA17" s="81">
        <v>200</v>
      </c>
      <c r="AB17" s="82"/>
      <c r="AC17" s="83"/>
      <c r="AD17" s="84">
        <f t="shared" si="8"/>
        <v>2150</v>
      </c>
      <c r="AE17" s="84">
        <f t="shared" si="9"/>
        <v>17850</v>
      </c>
      <c r="AF17" s="128">
        <f t="shared" si="10"/>
        <v>1950</v>
      </c>
      <c r="AG17" s="128">
        <f t="shared" si="11"/>
        <v>650</v>
      </c>
      <c r="AH17" s="84">
        <f t="shared" si="12"/>
        <v>22600</v>
      </c>
    </row>
    <row r="18" spans="1:34" s="85" customFormat="1" ht="12.75" x14ac:dyDescent="0.2">
      <c r="A18" s="76">
        <v>11</v>
      </c>
      <c r="B18" s="68" t="s">
        <v>146</v>
      </c>
      <c r="C18" s="77" t="str">
        <f>VLOOKUP(B18,'Master '!B$4:AN$63,3,0)</f>
        <v>MAHI JOSHI</v>
      </c>
      <c r="D18" s="78">
        <f>VLOOKUP(B18,'Master '!B$4:AQ$63,28,0)</f>
        <v>20000</v>
      </c>
      <c r="E18" s="119">
        <v>0</v>
      </c>
      <c r="F18" s="119">
        <v>3</v>
      </c>
      <c r="G18" s="119">
        <v>0</v>
      </c>
      <c r="H18" s="119">
        <v>24</v>
      </c>
      <c r="I18" s="79">
        <f t="shared" si="0"/>
        <v>27</v>
      </c>
      <c r="J18" s="80">
        <f>VLOOKUP(B18,'Master '!B$4:AR$133,23,0)</f>
        <v>10000</v>
      </c>
      <c r="K18" s="80">
        <f>VLOOKUP(B18,'Master '!B$4:AT$133,24,0)</f>
        <v>4000</v>
      </c>
      <c r="L18" s="80">
        <f>VLOOKUP(B18,'Master '!B$4:AU$133,25,0)</f>
        <v>2083</v>
      </c>
      <c r="M18" s="80">
        <f>VLOOKUP(B18,'Master '!B$4:AW$133,26,0)</f>
        <v>2083</v>
      </c>
      <c r="N18" s="80">
        <f>VLOOKUP(B18,'Master '!B$4:AX$133,27,0)</f>
        <v>1834</v>
      </c>
      <c r="O18" s="80">
        <f t="shared" si="1"/>
        <v>20000</v>
      </c>
      <c r="P18" s="81">
        <f t="shared" si="13"/>
        <v>8710</v>
      </c>
      <c r="Q18" s="81">
        <f t="shared" si="14"/>
        <v>3484</v>
      </c>
      <c r="R18" s="81">
        <f t="shared" si="15"/>
        <v>1815</v>
      </c>
      <c r="S18" s="81">
        <f t="shared" si="16"/>
        <v>1815</v>
      </c>
      <c r="T18" s="81">
        <f t="shared" si="17"/>
        <v>1598</v>
      </c>
      <c r="U18" s="81">
        <f t="shared" si="3"/>
        <v>17422</v>
      </c>
      <c r="V18" s="81">
        <f t="shared" si="4"/>
        <v>13938</v>
      </c>
      <c r="W18" s="81">
        <f t="shared" si="5"/>
        <v>13938</v>
      </c>
      <c r="X18" s="81">
        <f>ROUND(IF((VLOOKUP(B18,'Master '!B$4:W$29,22,0))&lt;20999,U18,0),0)</f>
        <v>17422</v>
      </c>
      <c r="Y18" s="81">
        <f t="shared" si="6"/>
        <v>1672.56</v>
      </c>
      <c r="Z18" s="81">
        <f t="shared" si="7"/>
        <v>131</v>
      </c>
      <c r="AA18" s="81">
        <v>200</v>
      </c>
      <c r="AB18" s="82"/>
      <c r="AC18" s="83"/>
      <c r="AD18" s="84">
        <f t="shared" si="8"/>
        <v>2003.56</v>
      </c>
      <c r="AE18" s="84">
        <f t="shared" si="9"/>
        <v>15418.44</v>
      </c>
      <c r="AF18" s="128">
        <f t="shared" si="10"/>
        <v>1811.94</v>
      </c>
      <c r="AG18" s="128">
        <f t="shared" si="11"/>
        <v>566.21500000000003</v>
      </c>
      <c r="AH18" s="84">
        <f t="shared" si="12"/>
        <v>19800.154999999999</v>
      </c>
    </row>
    <row r="19" spans="1:34" s="85" customFormat="1" ht="12.75" x14ac:dyDescent="0.2">
      <c r="A19" s="76">
        <v>12</v>
      </c>
      <c r="B19" s="68" t="s">
        <v>147</v>
      </c>
      <c r="C19" s="77" t="str">
        <f>VLOOKUP(B19,'Master '!B$4:AN$63,3,0)</f>
        <v>MANIK DHAMALE</v>
      </c>
      <c r="D19" s="78">
        <f>VLOOKUP(B19,'Master '!B$4:AQ$63,28,0)</f>
        <v>40000</v>
      </c>
      <c r="E19" s="119">
        <v>1</v>
      </c>
      <c r="F19" s="119">
        <v>4</v>
      </c>
      <c r="G19" s="119">
        <v>0</v>
      </c>
      <c r="H19" s="119">
        <v>26</v>
      </c>
      <c r="I19" s="79">
        <f t="shared" si="0"/>
        <v>31</v>
      </c>
      <c r="J19" s="80">
        <f>VLOOKUP(B19,'Master '!B$4:AR$133,23,0)</f>
        <v>20000</v>
      </c>
      <c r="K19" s="80">
        <f>VLOOKUP(B19,'Master '!B$4:AT$133,24,0)</f>
        <v>8000</v>
      </c>
      <c r="L19" s="80">
        <f>VLOOKUP(B19,'Master '!B$4:AU$133,25,0)</f>
        <v>2083</v>
      </c>
      <c r="M19" s="80">
        <f>VLOOKUP(B19,'Master '!B$4:AW$133,26,0)</f>
        <v>2083</v>
      </c>
      <c r="N19" s="80">
        <f>VLOOKUP(B19,'Master '!B$4:AX$133,27,0)</f>
        <v>7834</v>
      </c>
      <c r="O19" s="80">
        <f t="shared" si="1"/>
        <v>40000</v>
      </c>
      <c r="P19" s="81">
        <f t="shared" si="13"/>
        <v>20000</v>
      </c>
      <c r="Q19" s="81">
        <f t="shared" si="14"/>
        <v>8000</v>
      </c>
      <c r="R19" s="81">
        <f t="shared" si="15"/>
        <v>2083</v>
      </c>
      <c r="S19" s="81">
        <f t="shared" si="16"/>
        <v>2083</v>
      </c>
      <c r="T19" s="81">
        <f t="shared" si="17"/>
        <v>7834</v>
      </c>
      <c r="U19" s="81">
        <f t="shared" si="3"/>
        <v>40000</v>
      </c>
      <c r="V19" s="81">
        <f t="shared" si="4"/>
        <v>32000</v>
      </c>
      <c r="W19" s="81">
        <f t="shared" si="5"/>
        <v>15000</v>
      </c>
      <c r="X19" s="81">
        <f>ROUND(IF((VLOOKUP(B19,'Master '!B$4:W$29,22,0))&lt;20999,U19,0),0)</f>
        <v>0</v>
      </c>
      <c r="Y19" s="81">
        <f t="shared" si="6"/>
        <v>1800</v>
      </c>
      <c r="Z19" s="81">
        <f t="shared" si="7"/>
        <v>0</v>
      </c>
      <c r="AA19" s="81">
        <v>200</v>
      </c>
      <c r="AB19" s="82"/>
      <c r="AC19" s="83"/>
      <c r="AD19" s="84">
        <f t="shared" si="8"/>
        <v>2000</v>
      </c>
      <c r="AE19" s="84">
        <f t="shared" si="9"/>
        <v>38000</v>
      </c>
      <c r="AF19" s="128">
        <f t="shared" si="10"/>
        <v>1950</v>
      </c>
      <c r="AG19" s="128">
        <f t="shared" si="11"/>
        <v>0</v>
      </c>
      <c r="AH19" s="84">
        <f t="shared" si="12"/>
        <v>41950</v>
      </c>
    </row>
    <row r="20" spans="1:34" s="85" customFormat="1" ht="12.75" x14ac:dyDescent="0.2">
      <c r="A20" s="76">
        <v>13</v>
      </c>
      <c r="B20" s="68" t="s">
        <v>148</v>
      </c>
      <c r="C20" s="77" t="str">
        <f>VLOOKUP(B20,'Master '!B$4:AN$63,3,0)</f>
        <v>RUSHIKESH WAKALE</v>
      </c>
      <c r="D20" s="78">
        <f>VLOOKUP(B20,'Master '!B$4:AQ$63,28,0)</f>
        <v>30000</v>
      </c>
      <c r="E20" s="119">
        <v>1</v>
      </c>
      <c r="F20" s="119">
        <v>4</v>
      </c>
      <c r="G20" s="119">
        <v>0</v>
      </c>
      <c r="H20" s="119">
        <v>26</v>
      </c>
      <c r="I20" s="79">
        <f t="shared" si="0"/>
        <v>31</v>
      </c>
      <c r="J20" s="80">
        <f>VLOOKUP(B20,'Master '!B$4:AR$133,23,0)</f>
        <v>15000</v>
      </c>
      <c r="K20" s="80">
        <f>VLOOKUP(B20,'Master '!B$4:AT$133,24,0)</f>
        <v>6000</v>
      </c>
      <c r="L20" s="80">
        <f>VLOOKUP(B20,'Master '!B$4:AU$133,25,0)</f>
        <v>2083</v>
      </c>
      <c r="M20" s="80">
        <f>VLOOKUP(B20,'Master '!B$4:AW$133,26,0)</f>
        <v>2083</v>
      </c>
      <c r="N20" s="80">
        <f>VLOOKUP(B20,'Master '!B$4:AX$133,27,0)</f>
        <v>4834</v>
      </c>
      <c r="O20" s="80">
        <f t="shared" si="1"/>
        <v>30000</v>
      </c>
      <c r="P20" s="81">
        <f t="shared" si="13"/>
        <v>15000</v>
      </c>
      <c r="Q20" s="81">
        <f t="shared" si="14"/>
        <v>6000</v>
      </c>
      <c r="R20" s="81">
        <f t="shared" si="15"/>
        <v>2083</v>
      </c>
      <c r="S20" s="81">
        <f t="shared" si="16"/>
        <v>2083</v>
      </c>
      <c r="T20" s="81">
        <f t="shared" si="17"/>
        <v>4834</v>
      </c>
      <c r="U20" s="81">
        <f t="shared" si="3"/>
        <v>30000</v>
      </c>
      <c r="V20" s="81">
        <f t="shared" si="4"/>
        <v>24000</v>
      </c>
      <c r="W20" s="81">
        <f t="shared" si="5"/>
        <v>15000</v>
      </c>
      <c r="X20" s="81">
        <f>ROUND(IF((VLOOKUP(B20,'Master '!B$4:W$29,22,0))&lt;20999,U20,0),0)</f>
        <v>0</v>
      </c>
      <c r="Y20" s="81">
        <f t="shared" si="6"/>
        <v>1800</v>
      </c>
      <c r="Z20" s="81">
        <f t="shared" si="7"/>
        <v>0</v>
      </c>
      <c r="AA20" s="81">
        <v>200</v>
      </c>
      <c r="AB20" s="82"/>
      <c r="AC20" s="83"/>
      <c r="AD20" s="84">
        <f t="shared" si="8"/>
        <v>2000</v>
      </c>
      <c r="AE20" s="84">
        <f t="shared" si="9"/>
        <v>28000</v>
      </c>
      <c r="AF20" s="128">
        <f t="shared" si="10"/>
        <v>1950</v>
      </c>
      <c r="AG20" s="128">
        <f t="shared" si="11"/>
        <v>0</v>
      </c>
      <c r="AH20" s="84">
        <f t="shared" si="12"/>
        <v>31950</v>
      </c>
    </row>
    <row r="21" spans="1:34" s="85" customFormat="1" ht="12.75" x14ac:dyDescent="0.2">
      <c r="A21" s="76">
        <v>14</v>
      </c>
      <c r="B21" s="68" t="s">
        <v>149</v>
      </c>
      <c r="C21" s="77" t="str">
        <f>VLOOKUP(B21,'Master '!B$4:AN$63,3,0)</f>
        <v>SANDESH CHOKHANDE</v>
      </c>
      <c r="D21" s="78">
        <f>VLOOKUP(B21,'Master '!B$4:AQ$63,28,0)</f>
        <v>16000</v>
      </c>
      <c r="E21" s="119">
        <v>1</v>
      </c>
      <c r="F21" s="119">
        <v>2</v>
      </c>
      <c r="G21" s="119">
        <v>0</v>
      </c>
      <c r="H21" s="119">
        <v>24</v>
      </c>
      <c r="I21" s="79">
        <f t="shared" si="0"/>
        <v>27</v>
      </c>
      <c r="J21" s="80">
        <f>VLOOKUP(B21,'Master '!B$4:AR$133,23,0)</f>
        <v>8000</v>
      </c>
      <c r="K21" s="80">
        <f>VLOOKUP(B21,'Master '!B$4:AT$133,24,0)</f>
        <v>3200</v>
      </c>
      <c r="L21" s="80">
        <f>VLOOKUP(B21,'Master '!B$4:AU$133,25,0)</f>
        <v>2083</v>
      </c>
      <c r="M21" s="80">
        <f>VLOOKUP(B21,'Master '!B$4:AW$133,26,0)</f>
        <v>2083</v>
      </c>
      <c r="N21" s="80">
        <f>VLOOKUP(B21,'Master '!B$4:AX$133,27,0)</f>
        <v>634</v>
      </c>
      <c r="O21" s="80">
        <f t="shared" si="1"/>
        <v>16000</v>
      </c>
      <c r="P21" s="81">
        <f t="shared" si="13"/>
        <v>6968</v>
      </c>
      <c r="Q21" s="81">
        <f t="shared" si="14"/>
        <v>2788</v>
      </c>
      <c r="R21" s="81">
        <f t="shared" si="15"/>
        <v>1815</v>
      </c>
      <c r="S21" s="81">
        <f t="shared" si="16"/>
        <v>1815</v>
      </c>
      <c r="T21" s="81">
        <f t="shared" si="17"/>
        <v>553</v>
      </c>
      <c r="U21" s="81">
        <f t="shared" si="3"/>
        <v>13939</v>
      </c>
      <c r="V21" s="81">
        <f t="shared" si="4"/>
        <v>11151</v>
      </c>
      <c r="W21" s="81">
        <f t="shared" si="5"/>
        <v>11151</v>
      </c>
      <c r="X21" s="81">
        <f>ROUND(IF((VLOOKUP(B21,'Master '!B$4:W$29,22,0))&lt;20999,U21,0),0)</f>
        <v>13939</v>
      </c>
      <c r="Y21" s="81">
        <f t="shared" si="6"/>
        <v>1338.12</v>
      </c>
      <c r="Z21" s="81">
        <f t="shared" si="7"/>
        <v>105</v>
      </c>
      <c r="AA21" s="81">
        <v>200</v>
      </c>
      <c r="AB21" s="82"/>
      <c r="AC21" s="83"/>
      <c r="AD21" s="84">
        <f t="shared" si="8"/>
        <v>1643.12</v>
      </c>
      <c r="AE21" s="84">
        <f t="shared" si="9"/>
        <v>12295.880000000001</v>
      </c>
      <c r="AF21" s="128">
        <f t="shared" si="10"/>
        <v>1449.63</v>
      </c>
      <c r="AG21" s="128">
        <f t="shared" si="11"/>
        <v>453.01750000000004</v>
      </c>
      <c r="AH21" s="84">
        <f t="shared" si="12"/>
        <v>15841.647500000001</v>
      </c>
    </row>
    <row r="22" spans="1:34" s="85" customFormat="1" ht="12.75" x14ac:dyDescent="0.2">
      <c r="A22" s="76">
        <v>15</v>
      </c>
      <c r="B22" s="68" t="s">
        <v>150</v>
      </c>
      <c r="C22" s="77" t="str">
        <f>VLOOKUP(B22,'Master '!B$4:AN$63,3,0)</f>
        <v>AMIT BHANGARE</v>
      </c>
      <c r="D22" s="78">
        <f>VLOOKUP(B22,'Master '!B$4:AQ$63,28,0)</f>
        <v>25000</v>
      </c>
      <c r="E22" s="119">
        <v>0</v>
      </c>
      <c r="F22" s="119">
        <v>3</v>
      </c>
      <c r="G22" s="119">
        <v>0</v>
      </c>
      <c r="H22" s="119">
        <v>24</v>
      </c>
      <c r="I22" s="79">
        <f t="shared" si="0"/>
        <v>27</v>
      </c>
      <c r="J22" s="80">
        <f>VLOOKUP(B22,'Master '!B$4:AR$133,23,0)</f>
        <v>12500</v>
      </c>
      <c r="K22" s="80">
        <f>VLOOKUP(B22,'Master '!B$4:AT$133,24,0)</f>
        <v>5000</v>
      </c>
      <c r="L22" s="80">
        <f>VLOOKUP(B22,'Master '!B$4:AU$133,25,0)</f>
        <v>2083</v>
      </c>
      <c r="M22" s="80">
        <f>VLOOKUP(B22,'Master '!B$4:AW$133,26,0)</f>
        <v>2083</v>
      </c>
      <c r="N22" s="80">
        <f>VLOOKUP(B22,'Master '!B$4:AX$133,27,0)</f>
        <v>3334</v>
      </c>
      <c r="O22" s="80">
        <f t="shared" si="1"/>
        <v>25000</v>
      </c>
      <c r="P22" s="81">
        <f t="shared" si="13"/>
        <v>10888</v>
      </c>
      <c r="Q22" s="81">
        <f t="shared" si="14"/>
        <v>4355</v>
      </c>
      <c r="R22" s="81">
        <f t="shared" si="15"/>
        <v>1815</v>
      </c>
      <c r="S22" s="81">
        <f t="shared" si="16"/>
        <v>1815</v>
      </c>
      <c r="T22" s="81">
        <f t="shared" si="17"/>
        <v>2904</v>
      </c>
      <c r="U22" s="81">
        <f t="shared" si="3"/>
        <v>21777</v>
      </c>
      <c r="V22" s="81">
        <f t="shared" si="4"/>
        <v>17422</v>
      </c>
      <c r="W22" s="81">
        <f t="shared" si="5"/>
        <v>15000</v>
      </c>
      <c r="X22" s="81">
        <f>ROUND(IF((VLOOKUP(B22,'Master '!B$4:W$29,22,0))&lt;20999,U22,0),0)</f>
        <v>0</v>
      </c>
      <c r="Y22" s="81">
        <f t="shared" si="6"/>
        <v>1800</v>
      </c>
      <c r="Z22" s="81">
        <f t="shared" si="7"/>
        <v>0</v>
      </c>
      <c r="AA22" s="81">
        <v>200</v>
      </c>
      <c r="AB22" s="82"/>
      <c r="AC22" s="83"/>
      <c r="AD22" s="84">
        <f t="shared" si="8"/>
        <v>2000</v>
      </c>
      <c r="AE22" s="84">
        <f t="shared" si="9"/>
        <v>19777</v>
      </c>
      <c r="AF22" s="128">
        <f t="shared" si="10"/>
        <v>1950</v>
      </c>
      <c r="AG22" s="128">
        <f t="shared" si="11"/>
        <v>0</v>
      </c>
      <c r="AH22" s="84">
        <f t="shared" si="12"/>
        <v>23727</v>
      </c>
    </row>
    <row r="23" spans="1:34" s="85" customFormat="1" ht="12.75" x14ac:dyDescent="0.2">
      <c r="A23" s="76">
        <v>16</v>
      </c>
      <c r="B23" s="68" t="s">
        <v>151</v>
      </c>
      <c r="C23" s="77" t="str">
        <f>VLOOKUP(B23,'Master '!B$4:AN$63,3,0)</f>
        <v>VISHAL DESHMUKH</v>
      </c>
      <c r="D23" s="78">
        <f>VLOOKUP(B23,'Master '!B$4:AQ$63,28,0)</f>
        <v>27000</v>
      </c>
      <c r="E23" s="119">
        <v>1</v>
      </c>
      <c r="F23" s="119">
        <v>4</v>
      </c>
      <c r="G23" s="119">
        <v>0</v>
      </c>
      <c r="H23" s="119">
        <v>26</v>
      </c>
      <c r="I23" s="79">
        <f t="shared" si="0"/>
        <v>31</v>
      </c>
      <c r="J23" s="80">
        <f>VLOOKUP(B23,'Master '!B$4:AR$133,23,0)</f>
        <v>13500</v>
      </c>
      <c r="K23" s="80">
        <f>VLOOKUP(B23,'Master '!B$4:AT$133,24,0)</f>
        <v>5400</v>
      </c>
      <c r="L23" s="80">
        <f>VLOOKUP(B23,'Master '!B$4:AU$133,25,0)</f>
        <v>2083</v>
      </c>
      <c r="M23" s="80">
        <f>VLOOKUP(B23,'Master '!B$4:AW$133,26,0)</f>
        <v>2083</v>
      </c>
      <c r="N23" s="80">
        <f>VLOOKUP(B23,'Master '!B$4:AX$133,27,0)</f>
        <v>3934</v>
      </c>
      <c r="O23" s="80">
        <f t="shared" si="1"/>
        <v>27000</v>
      </c>
      <c r="P23" s="81">
        <f t="shared" si="13"/>
        <v>13500</v>
      </c>
      <c r="Q23" s="81">
        <f t="shared" si="14"/>
        <v>5400</v>
      </c>
      <c r="R23" s="81">
        <f t="shared" si="15"/>
        <v>2083</v>
      </c>
      <c r="S23" s="81">
        <f t="shared" si="16"/>
        <v>2083</v>
      </c>
      <c r="T23" s="81">
        <f t="shared" si="17"/>
        <v>3934</v>
      </c>
      <c r="U23" s="81">
        <f t="shared" si="3"/>
        <v>27000</v>
      </c>
      <c r="V23" s="81">
        <f t="shared" si="4"/>
        <v>21600</v>
      </c>
      <c r="W23" s="81">
        <f t="shared" si="5"/>
        <v>15000</v>
      </c>
      <c r="X23" s="81">
        <f>ROUND(IF((VLOOKUP(B23,'Master '!B$4:W$29,22,0))&lt;20999,U23,0),0)</f>
        <v>0</v>
      </c>
      <c r="Y23" s="81">
        <f t="shared" si="6"/>
        <v>1800</v>
      </c>
      <c r="Z23" s="81">
        <f t="shared" si="7"/>
        <v>0</v>
      </c>
      <c r="AA23" s="81">
        <v>200</v>
      </c>
      <c r="AB23" s="82"/>
      <c r="AC23" s="83"/>
      <c r="AD23" s="84">
        <f t="shared" si="8"/>
        <v>2000</v>
      </c>
      <c r="AE23" s="84">
        <f t="shared" si="9"/>
        <v>25000</v>
      </c>
      <c r="AF23" s="128">
        <f t="shared" si="10"/>
        <v>1950</v>
      </c>
      <c r="AG23" s="128">
        <f t="shared" si="11"/>
        <v>0</v>
      </c>
      <c r="AH23" s="84">
        <f t="shared" si="12"/>
        <v>28950</v>
      </c>
    </row>
    <row r="24" spans="1:34" s="85" customFormat="1" ht="12.75" x14ac:dyDescent="0.2">
      <c r="A24" s="76">
        <v>17</v>
      </c>
      <c r="B24" s="68" t="s">
        <v>152</v>
      </c>
      <c r="C24" s="77" t="str">
        <f>VLOOKUP(B24,'Master '!B$4:AN$63,3,0)</f>
        <v>JAGDISH HANDE</v>
      </c>
      <c r="D24" s="78">
        <f>VLOOKUP(B24,'Master '!B$4:AQ$63,28,0)</f>
        <v>43000</v>
      </c>
      <c r="E24" s="119">
        <v>1</v>
      </c>
      <c r="F24" s="119">
        <v>4</v>
      </c>
      <c r="G24" s="119">
        <v>0</v>
      </c>
      <c r="H24" s="119">
        <v>26</v>
      </c>
      <c r="I24" s="79">
        <f t="shared" si="0"/>
        <v>31</v>
      </c>
      <c r="J24" s="80">
        <f>VLOOKUP(B24,'Master '!B$4:AR$133,23,0)</f>
        <v>21500</v>
      </c>
      <c r="K24" s="80">
        <f>VLOOKUP(B24,'Master '!B$4:AT$133,24,0)</f>
        <v>8600</v>
      </c>
      <c r="L24" s="80">
        <f>VLOOKUP(B24,'Master '!B$4:AU$133,25,0)</f>
        <v>2083</v>
      </c>
      <c r="M24" s="80">
        <f>VLOOKUP(B24,'Master '!B$4:AW$133,26,0)</f>
        <v>2083</v>
      </c>
      <c r="N24" s="80">
        <f>VLOOKUP(B24,'Master '!B$4:AX$133,27,0)</f>
        <v>8734</v>
      </c>
      <c r="O24" s="80">
        <f t="shared" si="1"/>
        <v>43000</v>
      </c>
      <c r="P24" s="81">
        <f t="shared" ref="P24:T31" si="18">ROUNDUP((J24/$I$4*$I24),0)</f>
        <v>21500</v>
      </c>
      <c r="Q24" s="81">
        <f t="shared" si="18"/>
        <v>8600</v>
      </c>
      <c r="R24" s="81">
        <f t="shared" si="18"/>
        <v>2083</v>
      </c>
      <c r="S24" s="81">
        <f t="shared" si="18"/>
        <v>2083</v>
      </c>
      <c r="T24" s="81">
        <f t="shared" si="18"/>
        <v>8734</v>
      </c>
      <c r="U24" s="81">
        <f t="shared" si="3"/>
        <v>43000</v>
      </c>
      <c r="V24" s="81">
        <f t="shared" si="4"/>
        <v>34400</v>
      </c>
      <c r="W24" s="81">
        <f t="shared" si="5"/>
        <v>15000</v>
      </c>
      <c r="X24" s="81">
        <f>ROUND(IF((VLOOKUP(B24,'Master '!B$4:W$29,22,0))&lt;20999,U24,0),0)</f>
        <v>0</v>
      </c>
      <c r="Y24" s="81">
        <f t="shared" si="6"/>
        <v>1800</v>
      </c>
      <c r="Z24" s="81">
        <f t="shared" si="7"/>
        <v>0</v>
      </c>
      <c r="AA24" s="81">
        <v>200</v>
      </c>
      <c r="AB24" s="82"/>
      <c r="AC24" s="83"/>
      <c r="AD24" s="84">
        <f t="shared" si="8"/>
        <v>2000</v>
      </c>
      <c r="AE24" s="84">
        <f t="shared" si="9"/>
        <v>41000</v>
      </c>
      <c r="AF24" s="128">
        <f t="shared" si="10"/>
        <v>1950</v>
      </c>
      <c r="AG24" s="128">
        <f t="shared" si="11"/>
        <v>0</v>
      </c>
      <c r="AH24" s="84">
        <f t="shared" si="12"/>
        <v>44950</v>
      </c>
    </row>
    <row r="25" spans="1:34" s="85" customFormat="1" ht="12.75" x14ac:dyDescent="0.2">
      <c r="A25" s="76">
        <v>18</v>
      </c>
      <c r="B25" s="68" t="s">
        <v>153</v>
      </c>
      <c r="C25" s="77" t="str">
        <f>VLOOKUP(B25,'Master '!B$4:AN$63,3,0)</f>
        <v>HARSH MEHTA</v>
      </c>
      <c r="D25" s="78">
        <f>VLOOKUP(B25,'Master '!B$4:AQ$63,28,0)</f>
        <v>32000</v>
      </c>
      <c r="E25" s="119">
        <v>0</v>
      </c>
      <c r="F25" s="119">
        <v>2</v>
      </c>
      <c r="G25" s="119">
        <v>0</v>
      </c>
      <c r="H25" s="119">
        <v>23</v>
      </c>
      <c r="I25" s="79">
        <f t="shared" si="0"/>
        <v>25</v>
      </c>
      <c r="J25" s="80">
        <f>VLOOKUP(B25,'Master '!B$4:AR$133,23,0)</f>
        <v>16000</v>
      </c>
      <c r="K25" s="80">
        <f>VLOOKUP(B25,'Master '!B$4:AT$133,24,0)</f>
        <v>6400</v>
      </c>
      <c r="L25" s="80">
        <f>VLOOKUP(B25,'Master '!B$4:AU$133,25,0)</f>
        <v>2083</v>
      </c>
      <c r="M25" s="80">
        <f>VLOOKUP(B25,'Master '!B$4:AW$133,26,0)</f>
        <v>2083</v>
      </c>
      <c r="N25" s="80">
        <f>VLOOKUP(B25,'Master '!B$4:AX$133,27,0)</f>
        <v>5434</v>
      </c>
      <c r="O25" s="80">
        <f t="shared" si="1"/>
        <v>32000</v>
      </c>
      <c r="P25" s="81">
        <f t="shared" si="18"/>
        <v>12904</v>
      </c>
      <c r="Q25" s="81">
        <f t="shared" si="18"/>
        <v>5162</v>
      </c>
      <c r="R25" s="81">
        <f t="shared" si="18"/>
        <v>1680</v>
      </c>
      <c r="S25" s="81">
        <f t="shared" si="18"/>
        <v>1680</v>
      </c>
      <c r="T25" s="81">
        <f t="shared" si="18"/>
        <v>4383</v>
      </c>
      <c r="U25" s="81">
        <f t="shared" si="3"/>
        <v>25809</v>
      </c>
      <c r="V25" s="81">
        <f t="shared" si="4"/>
        <v>20647</v>
      </c>
      <c r="W25" s="81">
        <f t="shared" si="5"/>
        <v>15000</v>
      </c>
      <c r="X25" s="81">
        <f>ROUND(IF((VLOOKUP(B25,'Master '!B$4:W$29,22,0))&lt;20999,U25,0),0)</f>
        <v>0</v>
      </c>
      <c r="Y25" s="81">
        <f t="shared" si="6"/>
        <v>1800</v>
      </c>
      <c r="Z25" s="81">
        <f t="shared" si="7"/>
        <v>0</v>
      </c>
      <c r="AA25" s="81">
        <v>200</v>
      </c>
      <c r="AB25" s="82"/>
      <c r="AC25" s="83"/>
      <c r="AD25" s="84">
        <f t="shared" si="8"/>
        <v>2000</v>
      </c>
      <c r="AE25" s="84">
        <f t="shared" si="9"/>
        <v>23809</v>
      </c>
      <c r="AF25" s="128">
        <f t="shared" si="10"/>
        <v>1950</v>
      </c>
      <c r="AG25" s="128">
        <f t="shared" si="11"/>
        <v>0</v>
      </c>
      <c r="AH25" s="84">
        <f t="shared" si="12"/>
        <v>27759</v>
      </c>
    </row>
    <row r="26" spans="1:34" s="85" customFormat="1" ht="12.75" x14ac:dyDescent="0.2">
      <c r="A26" s="76">
        <v>19</v>
      </c>
      <c r="B26" s="68" t="s">
        <v>154</v>
      </c>
      <c r="C26" s="77" t="str">
        <f>VLOOKUP(B26,'Master '!B$4:AN$63,3,0)</f>
        <v>SAMRUDHI SABALE</v>
      </c>
      <c r="D26" s="78">
        <f>VLOOKUP(B26,'Master '!B$4:AQ$63,28,0)</f>
        <v>16000</v>
      </c>
      <c r="E26" s="119">
        <v>1</v>
      </c>
      <c r="F26" s="119">
        <v>3</v>
      </c>
      <c r="G26" s="119">
        <v>0</v>
      </c>
      <c r="H26" s="119">
        <v>26</v>
      </c>
      <c r="I26" s="79">
        <f t="shared" si="0"/>
        <v>30</v>
      </c>
      <c r="J26" s="80">
        <f>VLOOKUP(B26,'Master '!B$4:AR$133,23,0)</f>
        <v>8000</v>
      </c>
      <c r="K26" s="80">
        <f>VLOOKUP(B26,'Master '!B$4:AT$133,24,0)</f>
        <v>3200</v>
      </c>
      <c r="L26" s="80">
        <f>VLOOKUP(B26,'Master '!B$4:AU$133,25,0)</f>
        <v>2083</v>
      </c>
      <c r="M26" s="80">
        <f>VLOOKUP(B26,'Master '!B$4:AW$133,26,0)</f>
        <v>2083</v>
      </c>
      <c r="N26" s="80">
        <f>VLOOKUP(B26,'Master '!B$4:AX$133,27,0)</f>
        <v>634</v>
      </c>
      <c r="O26" s="80">
        <f t="shared" si="1"/>
        <v>16000</v>
      </c>
      <c r="P26" s="81">
        <f t="shared" si="18"/>
        <v>7742</v>
      </c>
      <c r="Q26" s="81">
        <f t="shared" si="18"/>
        <v>3097</v>
      </c>
      <c r="R26" s="81">
        <f t="shared" si="18"/>
        <v>2016</v>
      </c>
      <c r="S26" s="81">
        <f t="shared" si="18"/>
        <v>2016</v>
      </c>
      <c r="T26" s="81">
        <f t="shared" si="18"/>
        <v>614</v>
      </c>
      <c r="U26" s="81">
        <f t="shared" si="3"/>
        <v>15485</v>
      </c>
      <c r="V26" s="81">
        <f t="shared" si="4"/>
        <v>12388</v>
      </c>
      <c r="W26" s="81">
        <f t="shared" si="5"/>
        <v>12388</v>
      </c>
      <c r="X26" s="81">
        <f>ROUND(IF((VLOOKUP(B26,'Master '!B$4:W$29,22,0))&lt;20999,U26,0),0)</f>
        <v>15485</v>
      </c>
      <c r="Y26" s="81">
        <f t="shared" si="6"/>
        <v>1486.56</v>
      </c>
      <c r="Z26" s="81">
        <f t="shared" si="7"/>
        <v>117</v>
      </c>
      <c r="AA26" s="81">
        <v>200</v>
      </c>
      <c r="AB26" s="82"/>
      <c r="AC26" s="83"/>
      <c r="AD26" s="84">
        <f t="shared" si="8"/>
        <v>1803.56</v>
      </c>
      <c r="AE26" s="84">
        <f t="shared" si="9"/>
        <v>13681.44</v>
      </c>
      <c r="AF26" s="128">
        <f t="shared" si="10"/>
        <v>1610.44</v>
      </c>
      <c r="AG26" s="128">
        <f t="shared" si="11"/>
        <v>503.26250000000005</v>
      </c>
      <c r="AH26" s="84">
        <f t="shared" si="12"/>
        <v>17598.702499999999</v>
      </c>
    </row>
    <row r="27" spans="1:34" s="85" customFormat="1" ht="12.75" x14ac:dyDescent="0.2">
      <c r="A27" s="76">
        <v>20</v>
      </c>
      <c r="B27" s="68" t="s">
        <v>155</v>
      </c>
      <c r="C27" s="77" t="str">
        <f>VLOOKUP(B27,'Master '!B$4:AN$63,3,0)</f>
        <v>RUTUJA KALE</v>
      </c>
      <c r="D27" s="78">
        <f>VLOOKUP(B27,'Master '!B$4:AQ$63,28,0)</f>
        <v>31000</v>
      </c>
      <c r="E27" s="119">
        <v>1</v>
      </c>
      <c r="F27" s="119">
        <v>4</v>
      </c>
      <c r="G27" s="119">
        <v>0</v>
      </c>
      <c r="H27" s="119">
        <v>26</v>
      </c>
      <c r="I27" s="79">
        <f t="shared" si="0"/>
        <v>31</v>
      </c>
      <c r="J27" s="80">
        <f>VLOOKUP(B27,'Master '!B$4:AR$133,23,0)</f>
        <v>15500</v>
      </c>
      <c r="K27" s="80">
        <f>VLOOKUP(B27,'Master '!B$4:AT$133,24,0)</f>
        <v>6200</v>
      </c>
      <c r="L27" s="80">
        <f>VLOOKUP(B27,'Master '!B$4:AU$133,25,0)</f>
        <v>2083</v>
      </c>
      <c r="M27" s="80">
        <f>VLOOKUP(B27,'Master '!B$4:AW$133,26,0)</f>
        <v>2083</v>
      </c>
      <c r="N27" s="80">
        <f>VLOOKUP(B27,'Master '!B$4:AX$133,27,0)</f>
        <v>5134</v>
      </c>
      <c r="O27" s="80">
        <f t="shared" si="1"/>
        <v>31000</v>
      </c>
      <c r="P27" s="81">
        <f t="shared" si="18"/>
        <v>15500</v>
      </c>
      <c r="Q27" s="81">
        <f t="shared" si="18"/>
        <v>6200</v>
      </c>
      <c r="R27" s="81">
        <f t="shared" si="18"/>
        <v>2083</v>
      </c>
      <c r="S27" s="81">
        <f t="shared" si="18"/>
        <v>2083</v>
      </c>
      <c r="T27" s="81">
        <f t="shared" si="18"/>
        <v>5134</v>
      </c>
      <c r="U27" s="81">
        <f t="shared" si="3"/>
        <v>31000</v>
      </c>
      <c r="V27" s="81">
        <f t="shared" si="4"/>
        <v>24800</v>
      </c>
      <c r="W27" s="81">
        <f t="shared" si="5"/>
        <v>15000</v>
      </c>
      <c r="X27" s="81">
        <f>ROUND(IF((VLOOKUP(B27,'Master '!B$4:W$29,22,0))&lt;20999,U27,0),0)</f>
        <v>0</v>
      </c>
      <c r="Y27" s="81">
        <f t="shared" si="6"/>
        <v>1800</v>
      </c>
      <c r="Z27" s="81">
        <f t="shared" si="7"/>
        <v>0</v>
      </c>
      <c r="AA27" s="81">
        <v>200</v>
      </c>
      <c r="AB27" s="82"/>
      <c r="AC27" s="83"/>
      <c r="AD27" s="84">
        <f t="shared" si="8"/>
        <v>2000</v>
      </c>
      <c r="AE27" s="84">
        <f t="shared" si="9"/>
        <v>29000</v>
      </c>
      <c r="AF27" s="128">
        <f t="shared" si="10"/>
        <v>1950</v>
      </c>
      <c r="AG27" s="128">
        <f t="shared" si="11"/>
        <v>0</v>
      </c>
      <c r="AH27" s="84">
        <f t="shared" si="12"/>
        <v>32950</v>
      </c>
    </row>
    <row r="28" spans="1:34" s="85" customFormat="1" ht="12.75" x14ac:dyDescent="0.2">
      <c r="A28" s="76">
        <v>21</v>
      </c>
      <c r="B28" s="68" t="s">
        <v>156</v>
      </c>
      <c r="C28" s="77" t="str">
        <f>VLOOKUP(B28,'Master '!B$4:AN$63,3,0)</f>
        <v>SHRUTI EMGARKAR</v>
      </c>
      <c r="D28" s="78">
        <f>VLOOKUP(B28,'Master '!B$4:AQ$63,28,0)</f>
        <v>24000</v>
      </c>
      <c r="E28" s="119">
        <v>1</v>
      </c>
      <c r="F28" s="119">
        <v>2</v>
      </c>
      <c r="G28" s="119">
        <v>0</v>
      </c>
      <c r="H28" s="119">
        <v>24</v>
      </c>
      <c r="I28" s="79">
        <f t="shared" si="0"/>
        <v>27</v>
      </c>
      <c r="J28" s="80">
        <f>VLOOKUP(B28,'Master '!B$4:AR$133,23,0)</f>
        <v>12000</v>
      </c>
      <c r="K28" s="80">
        <f>VLOOKUP(B28,'Master '!B$4:AT$133,24,0)</f>
        <v>4800</v>
      </c>
      <c r="L28" s="80">
        <f>VLOOKUP(B28,'Master '!B$4:AU$133,25,0)</f>
        <v>2083</v>
      </c>
      <c r="M28" s="80">
        <f>VLOOKUP(B28,'Master '!B$4:AW$133,26,0)</f>
        <v>2083</v>
      </c>
      <c r="N28" s="80">
        <f>VLOOKUP(B28,'Master '!B$4:AX$133,27,0)</f>
        <v>3034</v>
      </c>
      <c r="O28" s="80">
        <f t="shared" si="1"/>
        <v>24000</v>
      </c>
      <c r="P28" s="81">
        <f t="shared" si="18"/>
        <v>10452</v>
      </c>
      <c r="Q28" s="81">
        <f t="shared" si="18"/>
        <v>4181</v>
      </c>
      <c r="R28" s="81">
        <f t="shared" si="18"/>
        <v>1815</v>
      </c>
      <c r="S28" s="81">
        <f t="shared" si="18"/>
        <v>1815</v>
      </c>
      <c r="T28" s="81">
        <f t="shared" si="18"/>
        <v>2643</v>
      </c>
      <c r="U28" s="81">
        <f t="shared" si="3"/>
        <v>20906</v>
      </c>
      <c r="V28" s="81">
        <f t="shared" si="4"/>
        <v>16725</v>
      </c>
      <c r="W28" s="81">
        <f t="shared" si="5"/>
        <v>15000</v>
      </c>
      <c r="X28" s="81">
        <f>ROUND(IF((VLOOKUP(B28,'Master '!B$4:W$29,22,0))&lt;20999,U28,0),0)</f>
        <v>0</v>
      </c>
      <c r="Y28" s="81">
        <f t="shared" si="6"/>
        <v>1800</v>
      </c>
      <c r="Z28" s="81">
        <f t="shared" si="7"/>
        <v>0</v>
      </c>
      <c r="AA28" s="81">
        <v>200</v>
      </c>
      <c r="AB28" s="82"/>
      <c r="AC28" s="83"/>
      <c r="AD28" s="84">
        <f t="shared" si="8"/>
        <v>2000</v>
      </c>
      <c r="AE28" s="84">
        <f t="shared" si="9"/>
        <v>18906</v>
      </c>
      <c r="AF28" s="128">
        <f t="shared" si="10"/>
        <v>1950</v>
      </c>
      <c r="AG28" s="128">
        <f t="shared" si="11"/>
        <v>0</v>
      </c>
      <c r="AH28" s="84">
        <f t="shared" si="12"/>
        <v>22856</v>
      </c>
    </row>
    <row r="29" spans="1:34" s="85" customFormat="1" ht="12.75" x14ac:dyDescent="0.2">
      <c r="A29" s="76">
        <v>22</v>
      </c>
      <c r="B29" s="68" t="s">
        <v>157</v>
      </c>
      <c r="C29" s="77" t="str">
        <f>VLOOKUP(B29,'Master '!B$4:AN$63,3,0)</f>
        <v xml:space="preserve">VAISHNAVI </v>
      </c>
      <c r="D29" s="78">
        <f>VLOOKUP(B29,'Master '!B$4:AQ$63,28,0)</f>
        <v>31000</v>
      </c>
      <c r="E29" s="119">
        <v>0</v>
      </c>
      <c r="F29" s="119">
        <v>4</v>
      </c>
      <c r="G29" s="119">
        <v>0</v>
      </c>
      <c r="H29" s="119">
        <v>25</v>
      </c>
      <c r="I29" s="79">
        <f t="shared" si="0"/>
        <v>29</v>
      </c>
      <c r="J29" s="80">
        <f>VLOOKUP(B29,'Master '!B$4:AR$133,23,0)</f>
        <v>15500</v>
      </c>
      <c r="K29" s="80">
        <f>VLOOKUP(B29,'Master '!B$4:AT$133,24,0)</f>
        <v>6200</v>
      </c>
      <c r="L29" s="80">
        <f>VLOOKUP(B29,'Master '!B$4:AU$133,25,0)</f>
        <v>2083</v>
      </c>
      <c r="M29" s="80">
        <f>VLOOKUP(B29,'Master '!B$4:AW$133,26,0)</f>
        <v>2083</v>
      </c>
      <c r="N29" s="80">
        <f>VLOOKUP(B29,'Master '!B$4:AX$133,27,0)</f>
        <v>5134</v>
      </c>
      <c r="O29" s="80">
        <f t="shared" si="1"/>
        <v>31000</v>
      </c>
      <c r="P29" s="81">
        <f t="shared" si="18"/>
        <v>14500</v>
      </c>
      <c r="Q29" s="81">
        <f t="shared" si="18"/>
        <v>5800</v>
      </c>
      <c r="R29" s="81">
        <f t="shared" si="18"/>
        <v>1949</v>
      </c>
      <c r="S29" s="81">
        <f t="shared" si="18"/>
        <v>1949</v>
      </c>
      <c r="T29" s="81">
        <f t="shared" si="18"/>
        <v>4803</v>
      </c>
      <c r="U29" s="81">
        <f t="shared" si="3"/>
        <v>29001</v>
      </c>
      <c r="V29" s="81">
        <f t="shared" si="4"/>
        <v>23201</v>
      </c>
      <c r="W29" s="81">
        <f t="shared" si="5"/>
        <v>15000</v>
      </c>
      <c r="X29" s="81">
        <f>ROUND(IF((VLOOKUP(B29,'Master '!B$4:W$29,22,0))&lt;20999,U29,0),0)</f>
        <v>0</v>
      </c>
      <c r="Y29" s="81">
        <f t="shared" si="6"/>
        <v>1800</v>
      </c>
      <c r="Z29" s="81">
        <f t="shared" si="7"/>
        <v>0</v>
      </c>
      <c r="AA29" s="81">
        <v>200</v>
      </c>
      <c r="AB29" s="82"/>
      <c r="AC29" s="83"/>
      <c r="AD29" s="84">
        <f t="shared" si="8"/>
        <v>2000</v>
      </c>
      <c r="AE29" s="84">
        <f t="shared" si="9"/>
        <v>27001</v>
      </c>
      <c r="AF29" s="128">
        <f t="shared" si="10"/>
        <v>1950</v>
      </c>
      <c r="AG29" s="128">
        <f t="shared" si="11"/>
        <v>0</v>
      </c>
      <c r="AH29" s="84">
        <f t="shared" si="12"/>
        <v>30951</v>
      </c>
    </row>
    <row r="30" spans="1:34" s="85" customFormat="1" ht="12.75" x14ac:dyDescent="0.2">
      <c r="A30" s="76">
        <v>23</v>
      </c>
      <c r="B30" s="68" t="s">
        <v>158</v>
      </c>
      <c r="C30" s="77" t="str">
        <f>VLOOKUP(B30,'Master '!B$4:AN$63,3,0)</f>
        <v>AKSHADA</v>
      </c>
      <c r="D30" s="78">
        <f>VLOOKUP(B30,'Master '!B$4:AQ$63,28,0)</f>
        <v>16000</v>
      </c>
      <c r="E30" s="119">
        <v>1</v>
      </c>
      <c r="F30" s="119">
        <v>3</v>
      </c>
      <c r="G30" s="119">
        <v>0</v>
      </c>
      <c r="H30" s="119">
        <v>25</v>
      </c>
      <c r="I30" s="79">
        <f t="shared" si="0"/>
        <v>29</v>
      </c>
      <c r="J30" s="80">
        <f>VLOOKUP(B30,'Master '!B$4:AR$133,23,0)</f>
        <v>8000</v>
      </c>
      <c r="K30" s="80">
        <f>VLOOKUP(B30,'Master '!B$4:AT$133,24,0)</f>
        <v>3200</v>
      </c>
      <c r="L30" s="80">
        <f>VLOOKUP(B30,'Master '!B$4:AU$133,25,0)</f>
        <v>2083</v>
      </c>
      <c r="M30" s="80">
        <f>VLOOKUP(B30,'Master '!B$4:AW$133,26,0)</f>
        <v>2083</v>
      </c>
      <c r="N30" s="80">
        <f>VLOOKUP(B30,'Master '!B$4:AX$133,27,0)</f>
        <v>634</v>
      </c>
      <c r="O30" s="80">
        <f t="shared" si="1"/>
        <v>16000</v>
      </c>
      <c r="P30" s="81">
        <f t="shared" si="18"/>
        <v>7484</v>
      </c>
      <c r="Q30" s="81">
        <f t="shared" si="18"/>
        <v>2994</v>
      </c>
      <c r="R30" s="81">
        <f t="shared" si="18"/>
        <v>1949</v>
      </c>
      <c r="S30" s="81">
        <f t="shared" si="18"/>
        <v>1949</v>
      </c>
      <c r="T30" s="81">
        <f t="shared" si="18"/>
        <v>594</v>
      </c>
      <c r="U30" s="81">
        <f t="shared" si="3"/>
        <v>14970</v>
      </c>
      <c r="V30" s="81">
        <f t="shared" si="4"/>
        <v>11976</v>
      </c>
      <c r="W30" s="81">
        <f t="shared" si="5"/>
        <v>11976</v>
      </c>
      <c r="X30" s="81">
        <f>ROUND(IF((VLOOKUP(B30,'Master '!B$4:W$29,22,0))&lt;20999,U30,0),0)</f>
        <v>14970</v>
      </c>
      <c r="Y30" s="81">
        <f t="shared" si="6"/>
        <v>1437.12</v>
      </c>
      <c r="Z30" s="81">
        <f t="shared" si="7"/>
        <v>113</v>
      </c>
      <c r="AA30" s="81">
        <v>200</v>
      </c>
      <c r="AB30" s="82"/>
      <c r="AC30" s="83"/>
      <c r="AD30" s="84">
        <f t="shared" si="8"/>
        <v>1750.12</v>
      </c>
      <c r="AE30" s="84">
        <f t="shared" si="9"/>
        <v>13219.880000000001</v>
      </c>
      <c r="AF30" s="128">
        <f t="shared" si="10"/>
        <v>1556.88</v>
      </c>
      <c r="AG30" s="128">
        <f t="shared" si="11"/>
        <v>486.52500000000003</v>
      </c>
      <c r="AH30" s="84">
        <f t="shared" si="12"/>
        <v>17013.405000000002</v>
      </c>
    </row>
    <row r="31" spans="1:34" s="85" customFormat="1" ht="12.75" x14ac:dyDescent="0.2">
      <c r="A31" s="76">
        <v>24</v>
      </c>
      <c r="B31" s="68" t="s">
        <v>159</v>
      </c>
      <c r="C31" s="77" t="str">
        <f>VLOOKUP(B31,'Master '!B$4:AN$63,3,0)</f>
        <v>YUKTA</v>
      </c>
      <c r="D31" s="78">
        <f>VLOOKUP(B31,'Master '!B$4:AQ$63,28,0)</f>
        <v>40000</v>
      </c>
      <c r="E31" s="119">
        <v>1</v>
      </c>
      <c r="F31" s="119">
        <v>4</v>
      </c>
      <c r="G31" s="119">
        <v>0</v>
      </c>
      <c r="H31" s="119">
        <v>26</v>
      </c>
      <c r="I31" s="79">
        <f t="shared" si="0"/>
        <v>31</v>
      </c>
      <c r="J31" s="80">
        <f>VLOOKUP(B31,'Master '!B$4:AR$133,23,0)</f>
        <v>20000</v>
      </c>
      <c r="K31" s="80">
        <f>VLOOKUP(B31,'Master '!B$4:AT$133,24,0)</f>
        <v>8000</v>
      </c>
      <c r="L31" s="80">
        <f>VLOOKUP(B31,'Master '!B$4:AU$133,25,0)</f>
        <v>2083</v>
      </c>
      <c r="M31" s="80">
        <f>VLOOKUP(B31,'Master '!B$4:AW$133,26,0)</f>
        <v>2083</v>
      </c>
      <c r="N31" s="80">
        <f>VLOOKUP(B31,'Master '!B$4:AX$133,27,0)</f>
        <v>7834</v>
      </c>
      <c r="O31" s="80">
        <f t="shared" si="1"/>
        <v>40000</v>
      </c>
      <c r="P31" s="81">
        <f t="shared" si="18"/>
        <v>20000</v>
      </c>
      <c r="Q31" s="81">
        <f t="shared" si="18"/>
        <v>8000</v>
      </c>
      <c r="R31" s="81">
        <f t="shared" si="18"/>
        <v>2083</v>
      </c>
      <c r="S31" s="81">
        <f t="shared" si="18"/>
        <v>2083</v>
      </c>
      <c r="T31" s="81">
        <f t="shared" si="18"/>
        <v>7834</v>
      </c>
      <c r="U31" s="81">
        <f t="shared" si="3"/>
        <v>40000</v>
      </c>
      <c r="V31" s="81">
        <f t="shared" si="4"/>
        <v>32000</v>
      </c>
      <c r="W31" s="81">
        <f t="shared" si="5"/>
        <v>15000</v>
      </c>
      <c r="X31" s="81">
        <f>ROUND(IF((VLOOKUP(B31,'Master '!B$4:W$29,22,0))&lt;20999,U31,0),0)</f>
        <v>0</v>
      </c>
      <c r="Y31" s="81">
        <f t="shared" si="6"/>
        <v>1800</v>
      </c>
      <c r="Z31" s="81">
        <f t="shared" si="7"/>
        <v>0</v>
      </c>
      <c r="AA31" s="81">
        <v>200</v>
      </c>
      <c r="AB31" s="82"/>
      <c r="AC31" s="83"/>
      <c r="AD31" s="84">
        <f t="shared" si="8"/>
        <v>2000</v>
      </c>
      <c r="AE31" s="84">
        <f t="shared" si="9"/>
        <v>38000</v>
      </c>
      <c r="AF31" s="128">
        <f t="shared" si="10"/>
        <v>1950</v>
      </c>
      <c r="AG31" s="128">
        <f t="shared" si="11"/>
        <v>0</v>
      </c>
      <c r="AH31" s="84">
        <f t="shared" si="12"/>
        <v>41950</v>
      </c>
    </row>
    <row r="32" spans="1:34" s="108" customFormat="1" x14ac:dyDescent="0.25">
      <c r="I32" s="109"/>
    </row>
    <row r="33" spans="1:34" s="112" customFormat="1" x14ac:dyDescent="0.2">
      <c r="A33" s="76"/>
      <c r="B33" s="110"/>
      <c r="C33" s="110"/>
      <c r="D33" s="111">
        <f t="shared" ref="D33:AH33" si="19">SUM(D8:D31)</f>
        <v>634000</v>
      </c>
      <c r="E33" s="111">
        <f t="shared" si="19"/>
        <v>17</v>
      </c>
      <c r="F33" s="111">
        <f t="shared" si="19"/>
        <v>80</v>
      </c>
      <c r="G33" s="111">
        <f t="shared" si="19"/>
        <v>0</v>
      </c>
      <c r="H33" s="111">
        <f t="shared" si="19"/>
        <v>606</v>
      </c>
      <c r="I33" s="111">
        <f t="shared" si="19"/>
        <v>703</v>
      </c>
      <c r="J33" s="111">
        <f t="shared" si="19"/>
        <v>317000</v>
      </c>
      <c r="K33" s="111">
        <f t="shared" si="19"/>
        <v>126800</v>
      </c>
      <c r="L33" s="111">
        <f t="shared" si="19"/>
        <v>49992</v>
      </c>
      <c r="M33" s="111">
        <f t="shared" si="19"/>
        <v>49992</v>
      </c>
      <c r="N33" s="111">
        <f t="shared" si="19"/>
        <v>90216</v>
      </c>
      <c r="O33" s="111">
        <f t="shared" si="19"/>
        <v>634000</v>
      </c>
      <c r="P33" s="111">
        <f t="shared" si="19"/>
        <v>300748</v>
      </c>
      <c r="Q33" s="111">
        <f t="shared" si="19"/>
        <v>120301</v>
      </c>
      <c r="R33" s="111">
        <f t="shared" si="19"/>
        <v>47244</v>
      </c>
      <c r="S33" s="111">
        <f t="shared" si="19"/>
        <v>47244</v>
      </c>
      <c r="T33" s="111">
        <f t="shared" si="19"/>
        <v>85979</v>
      </c>
      <c r="U33" s="111">
        <f t="shared" si="19"/>
        <v>601516</v>
      </c>
      <c r="V33" s="111">
        <f t="shared" si="19"/>
        <v>481215</v>
      </c>
      <c r="W33" s="111">
        <f t="shared" si="19"/>
        <v>343261</v>
      </c>
      <c r="X33" s="111">
        <f t="shared" si="19"/>
        <v>187825</v>
      </c>
      <c r="Y33" s="111">
        <f t="shared" si="19"/>
        <v>41191.320000000007</v>
      </c>
      <c r="Z33" s="111">
        <f t="shared" si="19"/>
        <v>1414</v>
      </c>
      <c r="AA33" s="111">
        <f t="shared" si="19"/>
        <v>4800</v>
      </c>
      <c r="AB33" s="111">
        <f t="shared" si="19"/>
        <v>0</v>
      </c>
      <c r="AC33" s="111">
        <f t="shared" si="19"/>
        <v>0</v>
      </c>
      <c r="AD33" s="111">
        <f t="shared" si="19"/>
        <v>47405.32</v>
      </c>
      <c r="AE33" s="111">
        <f t="shared" si="19"/>
        <v>554110.67999999993</v>
      </c>
      <c r="AF33" s="111">
        <f t="shared" si="19"/>
        <v>44623.93</v>
      </c>
      <c r="AG33" s="111">
        <f t="shared" si="19"/>
        <v>6104.3125</v>
      </c>
      <c r="AH33" s="111">
        <f t="shared" si="19"/>
        <v>652244.24250000017</v>
      </c>
    </row>
    <row r="34" spans="1:34" s="108" customFormat="1" x14ac:dyDescent="0.25">
      <c r="I34" s="109"/>
      <c r="V34" s="113"/>
      <c r="W34" s="113"/>
      <c r="X34" s="113"/>
    </row>
    <row r="35" spans="1:34" s="108" customFormat="1" x14ac:dyDescent="0.25">
      <c r="I35" s="109"/>
    </row>
    <row r="36" spans="1:34" s="108" customFormat="1" x14ac:dyDescent="0.25">
      <c r="I36" s="109"/>
      <c r="U36" s="113"/>
      <c r="V36" s="113"/>
      <c r="W36" s="113"/>
      <c r="X36" s="113"/>
    </row>
    <row r="37" spans="1:34" s="108" customFormat="1" x14ac:dyDescent="0.25">
      <c r="I37" s="109"/>
    </row>
    <row r="38" spans="1:34" x14ac:dyDescent="0.25">
      <c r="Z38" s="44" t="s">
        <v>104</v>
      </c>
      <c r="AB38" s="74"/>
    </row>
    <row r="39" spans="1:34" x14ac:dyDescent="0.25">
      <c r="Z39" s="44" t="s">
        <v>105</v>
      </c>
    </row>
    <row r="40" spans="1:34" x14ac:dyDescent="0.25">
      <c r="V40" s="74"/>
      <c r="W40" s="74"/>
      <c r="X40" s="74"/>
    </row>
    <row r="42" spans="1:34" x14ac:dyDescent="0.25">
      <c r="AB42" s="74"/>
    </row>
    <row r="43" spans="1:34" x14ac:dyDescent="0.25">
      <c r="V43" s="74"/>
      <c r="W43" s="74"/>
      <c r="X43" s="74"/>
    </row>
    <row r="47" spans="1:34" x14ac:dyDescent="0.25">
      <c r="I47" s="44"/>
      <c r="M47" s="74"/>
    </row>
  </sheetData>
  <autoFilter ref="A7:AI7"/>
  <mergeCells count="3">
    <mergeCell ref="J6:O6"/>
    <mergeCell ref="P6:U6"/>
    <mergeCell ref="Y6:AB6"/>
  </mergeCells>
  <pageMargins left="0.19685039370078741" right="0.19685039370078741" top="0.51181102362204722" bottom="0.51181102362204722" header="0" footer="0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15" zoomScaleNormal="115" workbookViewId="0">
      <selection activeCell="D9" sqref="D9"/>
    </sheetView>
  </sheetViews>
  <sheetFormatPr defaultColWidth="11.42578125" defaultRowHeight="12" customHeight="1" x14ac:dyDescent="0.2"/>
  <cols>
    <col min="1" max="1" width="2.7109375" style="88" customWidth="1"/>
    <col min="2" max="2" width="21.42578125" style="2" customWidth="1"/>
    <col min="3" max="3" width="2.7109375" style="3" customWidth="1"/>
    <col min="4" max="4" width="15.42578125" style="4" customWidth="1"/>
    <col min="5" max="5" width="2" style="2" customWidth="1"/>
    <col min="6" max="6" width="18.42578125" style="2" customWidth="1"/>
    <col min="7" max="7" width="2.7109375" style="5" customWidth="1"/>
    <col min="8" max="8" width="27.28515625" style="6" customWidth="1"/>
    <col min="9" max="9" width="11.42578125" style="88" customWidth="1"/>
    <col min="10" max="16384" width="11.42578125" style="2"/>
  </cols>
  <sheetData>
    <row r="1" spans="1:9" s="88" customFormat="1" ht="12" customHeight="1" x14ac:dyDescent="0.2">
      <c r="C1" s="89"/>
      <c r="D1" s="90"/>
      <c r="G1" s="91"/>
    </row>
    <row r="2" spans="1:9" s="88" customFormat="1" ht="12" customHeight="1" x14ac:dyDescent="0.2">
      <c r="C2" s="89"/>
      <c r="D2" s="90"/>
      <c r="G2" s="91"/>
    </row>
    <row r="3" spans="1:9" s="88" customFormat="1" ht="12" customHeight="1" x14ac:dyDescent="0.2">
      <c r="B3" s="92"/>
      <c r="C3" s="92"/>
      <c r="D3" s="92"/>
      <c r="E3" s="92"/>
      <c r="F3" s="92"/>
      <c r="G3" s="92"/>
      <c r="H3" s="92"/>
    </row>
    <row r="4" spans="1:9" s="88" customFormat="1" ht="12" customHeight="1" x14ac:dyDescent="0.2">
      <c r="B4" s="92"/>
      <c r="C4" s="92"/>
      <c r="D4" s="92"/>
      <c r="E4" s="92"/>
      <c r="F4" s="92"/>
      <c r="G4" s="92"/>
      <c r="H4" s="92"/>
    </row>
    <row r="5" spans="1:9" ht="12" customHeight="1" x14ac:dyDescent="0.2">
      <c r="B5" s="93"/>
      <c r="C5" s="7"/>
      <c r="D5" s="7"/>
      <c r="E5" s="7"/>
      <c r="F5" s="7"/>
      <c r="G5" s="7"/>
      <c r="H5" s="93"/>
    </row>
    <row r="6" spans="1:9" ht="12" customHeight="1" x14ac:dyDescent="0.2">
      <c r="B6" s="134"/>
      <c r="C6" s="134"/>
      <c r="D6" s="134"/>
      <c r="E6" s="8"/>
      <c r="F6" s="8"/>
      <c r="G6" s="9"/>
      <c r="H6" s="94"/>
    </row>
    <row r="7" spans="1:9" s="6" customFormat="1" ht="12" customHeight="1" x14ac:dyDescent="0.2">
      <c r="A7" s="88"/>
      <c r="B7" s="94"/>
      <c r="C7" s="8"/>
      <c r="D7" s="8"/>
      <c r="E7" s="8"/>
      <c r="F7" s="8"/>
      <c r="G7" s="9"/>
      <c r="H7" s="94"/>
      <c r="I7" s="88"/>
    </row>
    <row r="8" spans="1:9" s="1" customFormat="1" ht="12" customHeight="1" thickBot="1" x14ac:dyDescent="0.3">
      <c r="A8" s="100"/>
      <c r="B8" s="95" t="s">
        <v>30</v>
      </c>
      <c r="C8" s="10"/>
      <c r="D8" s="11">
        <v>44013</v>
      </c>
      <c r="E8" s="12"/>
      <c r="F8" s="13"/>
      <c r="G8" s="13"/>
      <c r="H8" s="101"/>
      <c r="I8" s="100"/>
    </row>
    <row r="9" spans="1:9" s="6" customFormat="1" ht="12" customHeight="1" x14ac:dyDescent="0.2">
      <c r="A9" s="88"/>
      <c r="B9" s="96" t="s">
        <v>31</v>
      </c>
      <c r="C9" s="14" t="s">
        <v>20</v>
      </c>
      <c r="D9" s="15" t="s">
        <v>81</v>
      </c>
      <c r="E9" s="16"/>
      <c r="F9" s="17" t="s">
        <v>32</v>
      </c>
      <c r="G9" s="18" t="s">
        <v>20</v>
      </c>
      <c r="H9" s="102" t="e">
        <f>VLOOKUP(D9,'Master '!B$4:BD$69,3,0)</f>
        <v>#N/A</v>
      </c>
      <c r="I9" s="88"/>
    </row>
    <row r="10" spans="1:9" s="6" customFormat="1" ht="12" customHeight="1" x14ac:dyDescent="0.2">
      <c r="A10" s="88"/>
      <c r="B10" s="97" t="s">
        <v>21</v>
      </c>
      <c r="C10" s="18" t="s">
        <v>20</v>
      </c>
      <c r="D10" s="19" t="e">
        <f>VLOOKUP(D9,'Master '!B$4:BD$69,11,0)</f>
        <v>#N/A</v>
      </c>
      <c r="E10" s="20"/>
      <c r="F10" s="17" t="s">
        <v>15</v>
      </c>
      <c r="G10" s="18" t="s">
        <v>20</v>
      </c>
      <c r="H10" s="102" t="e">
        <f>VLOOKUP(D9,'Master '!B$4:BH$69,10,0)</f>
        <v>#N/A</v>
      </c>
      <c r="I10" s="88"/>
    </row>
    <row r="11" spans="1:9" s="6" customFormat="1" ht="12" customHeight="1" x14ac:dyDescent="0.2">
      <c r="A11" s="88"/>
      <c r="B11" s="97" t="s">
        <v>91</v>
      </c>
      <c r="C11" s="18" t="s">
        <v>20</v>
      </c>
      <c r="D11" s="21" t="e">
        <f>VLOOKUP(D9,'March 2023'!B$8:AF$102,6,0)</f>
        <v>#N/A</v>
      </c>
      <c r="E11" s="20"/>
      <c r="F11" s="17" t="s">
        <v>35</v>
      </c>
      <c r="G11" s="18" t="s">
        <v>20</v>
      </c>
      <c r="H11" s="102" t="e">
        <f>VLOOKUP(D9,'Master '!B$4:BH$69,16,0)</f>
        <v>#N/A</v>
      </c>
      <c r="I11" s="88"/>
    </row>
    <row r="12" spans="1:9" s="6" customFormat="1" ht="12" customHeight="1" x14ac:dyDescent="0.2">
      <c r="A12" s="88"/>
      <c r="B12" s="97" t="s">
        <v>41</v>
      </c>
      <c r="C12" s="18" t="s">
        <v>20</v>
      </c>
      <c r="D12" s="21" t="e">
        <f>VLOOKUP(D9,'March 2023'!B$8:AF$102,5,0)</f>
        <v>#N/A</v>
      </c>
      <c r="E12" s="20"/>
      <c r="F12" s="22" t="s">
        <v>28</v>
      </c>
      <c r="G12" s="23" t="s">
        <v>20</v>
      </c>
      <c r="H12" s="103" t="e">
        <f>VLOOKUP(D9,'Master '!B$4:BH$69,17,0)</f>
        <v>#N/A</v>
      </c>
      <c r="I12" s="88"/>
    </row>
    <row r="13" spans="1:9" s="6" customFormat="1" ht="12" customHeight="1" x14ac:dyDescent="0.2">
      <c r="A13" s="88"/>
      <c r="B13" s="97" t="s">
        <v>33</v>
      </c>
      <c r="C13" s="18" t="s">
        <v>20</v>
      </c>
      <c r="D13" s="21" t="e">
        <f>VLOOKUP(D9,'March 2023'!B$8:AF$102,4,0)</f>
        <v>#N/A</v>
      </c>
      <c r="E13" s="20"/>
      <c r="F13" s="6" t="s">
        <v>44</v>
      </c>
      <c r="G13" s="18" t="s">
        <v>20</v>
      </c>
      <c r="H13" s="102" t="e">
        <f>VLOOKUP(D9,'Master '!B$4:BH$69,20,0)</f>
        <v>#N/A</v>
      </c>
      <c r="I13" s="88"/>
    </row>
    <row r="14" spans="1:9" s="6" customFormat="1" ht="12" customHeight="1" x14ac:dyDescent="0.2">
      <c r="A14" s="88"/>
      <c r="B14" s="97" t="s">
        <v>42</v>
      </c>
      <c r="C14" s="18" t="s">
        <v>20</v>
      </c>
      <c r="D14" s="21" t="e">
        <f>VLOOKUP(D9,'March 2023'!B$8:AF$102,7,0)</f>
        <v>#N/A</v>
      </c>
      <c r="E14" s="20"/>
      <c r="F14" s="6" t="s">
        <v>51</v>
      </c>
      <c r="G14" s="23" t="s">
        <v>20</v>
      </c>
      <c r="H14" s="102"/>
      <c r="I14" s="88"/>
    </row>
    <row r="15" spans="1:9" s="6" customFormat="1" ht="12" customHeight="1" x14ac:dyDescent="0.2">
      <c r="A15" s="88"/>
      <c r="B15" s="97" t="s">
        <v>34</v>
      </c>
      <c r="C15" s="18" t="s">
        <v>20</v>
      </c>
      <c r="D15" s="19" t="e">
        <f>VLOOKUP(D9,'Master '!B$4:BD$69,14,0)</f>
        <v>#N/A</v>
      </c>
      <c r="E15" s="22"/>
      <c r="F15" s="22" t="s">
        <v>52</v>
      </c>
      <c r="G15" s="18" t="s">
        <v>20</v>
      </c>
      <c r="H15" s="103" t="e">
        <f>VLOOKUP(D9,'Master '!B$4:BH$69,21,0)</f>
        <v>#N/A</v>
      </c>
      <c r="I15" s="88"/>
    </row>
    <row r="16" spans="1:9" s="6" customFormat="1" ht="12" customHeight="1" x14ac:dyDescent="0.2">
      <c r="A16" s="88"/>
      <c r="B16" s="97" t="s">
        <v>14</v>
      </c>
      <c r="C16" s="18"/>
      <c r="D16" s="24" t="e">
        <f>VLOOKUP(D9,'Master '!B$4:BD$69,7,0)</f>
        <v>#N/A</v>
      </c>
      <c r="E16" s="22"/>
      <c r="F16" s="22" t="s">
        <v>73</v>
      </c>
      <c r="G16" s="22"/>
      <c r="H16" s="103" t="e">
        <f>VLOOKUP(D9,'Master '!B$4:BH$69,15,0)</f>
        <v>#N/A</v>
      </c>
      <c r="I16" s="88"/>
    </row>
    <row r="17" spans="1:10" s="6" customFormat="1" ht="12" customHeight="1" thickBot="1" x14ac:dyDescent="0.25">
      <c r="A17" s="88"/>
      <c r="B17" s="97" t="s">
        <v>74</v>
      </c>
      <c r="C17" s="18"/>
      <c r="D17" s="19" t="e">
        <f>VLOOKUP(D9,'Master '!B$4:BD$69,13,0)</f>
        <v>#N/A</v>
      </c>
      <c r="E17" s="25"/>
      <c r="F17" s="25" t="s">
        <v>94</v>
      </c>
      <c r="G17" s="25"/>
      <c r="H17" s="21" t="e">
        <f>VLOOKUP(D9,'March 2023'!B$8:AJ$102,21,0)</f>
        <v>#N/A</v>
      </c>
      <c r="I17" s="88"/>
    </row>
    <row r="18" spans="1:10" s="1" customFormat="1" ht="12" customHeight="1" thickBot="1" x14ac:dyDescent="0.3">
      <c r="A18" s="100"/>
      <c r="B18" s="26" t="s">
        <v>36</v>
      </c>
      <c r="C18" s="27"/>
      <c r="D18" s="28" t="s">
        <v>29</v>
      </c>
      <c r="E18" s="26"/>
      <c r="F18" s="26" t="s">
        <v>23</v>
      </c>
      <c r="G18" s="27"/>
      <c r="H18" s="26" t="s">
        <v>29</v>
      </c>
      <c r="I18" s="100"/>
      <c r="J18" s="29"/>
    </row>
    <row r="19" spans="1:10" s="6" customFormat="1" ht="12" customHeight="1" x14ac:dyDescent="0.2">
      <c r="A19" s="88"/>
      <c r="B19" s="88" t="s">
        <v>37</v>
      </c>
      <c r="C19" s="30" t="s">
        <v>20</v>
      </c>
      <c r="D19" s="31" t="e">
        <f>VLOOKUP(D9,'March 2023'!B$8:AF$96,14,0)</f>
        <v>#N/A</v>
      </c>
      <c r="E19" s="32"/>
      <c r="F19" s="17" t="s">
        <v>47</v>
      </c>
      <c r="G19" s="33" t="s">
        <v>20</v>
      </c>
      <c r="H19" s="104" t="e">
        <f>VLOOKUP(D9,'March 2023'!B$8:AF$96,23,0)</f>
        <v>#N/A</v>
      </c>
      <c r="I19" s="88"/>
      <c r="J19" s="34"/>
    </row>
    <row r="20" spans="1:10" s="6" customFormat="1" ht="12" customHeight="1" x14ac:dyDescent="0.2">
      <c r="A20" s="88"/>
      <c r="B20" s="88" t="s">
        <v>1</v>
      </c>
      <c r="C20" s="33" t="s">
        <v>20</v>
      </c>
      <c r="D20" s="31" t="e">
        <f>VLOOKUP(D9,'March 2023'!B$8:AF$96,15,0)</f>
        <v>#N/A</v>
      </c>
      <c r="E20" s="32"/>
      <c r="F20" s="35" t="s">
        <v>48</v>
      </c>
      <c r="G20" s="33" t="s">
        <v>20</v>
      </c>
      <c r="H20" s="105">
        <v>0</v>
      </c>
      <c r="I20" s="88"/>
      <c r="J20" s="34"/>
    </row>
    <row r="21" spans="1:10" s="6" customFormat="1" ht="12" customHeight="1" x14ac:dyDescent="0.2">
      <c r="A21" s="88"/>
      <c r="B21" s="88" t="s">
        <v>25</v>
      </c>
      <c r="C21" s="33" t="s">
        <v>20</v>
      </c>
      <c r="D21" s="31" t="e">
        <f>VLOOKUP(D9,'March 2023'!B$8:AF$96,16,0)</f>
        <v>#N/A</v>
      </c>
      <c r="E21" s="32"/>
      <c r="F21" s="17" t="s">
        <v>49</v>
      </c>
      <c r="G21" s="33" t="s">
        <v>20</v>
      </c>
      <c r="H21" s="105" t="e">
        <f>VLOOKUP(D9,'March 2023'!B$8:AF$96,25,0)</f>
        <v>#N/A</v>
      </c>
      <c r="I21" s="88"/>
      <c r="J21" s="34"/>
    </row>
    <row r="22" spans="1:10" s="6" customFormat="1" ht="12" customHeight="1" x14ac:dyDescent="0.2">
      <c r="A22" s="88"/>
      <c r="B22" s="88" t="s">
        <v>26</v>
      </c>
      <c r="C22" s="33" t="s">
        <v>20</v>
      </c>
      <c r="D22" s="31" t="e">
        <f>VLOOKUP(D9,'March 2023'!B$8:AF$96,17,0)</f>
        <v>#N/A</v>
      </c>
      <c r="E22" s="32"/>
      <c r="F22" s="35" t="s">
        <v>22</v>
      </c>
      <c r="G22" s="33" t="s">
        <v>20</v>
      </c>
      <c r="H22" s="105" t="e">
        <f>VLOOKUP(D9,'March 2023'!B$8:AF$96,26,0)</f>
        <v>#N/A</v>
      </c>
      <c r="I22" s="88"/>
    </row>
    <row r="23" spans="1:10" s="6" customFormat="1" ht="12" customHeight="1" thickBot="1" x14ac:dyDescent="0.25">
      <c r="A23" s="88"/>
      <c r="B23" s="98" t="s">
        <v>86</v>
      </c>
      <c r="C23" s="33" t="s">
        <v>20</v>
      </c>
      <c r="D23" s="31" t="e">
        <f>VLOOKUP(D9,'March 2023'!B$8:AF$96,18,0)</f>
        <v>#N/A</v>
      </c>
      <c r="E23" s="32"/>
      <c r="F23" s="6" t="s">
        <v>80</v>
      </c>
      <c r="G23" s="33"/>
      <c r="H23" s="105" t="e">
        <f>VLOOKUP(D9,'March 2023'!B$8:AF$96,27,0)</f>
        <v>#N/A</v>
      </c>
      <c r="I23" s="88"/>
    </row>
    <row r="24" spans="1:10" s="1" customFormat="1" ht="12" customHeight="1" thickBot="1" x14ac:dyDescent="0.3">
      <c r="A24" s="100"/>
      <c r="B24" s="26" t="s">
        <v>38</v>
      </c>
      <c r="C24" s="27"/>
      <c r="D24" s="36" t="e">
        <f>SUM(D19:D23)</f>
        <v>#N/A</v>
      </c>
      <c r="E24" s="37"/>
      <c r="F24" s="26" t="s">
        <v>5</v>
      </c>
      <c r="G24" s="27"/>
      <c r="H24" s="36" t="e">
        <f>SUM(H19:H23)</f>
        <v>#N/A</v>
      </c>
      <c r="I24" s="100"/>
    </row>
    <row r="25" spans="1:10" s="1" customFormat="1" ht="12" customHeight="1" x14ac:dyDescent="0.2">
      <c r="A25" s="100"/>
      <c r="B25" s="99"/>
      <c r="C25" s="38"/>
      <c r="D25" s="39"/>
      <c r="E25" s="40"/>
      <c r="F25" s="133" t="s">
        <v>39</v>
      </c>
      <c r="G25" s="133"/>
      <c r="H25" s="106" t="e">
        <f>ROUNDUP((D24-H24),0)</f>
        <v>#N/A</v>
      </c>
      <c r="I25" s="100"/>
    </row>
    <row r="26" spans="1:10" s="88" customFormat="1" ht="12" customHeight="1" x14ac:dyDescent="0.2">
      <c r="B26" s="132" t="s">
        <v>40</v>
      </c>
      <c r="C26" s="132"/>
      <c r="D26" s="132"/>
      <c r="E26" s="132"/>
      <c r="F26" s="132"/>
      <c r="G26" s="132"/>
      <c r="H26" s="132"/>
    </row>
    <row r="27" spans="1:10" s="88" customFormat="1" ht="12" customHeight="1" x14ac:dyDescent="0.2">
      <c r="C27" s="89"/>
      <c r="D27" s="90"/>
      <c r="G27" s="91"/>
    </row>
    <row r="28" spans="1:10" s="88" customFormat="1" ht="12" customHeight="1" x14ac:dyDescent="0.2">
      <c r="C28" s="89"/>
      <c r="D28" s="90"/>
      <c r="G28" s="91"/>
    </row>
    <row r="29" spans="1:10" s="88" customFormat="1" ht="12" customHeight="1" x14ac:dyDescent="0.2">
      <c r="C29" s="89"/>
      <c r="D29" s="90"/>
      <c r="G29" s="91"/>
    </row>
  </sheetData>
  <mergeCells count="3">
    <mergeCell ref="B26:H26"/>
    <mergeCell ref="F25:G25"/>
    <mergeCell ref="B6:D6"/>
  </mergeCells>
  <dataValidations count="1">
    <dataValidation type="list" allowBlank="1" showInputMessage="1" showErrorMessage="1" sqref="D9">
      <formula1>EMP_NO</formula1>
    </dataValidation>
  </dataValidations>
  <pageMargins left="0.1" right="0.2" top="0.42" bottom="0.75" header="0.3" footer="0.3"/>
  <pageSetup paperSize="9" scale="10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 </vt:lpstr>
      <vt:lpstr>March 2023</vt:lpstr>
      <vt:lpstr>Pay Slip </vt:lpstr>
      <vt:lpstr>EMP_NO</vt:lpstr>
      <vt:lpstr>'Pay Slip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cloudconvert_18</cp:lastModifiedBy>
  <cp:lastPrinted>2020-10-26T05:57:07Z</cp:lastPrinted>
  <dcterms:created xsi:type="dcterms:W3CDTF">2015-11-02T10:20:54Z</dcterms:created>
  <dcterms:modified xsi:type="dcterms:W3CDTF">2023-05-17T09:13:58Z</dcterms:modified>
</cp:coreProperties>
</file>