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F:\2. Babson\1. Curriculam + Studies\1. Sem 1\1. Subjects Mode 2\Beta X Mod 2\Operations\Final excel\"/>
    </mc:Choice>
  </mc:AlternateContent>
  <xr:revisionPtr revIDLastSave="0" documentId="13_ncr:1_{001DD5D2-243A-418B-908C-1362B8B57C8D}" xr6:coauthVersionLast="47" xr6:coauthVersionMax="47" xr10:uidLastSave="{00000000-0000-0000-0000-000000000000}"/>
  <bookViews>
    <workbookView xWindow="20370" yWindow="-120" windowWidth="29040" windowHeight="15840" activeTab="2" xr2:uid="{32DD91A8-EE65-CA4B-B4BF-ACDA0BDC34B9}"/>
  </bookViews>
  <sheets>
    <sheet name="Sheet1" sheetId="4" r:id="rId1"/>
    <sheet name="BSE" sheetId="3" r:id="rId2"/>
    <sheet name="Cash Flow Statement" sheetId="2" r:id="rId3"/>
    <sheet name="Break-even Analysis" sheetId="7" r:id="rId4"/>
    <sheet name="KPIs" sheetId="8" r:id="rId5"/>
    <sheet name="Revenue Bottom-up" sheetId="6" r:id="rId6"/>
    <sheet name="Sheet2" sheetId="12" r:id="rId7"/>
    <sheet name="Revenue Top-Down" sheetId="9" r:id="rId8"/>
    <sheet name="Margin Split" sheetId="10" r:id="rId9"/>
    <sheet name="Uncertain Cells" sheetId="11" r:id="rId10"/>
    <sheet name="Cost Total" sheetId="13" state="hidden" r:id="rId11"/>
    <sheet name="Revenue with Target Segements" sheetId="14" r:id="rId12"/>
    <sheet name="Cost Estimation" sheetId="5" r:id="rId13"/>
    <sheet name="Sheet4" sheetId="17" r:id="rId14"/>
    <sheet name="Cost (Swiffer Glove)" sheetId="15" r:id="rId15"/>
    <sheet name="RiskSerializationData8" sheetId="80" state="hidden" r:id="rId16"/>
    <sheet name="Supply Planning" sheetId="18" r:id="rId17"/>
    <sheet name="Sheet3" sheetId="19" r:id="rId18"/>
    <sheet name="NWC Calc" sheetId="16" r:id="rId19"/>
    <sheet name="Income Statement" sheetId="1" r:id="rId20"/>
    <sheet name="NPV Analysis (2)" sheetId="21" r:id="rId21"/>
  </sheets>
  <externalReferences>
    <externalReference r:id="rId22"/>
    <externalReference r:id="rId23"/>
    <externalReference r:id="rId24"/>
    <externalReference r:id="rId25"/>
  </externalReference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8</definedName>
    <definedName name="_AtRisk_SimSetting_MultipleCPUManualCount" hidden="1">8</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4" hidden="1">'Cost (Swiffer Glove)'!$A$3:$E$51</definedName>
    <definedName name="_xlnm._FilterDatabase" localSheetId="10" hidden="1">'Cost Total'!$A$3:$E$57</definedName>
    <definedName name="BrowseRecords" localSheetId="15">RiskSerializationData8!$6:$8</definedName>
    <definedName name="date" localSheetId="14">[1]Gantt!A$6</definedName>
    <definedName name="date" localSheetId="10">[1]Gantt!A$6</definedName>
    <definedName name="display_year" localSheetId="14">'Cost (Swiffer Glove)'!$U$3</definedName>
    <definedName name="display_year" localSheetId="10">'Cost Total'!$T$3</definedName>
    <definedName name="DistributionRecords" localSheetId="15">RiskSerializationData8!$11:$11</definedName>
    <definedName name="duration" localSheetId="14">'Cost (Swiffer Glove)'!$E1</definedName>
    <definedName name="duration" localSheetId="10">'Cost Total'!$E1</definedName>
    <definedName name="end_date" localSheetId="14">[1]Gantt!$F1</definedName>
    <definedName name="end_date" localSheetId="10">[1]Gantt!$F1</definedName>
    <definedName name="month" localSheetId="14">[2]Gantt!A$7</definedName>
    <definedName name="month" localSheetId="10">[2]Gantt!A$7</definedName>
    <definedName name="next_date" localSheetId="14">[1]Gantt!B$6</definedName>
    <definedName name="next_date" localSheetId="10">[1]Gantt!B$6</definedName>
    <definedName name="next_month" localSheetId="14">[2]Gantt!B$7</definedName>
    <definedName name="next_month" localSheetId="10">[2]Gantt!B$7</definedName>
    <definedName name="Pal_Workbook_GUID" hidden="1">"3GBJ65PGLTLH3HS5W59ESH41"</definedName>
    <definedName name="_xlnm.Print_Area" localSheetId="19">'Income Statement'!$A$5:$AH$19</definedName>
    <definedName name="project_start_date" localSheetId="14">'Cost (Swiffer Glove)'!$Q$3</definedName>
    <definedName name="project_start_date" localSheetId="10">'Cost Total'!$P$3</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imulationResultsStorageLocation" hidden="1">"2"</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erializationHeader" localSheetId="15">RiskSerializationData8!$A$1:$B$3</definedName>
    <definedName name="start_date" localSheetId="14">[1]Gantt!$D1</definedName>
    <definedName name="start_date" localSheetId="10">[1]Gantt!$D1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8" i="80" l="1"/>
  <c r="P8" i="80"/>
  <c r="L8" i="80"/>
  <c r="A8" i="80"/>
  <c r="L7" i="80"/>
  <c r="A7" i="80"/>
  <c r="L6" i="80"/>
  <c r="A6" i="80"/>
  <c r="I4" i="18"/>
  <c r="A11" i="80" s="1"/>
  <c r="D10" i="21"/>
  <c r="E10" i="21"/>
  <c r="F10" i="21"/>
  <c r="G10" i="21"/>
  <c r="G30" i="21" s="1"/>
  <c r="H10" i="21"/>
  <c r="D11" i="21"/>
  <c r="D31" i="21" s="1"/>
  <c r="E11" i="21"/>
  <c r="E31" i="21" s="1"/>
  <c r="F11" i="21"/>
  <c r="F31" i="21" s="1"/>
  <c r="G11" i="21"/>
  <c r="H11" i="21"/>
  <c r="D12" i="21"/>
  <c r="E12" i="21"/>
  <c r="F12" i="21"/>
  <c r="G12" i="21"/>
  <c r="H12" i="21"/>
  <c r="D13" i="21"/>
  <c r="E13" i="21"/>
  <c r="F13" i="21"/>
  <c r="G13" i="21"/>
  <c r="H13" i="21"/>
  <c r="D14" i="21"/>
  <c r="E14" i="21"/>
  <c r="F14" i="21"/>
  <c r="G14" i="21"/>
  <c r="H14" i="21"/>
  <c r="E9" i="21"/>
  <c r="E29" i="21" s="1"/>
  <c r="F9" i="21"/>
  <c r="F29" i="21" s="1"/>
  <c r="G9" i="21"/>
  <c r="G29" i="21" s="1"/>
  <c r="H9" i="21"/>
  <c r="D8" i="21"/>
  <c r="D9" i="21"/>
  <c r="D29" i="21" s="1"/>
  <c r="D5" i="21"/>
  <c r="D4" i="21"/>
  <c r="E4" i="21"/>
  <c r="F4" i="21"/>
  <c r="G4" i="21"/>
  <c r="H4" i="21"/>
  <c r="H5" i="21" a="1"/>
  <c r="H5" i="21" s="1"/>
  <c r="G5" i="21" a="1"/>
  <c r="G5" i="21" s="1"/>
  <c r="F5" i="21" a="1"/>
  <c r="F5" i="21" s="1"/>
  <c r="E5" i="21" a="1"/>
  <c r="E5" i="21" s="1"/>
  <c r="BC4" i="18"/>
  <c r="BD4" i="18"/>
  <c r="BE4" i="18"/>
  <c r="BF4" i="18"/>
  <c r="BG4" i="18"/>
  <c r="BH4" i="18"/>
  <c r="BI4" i="18"/>
  <c r="BJ4" i="18"/>
  <c r="BK4" i="18"/>
  <c r="BL4" i="18"/>
  <c r="BM4" i="18"/>
  <c r="BN4" i="18"/>
  <c r="AP4" i="18"/>
  <c r="AQ4" i="18"/>
  <c r="AR4" i="18"/>
  <c r="AS4" i="18"/>
  <c r="AT4" i="18"/>
  <c r="AU4" i="18"/>
  <c r="AV4" i="18"/>
  <c r="AW4" i="18"/>
  <c r="AX4" i="18"/>
  <c r="AY4" i="18"/>
  <c r="AZ4" i="18"/>
  <c r="BA4" i="18"/>
  <c r="AC4" i="18"/>
  <c r="AD4" i="18"/>
  <c r="AE4" i="18"/>
  <c r="AF4" i="18"/>
  <c r="AG4" i="18"/>
  <c r="AH4" i="18"/>
  <c r="AI4" i="18"/>
  <c r="AJ4" i="18"/>
  <c r="AK4" i="18"/>
  <c r="AL4" i="18"/>
  <c r="AM4" i="18"/>
  <c r="AN4" i="18"/>
  <c r="P4" i="18"/>
  <c r="Q4" i="18"/>
  <c r="R4" i="18"/>
  <c r="S4" i="18"/>
  <c r="T4" i="18"/>
  <c r="U4" i="18"/>
  <c r="V4" i="18"/>
  <c r="W4" i="18"/>
  <c r="X4" i="18"/>
  <c r="Y4" i="18"/>
  <c r="Z4" i="18"/>
  <c r="AA4" i="18"/>
  <c r="C4" i="18"/>
  <c r="C6" i="18" s="1"/>
  <c r="D4" i="18"/>
  <c r="D6" i="18" s="1"/>
  <c r="D40" i="18" s="1"/>
  <c r="E4" i="18"/>
  <c r="E6" i="18" s="1"/>
  <c r="F4" i="18"/>
  <c r="F16" i="18" s="1"/>
  <c r="G4" i="18"/>
  <c r="H4" i="18"/>
  <c r="H16" i="18" s="1"/>
  <c r="J4" i="18"/>
  <c r="K4" i="18"/>
  <c r="L4" i="18"/>
  <c r="M4" i="18"/>
  <c r="N4" i="18"/>
  <c r="D30" i="21"/>
  <c r="E30" i="21"/>
  <c r="F30" i="21"/>
  <c r="H30" i="21"/>
  <c r="G31" i="21"/>
  <c r="H31" i="21"/>
  <c r="H29" i="21"/>
  <c r="BM23" i="18"/>
  <c r="BO21" i="18"/>
  <c r="F21" i="18"/>
  <c r="F45" i="18" s="1"/>
  <c r="E21" i="18"/>
  <c r="E45" i="18" s="1"/>
  <c r="D21" i="18"/>
  <c r="D22" i="18" s="1"/>
  <c r="D45" i="18"/>
  <c r="C21" i="18"/>
  <c r="BB19" i="18"/>
  <c r="AX19" i="18"/>
  <c r="AX20" i="18"/>
  <c r="AO19" i="18"/>
  <c r="AC19" i="18"/>
  <c r="AB19" i="18"/>
  <c r="O19" i="18"/>
  <c r="M19" i="18" s="1"/>
  <c r="M20" i="18" s="1"/>
  <c r="E22" i="18"/>
  <c r="E44" i="18" s="1"/>
  <c r="E23" i="18"/>
  <c r="AP19" i="18"/>
  <c r="J19" i="18"/>
  <c r="J20" i="18" s="1"/>
  <c r="G22" i="18" s="1"/>
  <c r="G44" i="18" s="1"/>
  <c r="AP20" i="18"/>
  <c r="AT19" i="18"/>
  <c r="AT20" i="18" s="1"/>
  <c r="AW19" i="18"/>
  <c r="AT43" i="18"/>
  <c r="AZ19" i="18"/>
  <c r="AZ20" i="18" s="1"/>
  <c r="AV19" i="18"/>
  <c r="AV20" i="18" s="1"/>
  <c r="AU19" i="18"/>
  <c r="AQ19" i="18"/>
  <c r="AM19" i="18"/>
  <c r="AM20" i="18" s="1"/>
  <c r="AF19" i="18"/>
  <c r="AF20" i="18"/>
  <c r="AU20" i="18"/>
  <c r="H43" i="18"/>
  <c r="G43" i="18"/>
  <c r="F43" i="18"/>
  <c r="E43" i="18"/>
  <c r="D43" i="18"/>
  <c r="C43" i="18"/>
  <c r="BJ38" i="18"/>
  <c r="BI38" i="18"/>
  <c r="BH38" i="18"/>
  <c r="BG38" i="18"/>
  <c r="BF38" i="18"/>
  <c r="BE38" i="18"/>
  <c r="BD38" i="18"/>
  <c r="BC38" i="18"/>
  <c r="BB38" i="18"/>
  <c r="BA38" i="18"/>
  <c r="AZ38" i="18"/>
  <c r="AY38" i="18"/>
  <c r="AX38" i="18"/>
  <c r="AW38" i="18"/>
  <c r="AV38" i="18"/>
  <c r="AU38" i="18"/>
  <c r="AT38" i="18"/>
  <c r="AS38" i="18"/>
  <c r="AR38" i="18"/>
  <c r="AQ38" i="18"/>
  <c r="AP38" i="18"/>
  <c r="AO38" i="18"/>
  <c r="AN38" i="18"/>
  <c r="AM38" i="18"/>
  <c r="AL38" i="18"/>
  <c r="AK38" i="18"/>
  <c r="AJ38" i="18"/>
  <c r="AI38" i="18"/>
  <c r="AH38" i="18"/>
  <c r="AG38" i="18"/>
  <c r="AF38" i="18"/>
  <c r="AE38" i="18"/>
  <c r="AD38" i="18"/>
  <c r="AC38" i="18"/>
  <c r="AB38" i="18"/>
  <c r="AA38" i="18"/>
  <c r="Z38" i="18"/>
  <c r="Y38" i="18"/>
  <c r="X38" i="18"/>
  <c r="W38" i="18"/>
  <c r="V38" i="18"/>
  <c r="U38" i="18"/>
  <c r="T38" i="18"/>
  <c r="S38" i="18"/>
  <c r="R38" i="18"/>
  <c r="Q38" i="18"/>
  <c r="P38" i="18"/>
  <c r="O38" i="18"/>
  <c r="N38" i="18"/>
  <c r="M38" i="18"/>
  <c r="L38" i="18"/>
  <c r="K38" i="18"/>
  <c r="J38" i="18"/>
  <c r="I38" i="18"/>
  <c r="H38" i="18"/>
  <c r="G38" i="18"/>
  <c r="F38" i="18"/>
  <c r="E38" i="18"/>
  <c r="D38" i="18"/>
  <c r="C38" i="18"/>
  <c r="BI35" i="18"/>
  <c r="BH35" i="18"/>
  <c r="BG35" i="18"/>
  <c r="BF35" i="18"/>
  <c r="BE35" i="18"/>
  <c r="BD35" i="18"/>
  <c r="BC35" i="18"/>
  <c r="BB35" i="18"/>
  <c r="BA35" i="18"/>
  <c r="AZ35" i="18"/>
  <c r="AY35" i="18"/>
  <c r="AX35" i="18"/>
  <c r="AW35" i="18"/>
  <c r="AV35" i="18"/>
  <c r="AU35" i="18"/>
  <c r="AT35" i="18"/>
  <c r="AS35" i="18"/>
  <c r="AR35" i="18"/>
  <c r="AQ35" i="18"/>
  <c r="AP35" i="18"/>
  <c r="AO35" i="18"/>
  <c r="AN35" i="18"/>
  <c r="AM35" i="18"/>
  <c r="AL35" i="18"/>
  <c r="AK35" i="18"/>
  <c r="AJ35" i="18"/>
  <c r="AI35" i="18"/>
  <c r="AH35" i="18"/>
  <c r="AG35" i="18"/>
  <c r="AF35" i="18"/>
  <c r="AE35" i="18"/>
  <c r="AD35" i="18"/>
  <c r="AC35" i="18"/>
  <c r="AB35" i="18"/>
  <c r="AA35" i="18"/>
  <c r="Z35" i="18"/>
  <c r="Y35" i="18"/>
  <c r="X35" i="18"/>
  <c r="W35" i="18"/>
  <c r="V35" i="18"/>
  <c r="U35" i="18"/>
  <c r="T35" i="18"/>
  <c r="S35" i="18"/>
  <c r="R35" i="18"/>
  <c r="Q35" i="18"/>
  <c r="P35" i="18"/>
  <c r="O35" i="18"/>
  <c r="N35" i="18"/>
  <c r="M35" i="18"/>
  <c r="L35" i="18"/>
  <c r="K35" i="18"/>
  <c r="J35" i="18"/>
  <c r="I35" i="18"/>
  <c r="H35" i="18"/>
  <c r="G35" i="18"/>
  <c r="F35" i="18"/>
  <c r="E35" i="18"/>
  <c r="D35" i="18"/>
  <c r="C35" i="18"/>
  <c r="H34" i="18"/>
  <c r="G34" i="18"/>
  <c r="F34" i="18"/>
  <c r="E34" i="18"/>
  <c r="D34" i="18"/>
  <c r="C34" i="18"/>
  <c r="BJ34" i="18"/>
  <c r="BI34" i="18"/>
  <c r="BH34" i="18"/>
  <c r="BG34" i="18"/>
  <c r="BF34" i="18"/>
  <c r="BE34" i="18"/>
  <c r="BD34" i="18"/>
  <c r="BC34" i="18"/>
  <c r="BB34" i="18"/>
  <c r="BA34" i="18"/>
  <c r="AZ34" i="18"/>
  <c r="AY34" i="18"/>
  <c r="AX34" i="18"/>
  <c r="AW34" i="18"/>
  <c r="AV34" i="18"/>
  <c r="AU34" i="18"/>
  <c r="AT34" i="18"/>
  <c r="AS34" i="18"/>
  <c r="AR34" i="18"/>
  <c r="AQ34" i="18"/>
  <c r="AP34" i="18"/>
  <c r="AO34" i="18"/>
  <c r="AN34" i="18"/>
  <c r="AM34" i="18"/>
  <c r="AL34" i="18"/>
  <c r="AK34" i="18"/>
  <c r="AJ34" i="18"/>
  <c r="AI34" i="18"/>
  <c r="AH34" i="18"/>
  <c r="AG34" i="18"/>
  <c r="AF34" i="18"/>
  <c r="AE34" i="18"/>
  <c r="AD34" i="18"/>
  <c r="AC34" i="18"/>
  <c r="AB34" i="18"/>
  <c r="AA34" i="18"/>
  <c r="Z34" i="18"/>
  <c r="Y34" i="18"/>
  <c r="X34" i="18"/>
  <c r="W34" i="18"/>
  <c r="V34" i="18"/>
  <c r="U34" i="18"/>
  <c r="T34" i="18"/>
  <c r="S34" i="18"/>
  <c r="R34" i="18"/>
  <c r="Q34" i="18"/>
  <c r="P34" i="18"/>
  <c r="O34" i="18"/>
  <c r="N34" i="18"/>
  <c r="M34" i="18"/>
  <c r="L34" i="18"/>
  <c r="K34" i="18"/>
  <c r="J34" i="18"/>
  <c r="I34" i="18"/>
  <c r="BN15" i="18"/>
  <c r="BN5" i="18"/>
  <c r="BM15" i="18"/>
  <c r="BM5" i="18" s="1"/>
  <c r="BL15" i="18"/>
  <c r="BL5" i="18" s="1"/>
  <c r="BK15" i="18"/>
  <c r="BJ15" i="18"/>
  <c r="BJ5" i="18"/>
  <c r="BI15" i="18"/>
  <c r="BH15" i="18"/>
  <c r="BG15" i="18"/>
  <c r="BF15" i="18"/>
  <c r="BE15" i="18"/>
  <c r="BD15" i="18"/>
  <c r="BC15" i="18"/>
  <c r="BA15" i="18"/>
  <c r="AZ15" i="18"/>
  <c r="AY15" i="18"/>
  <c r="AX15" i="18"/>
  <c r="AX5" i="18"/>
  <c r="AW15" i="18"/>
  <c r="AW5" i="18" s="1"/>
  <c r="AV15" i="18"/>
  <c r="AU15" i="18"/>
  <c r="AT15" i="18"/>
  <c r="AS15" i="18"/>
  <c r="AR15" i="18"/>
  <c r="AQ15" i="18"/>
  <c r="AP15" i="18"/>
  <c r="AN15" i="18"/>
  <c r="AM15" i="18"/>
  <c r="AL15" i="18"/>
  <c r="AK15" i="18"/>
  <c r="AJ15" i="18"/>
  <c r="AJ5" i="18"/>
  <c r="AI15" i="18"/>
  <c r="AH15" i="18"/>
  <c r="AG15" i="18"/>
  <c r="AF15" i="18"/>
  <c r="AE15" i="18"/>
  <c r="AE5" i="18"/>
  <c r="AD15" i="18"/>
  <c r="AD5" i="18"/>
  <c r="AC15" i="18"/>
  <c r="AA15" i="18"/>
  <c r="Z15" i="18"/>
  <c r="Y15" i="18"/>
  <c r="X15" i="18"/>
  <c r="W15" i="18"/>
  <c r="V15" i="18"/>
  <c r="U15" i="18"/>
  <c r="T15" i="18"/>
  <c r="S15" i="18"/>
  <c r="R15" i="18"/>
  <c r="R5" i="18"/>
  <c r="Q15" i="18"/>
  <c r="P15" i="18"/>
  <c r="AS5" i="18"/>
  <c r="N15" i="18"/>
  <c r="M15" i="18"/>
  <c r="L15" i="18"/>
  <c r="L5" i="18"/>
  <c r="K15" i="18"/>
  <c r="J15" i="18"/>
  <c r="I15" i="18"/>
  <c r="M13" i="21"/>
  <c r="L13" i="21"/>
  <c r="L3" i="21"/>
  <c r="M12" i="21"/>
  <c r="L12" i="21"/>
  <c r="M11" i="21"/>
  <c r="L11" i="21"/>
  <c r="M10" i="21"/>
  <c r="L10" i="21"/>
  <c r="M9" i="21"/>
  <c r="L9" i="21"/>
  <c r="M8" i="21"/>
  <c r="L8" i="21"/>
  <c r="M7" i="21"/>
  <c r="L7" i="21"/>
  <c r="M6" i="21"/>
  <c r="L6" i="21"/>
  <c r="M5" i="21"/>
  <c r="L5" i="21"/>
  <c r="M4" i="21"/>
  <c r="L4" i="21"/>
  <c r="M3" i="21"/>
  <c r="C50" i="21"/>
  <c r="K43" i="21"/>
  <c r="M43" i="21"/>
  <c r="C39" i="21"/>
  <c r="C40" i="21" s="1"/>
  <c r="K42" i="21"/>
  <c r="H38" i="21"/>
  <c r="G38" i="21"/>
  <c r="F38" i="21"/>
  <c r="E38" i="21"/>
  <c r="D38" i="21"/>
  <c r="K41" i="21"/>
  <c r="H37" i="21"/>
  <c r="G37" i="21"/>
  <c r="F37" i="21"/>
  <c r="E37" i="21"/>
  <c r="D37" i="21"/>
  <c r="K40" i="21"/>
  <c r="M40" i="21"/>
  <c r="H36" i="21"/>
  <c r="G36" i="21"/>
  <c r="F36" i="21"/>
  <c r="E36" i="21"/>
  <c r="D36" i="21"/>
  <c r="K39" i="21"/>
  <c r="M39" i="21"/>
  <c r="K38" i="21"/>
  <c r="M38" i="21"/>
  <c r="K37" i="21"/>
  <c r="L37" i="21"/>
  <c r="K36" i="21"/>
  <c r="K35" i="21"/>
  <c r="L35" i="21" s="1"/>
  <c r="K34" i="21"/>
  <c r="L34" i="21"/>
  <c r="K33" i="21"/>
  <c r="M33" i="21" s="1"/>
  <c r="K32" i="21"/>
  <c r="K31" i="21"/>
  <c r="M31" i="21"/>
  <c r="K30" i="21"/>
  <c r="K29" i="21"/>
  <c r="L29" i="21"/>
  <c r="C19" i="21"/>
  <c r="E15" i="21"/>
  <c r="F15" i="21"/>
  <c r="G15" i="21"/>
  <c r="H15" i="21"/>
  <c r="BX12" i="18"/>
  <c r="BS11" i="18"/>
  <c r="C49" i="14"/>
  <c r="C51" i="14"/>
  <c r="C53" i="14" s="1"/>
  <c r="F48" i="14"/>
  <c r="F52" i="14"/>
  <c r="F54" i="14" s="1"/>
  <c r="F56" i="14" s="1"/>
  <c r="F39" i="14"/>
  <c r="F41" i="14"/>
  <c r="F43" i="14" s="1"/>
  <c r="C38" i="14"/>
  <c r="C40" i="14"/>
  <c r="C42" i="14"/>
  <c r="I43" i="14" s="1"/>
  <c r="F28" i="14"/>
  <c r="F30" i="14"/>
  <c r="F32" i="14"/>
  <c r="C27" i="14"/>
  <c r="C29" i="14"/>
  <c r="C31" i="14"/>
  <c r="I32" i="14"/>
  <c r="F17" i="14"/>
  <c r="F19" i="14" s="1"/>
  <c r="F21" i="14" s="1"/>
  <c r="C16" i="14"/>
  <c r="C18" i="14" s="1"/>
  <c r="C20" i="14" s="1"/>
  <c r="F6" i="14"/>
  <c r="F8" i="14" s="1"/>
  <c r="F10" i="14" s="1"/>
  <c r="C5" i="14"/>
  <c r="C7" i="14"/>
  <c r="C9" i="14" s="1"/>
  <c r="I10" i="14" s="1"/>
  <c r="B21" i="16"/>
  <c r="L10" i="15"/>
  <c r="L6" i="15" s="1"/>
  <c r="C29" i="1"/>
  <c r="C9" i="17"/>
  <c r="B34" i="5"/>
  <c r="B26" i="5"/>
  <c r="B28" i="5" s="1"/>
  <c r="B30" i="5" s="1"/>
  <c r="B32" i="5"/>
  <c r="B3" i="5"/>
  <c r="C27" i="1"/>
  <c r="L4" i="17"/>
  <c r="C5" i="16"/>
  <c r="D5" i="16" s="1"/>
  <c r="E5" i="16" s="1"/>
  <c r="F5" i="16" s="1"/>
  <c r="G5" i="16"/>
  <c r="H5" i="16" s="1"/>
  <c r="I5" i="16" s="1"/>
  <c r="J5" i="16" s="1"/>
  <c r="K5" i="16" s="1"/>
  <c r="L5" i="16" s="1"/>
  <c r="M5" i="16" s="1"/>
  <c r="N5" i="16" s="1"/>
  <c r="P5" i="16" s="1"/>
  <c r="Q5" i="16" s="1"/>
  <c r="R5" i="16" s="1"/>
  <c r="S5" i="16" s="1"/>
  <c r="T5" i="16" s="1"/>
  <c r="U5" i="16" s="1"/>
  <c r="V5" i="16" s="1"/>
  <c r="W5" i="16" s="1"/>
  <c r="X5" i="16" s="1"/>
  <c r="Y5" i="16" s="1"/>
  <c r="Z5" i="16" s="1"/>
  <c r="AA5" i="16" s="1"/>
  <c r="AC5" i="16" s="1"/>
  <c r="AD5" i="16" s="1"/>
  <c r="AE5" i="16" s="1"/>
  <c r="AF5" i="16" s="1"/>
  <c r="AG5" i="16" s="1"/>
  <c r="AH5" i="16" s="1"/>
  <c r="AI5" i="16" s="1"/>
  <c r="AJ5" i="16" s="1"/>
  <c r="AK5" i="16" s="1"/>
  <c r="AL5" i="16" s="1"/>
  <c r="AM5" i="16" s="1"/>
  <c r="AN5" i="16" s="1"/>
  <c r="AP5" i="16" s="1"/>
  <c r="AQ5" i="16" s="1"/>
  <c r="AR5" i="16" s="1"/>
  <c r="AS5" i="16" s="1"/>
  <c r="AT5" i="16" s="1"/>
  <c r="AU5" i="16" s="1"/>
  <c r="AV5" i="16" s="1"/>
  <c r="AW5" i="16" s="1"/>
  <c r="AX5" i="16" s="1"/>
  <c r="AY5" i="16" s="1"/>
  <c r="AZ5" i="16" s="1"/>
  <c r="BA5" i="16" s="1"/>
  <c r="BC5" i="16" s="1"/>
  <c r="BD5" i="16" s="1"/>
  <c r="BE5" i="16" s="1"/>
  <c r="BF5" i="16" s="1"/>
  <c r="BG5" i="16" s="1"/>
  <c r="BH5" i="16" s="1"/>
  <c r="BI5" i="16" s="1"/>
  <c r="BJ5" i="16" s="1"/>
  <c r="BK5" i="16" s="1"/>
  <c r="BL5" i="16" s="1"/>
  <c r="BM5" i="16" s="1"/>
  <c r="BN5" i="16" s="1"/>
  <c r="B20" i="16"/>
  <c r="B19" i="16"/>
  <c r="C2" i="16"/>
  <c r="D2" i="16"/>
  <c r="E2" i="16"/>
  <c r="F2" i="16" s="1"/>
  <c r="G2" i="16" s="1"/>
  <c r="H2" i="16" s="1"/>
  <c r="I2" i="16" s="1"/>
  <c r="J2" i="16" s="1"/>
  <c r="K2" i="16" s="1"/>
  <c r="L2" i="16" s="1"/>
  <c r="M2" i="16"/>
  <c r="N2" i="16" s="1"/>
  <c r="P2" i="16" s="1"/>
  <c r="Q2" i="16" s="1"/>
  <c r="R2" i="16" s="1"/>
  <c r="S2" i="16" s="1"/>
  <c r="T2" i="16" s="1"/>
  <c r="U2" i="16" s="1"/>
  <c r="V2" i="16" s="1"/>
  <c r="W2" i="16" s="1"/>
  <c r="X2" i="16" s="1"/>
  <c r="Y2" i="16" s="1"/>
  <c r="Z2" i="16" s="1"/>
  <c r="AA2" i="16" s="1"/>
  <c r="AC2" i="16" s="1"/>
  <c r="AD2" i="16" s="1"/>
  <c r="AE2" i="16" s="1"/>
  <c r="AF2" i="16" s="1"/>
  <c r="AG2" i="16" s="1"/>
  <c r="AH2" i="16" s="1"/>
  <c r="AI2" i="16" s="1"/>
  <c r="AJ2" i="16" s="1"/>
  <c r="AK2" i="16" s="1"/>
  <c r="AL2" i="16" s="1"/>
  <c r="AM2" i="16" s="1"/>
  <c r="AN2" i="16" s="1"/>
  <c r="AP2" i="16" s="1"/>
  <c r="AQ2" i="16" s="1"/>
  <c r="AR2" i="16" s="1"/>
  <c r="AS2" i="16" s="1"/>
  <c r="AT2" i="16" s="1"/>
  <c r="AU2" i="16" s="1"/>
  <c r="AV2" i="16"/>
  <c r="AW2" i="16" s="1"/>
  <c r="AX2" i="16" s="1"/>
  <c r="AY2" i="16" s="1"/>
  <c r="AZ2" i="16" s="1"/>
  <c r="BA2" i="16" s="1"/>
  <c r="BC2" i="16" s="1"/>
  <c r="BD2" i="16" s="1"/>
  <c r="BE2" i="16" s="1"/>
  <c r="BF2" i="16" s="1"/>
  <c r="BG2" i="16" s="1"/>
  <c r="BH2" i="16" s="1"/>
  <c r="BI2" i="16" s="1"/>
  <c r="BJ2" i="16" s="1"/>
  <c r="BK2" i="16" s="1"/>
  <c r="BL2" i="16" s="1"/>
  <c r="BM2" i="16" s="1"/>
  <c r="BN2" i="16" s="1"/>
  <c r="BZ39" i="15"/>
  <c r="BM39" i="15"/>
  <c r="AZ39" i="15"/>
  <c r="AM39" i="15"/>
  <c r="Z39" i="15"/>
  <c r="BY17" i="15"/>
  <c r="BO17" i="15"/>
  <c r="BZ17" i="15" s="1"/>
  <c r="BN17" i="15"/>
  <c r="BL17" i="15"/>
  <c r="BB17" i="15"/>
  <c r="BA17" i="15"/>
  <c r="AY17" i="15"/>
  <c r="AO17" i="15"/>
  <c r="AN17" i="15"/>
  <c r="AZ17" i="15" s="1"/>
  <c r="AB17" i="15"/>
  <c r="AL17" i="15"/>
  <c r="AA17" i="15"/>
  <c r="AM17" i="15"/>
  <c r="Z17" i="15"/>
  <c r="L26" i="15"/>
  <c r="L18" i="15"/>
  <c r="J89" i="15"/>
  <c r="J88" i="15"/>
  <c r="J87" i="15"/>
  <c r="J86" i="15"/>
  <c r="J85" i="15"/>
  <c r="J84" i="15"/>
  <c r="J83" i="15"/>
  <c r="J82" i="15"/>
  <c r="J81" i="15"/>
  <c r="J80" i="15"/>
  <c r="J79" i="15"/>
  <c r="J78" i="15"/>
  <c r="J77" i="15"/>
  <c r="J76" i="15"/>
  <c r="J75" i="15"/>
  <c r="J74" i="15"/>
  <c r="J73" i="15"/>
  <c r="J72" i="15"/>
  <c r="J71" i="15"/>
  <c r="J70" i="15"/>
  <c r="J69" i="15"/>
  <c r="J68" i="15"/>
  <c r="J67" i="15"/>
  <c r="J66" i="15"/>
  <c r="G57" i="15"/>
  <c r="J56" i="15"/>
  <c r="J55" i="15"/>
  <c r="N53" i="15"/>
  <c r="O53" i="15" s="1"/>
  <c r="P53" i="15" s="1"/>
  <c r="Q53" i="15" s="1"/>
  <c r="R53" i="15" s="1"/>
  <c r="S53" i="15"/>
  <c r="T53" i="15" s="1"/>
  <c r="U53" i="15" s="1"/>
  <c r="V53" i="15" s="1"/>
  <c r="W53" i="15" s="1"/>
  <c r="X53" i="15" s="1"/>
  <c r="Y53" i="15" s="1"/>
  <c r="AA53" i="15" s="1"/>
  <c r="AB53" i="15" s="1"/>
  <c r="AC53" i="15" s="1"/>
  <c r="AD53" i="15" s="1"/>
  <c r="AE53" i="15" s="1"/>
  <c r="AF53" i="15" s="1"/>
  <c r="AG53" i="15" s="1"/>
  <c r="AH53" i="15" s="1"/>
  <c r="AI53" i="15" s="1"/>
  <c r="AJ53" i="15" s="1"/>
  <c r="AK53" i="15" s="1"/>
  <c r="AL53" i="15" s="1"/>
  <c r="AN53" i="15" s="1"/>
  <c r="AO53" i="15" s="1"/>
  <c r="AP53" i="15" s="1"/>
  <c r="AQ53" i="15"/>
  <c r="AR53" i="15" s="1"/>
  <c r="AS53" i="15" s="1"/>
  <c r="AT53" i="15" s="1"/>
  <c r="AU53" i="15" s="1"/>
  <c r="AV53" i="15" s="1"/>
  <c r="AW53" i="15" s="1"/>
  <c r="AX53" i="15" s="1"/>
  <c r="AY53" i="15" s="1"/>
  <c r="BA53" i="15" s="1"/>
  <c r="BB53" i="15" s="1"/>
  <c r="BC53" i="15" s="1"/>
  <c r="BD53" i="15" s="1"/>
  <c r="BE53" i="15" s="1"/>
  <c r="BF53" i="15" s="1"/>
  <c r="BG53" i="15" s="1"/>
  <c r="BH53" i="15" s="1"/>
  <c r="BI53" i="15" s="1"/>
  <c r="BJ53" i="15" s="1"/>
  <c r="BK53" i="15" s="1"/>
  <c r="BL53" i="15" s="1"/>
  <c r="BN53" i="15"/>
  <c r="BO53" i="15" s="1"/>
  <c r="BP53" i="15" s="1"/>
  <c r="BQ53" i="15" s="1"/>
  <c r="BR53" i="15" s="1"/>
  <c r="BS53" i="15" s="1"/>
  <c r="BT53" i="15" s="1"/>
  <c r="BU53" i="15" s="1"/>
  <c r="BV53" i="15" s="1"/>
  <c r="BW53" i="15" s="1"/>
  <c r="BX53" i="15" s="1"/>
  <c r="BY53" i="15" s="1"/>
  <c r="J51" i="15"/>
  <c r="J50" i="15"/>
  <c r="J46" i="15"/>
  <c r="BZ15" i="15"/>
  <c r="BM15" i="15"/>
  <c r="AZ15" i="15"/>
  <c r="AM15" i="15"/>
  <c r="Z15" i="15"/>
  <c r="J14" i="15"/>
  <c r="J13" i="15"/>
  <c r="J12" i="15"/>
  <c r="J11" i="15"/>
  <c r="N2" i="15"/>
  <c r="O2" i="15" s="1"/>
  <c r="P2" i="15" s="1"/>
  <c r="Q2" i="15" s="1"/>
  <c r="R2" i="15"/>
  <c r="S2" i="15" s="1"/>
  <c r="T2" i="15" s="1"/>
  <c r="U2" i="15" s="1"/>
  <c r="V2" i="15" s="1"/>
  <c r="W2" i="15" s="1"/>
  <c r="X2" i="15" s="1"/>
  <c r="Y2" i="15" s="1"/>
  <c r="AA2" i="15" s="1"/>
  <c r="AB2" i="15" s="1"/>
  <c r="AC2" i="15" s="1"/>
  <c r="AD2" i="15" s="1"/>
  <c r="AE2" i="15" s="1"/>
  <c r="AF2" i="15" s="1"/>
  <c r="AG2" i="15" s="1"/>
  <c r="AH2" i="15" s="1"/>
  <c r="AI2" i="15" s="1"/>
  <c r="AJ2" i="15" s="1"/>
  <c r="AK2" i="15" s="1"/>
  <c r="AL2" i="15" s="1"/>
  <c r="AN2" i="15" s="1"/>
  <c r="AO2" i="15"/>
  <c r="AP2" i="15" s="1"/>
  <c r="AQ2" i="15" s="1"/>
  <c r="AR2" i="15" s="1"/>
  <c r="AS2" i="15" s="1"/>
  <c r="AT2" i="15" s="1"/>
  <c r="AU2" i="15" s="1"/>
  <c r="AV2" i="15" s="1"/>
  <c r="AW2" i="15" s="1"/>
  <c r="AX2" i="15" s="1"/>
  <c r="AY2" i="15" s="1"/>
  <c r="BA2" i="15" s="1"/>
  <c r="BB2" i="15" s="1"/>
  <c r="BC2" i="15" s="1"/>
  <c r="BD2" i="15" s="1"/>
  <c r="BE2" i="15" s="1"/>
  <c r="BF2" i="15" s="1"/>
  <c r="BG2" i="15" s="1"/>
  <c r="BH2" i="15" s="1"/>
  <c r="BI2" i="15" s="1"/>
  <c r="BJ2" i="15" s="1"/>
  <c r="BK2" i="15" s="1"/>
  <c r="BL2" i="15"/>
  <c r="BN2" i="15" s="1"/>
  <c r="BO2" i="15" s="1"/>
  <c r="BP2" i="15" s="1"/>
  <c r="BQ2" i="15" s="1"/>
  <c r="BR2" i="15" s="1"/>
  <c r="BS2" i="15" s="1"/>
  <c r="BT2" i="15" s="1"/>
  <c r="BU2" i="15" s="1"/>
  <c r="BV2" i="15" s="1"/>
  <c r="BW2" i="15" s="1"/>
  <c r="BX2" i="15" s="1"/>
  <c r="BY2" i="15" s="1"/>
  <c r="BY19" i="13"/>
  <c r="BL19" i="13"/>
  <c r="AY19" i="13"/>
  <c r="AL19" i="13"/>
  <c r="Y19" i="13"/>
  <c r="G74" i="1"/>
  <c r="F74" i="1"/>
  <c r="E74" i="1"/>
  <c r="D74" i="1"/>
  <c r="C74" i="1"/>
  <c r="J18" i="13"/>
  <c r="J17" i="13"/>
  <c r="J16" i="13"/>
  <c r="BY3" i="13"/>
  <c r="BL3" i="13"/>
  <c r="Y3" i="13"/>
  <c r="J57" i="13"/>
  <c r="J56" i="13"/>
  <c r="J55" i="13"/>
  <c r="J54" i="13"/>
  <c r="J53" i="13"/>
  <c r="J52" i="13"/>
  <c r="J51" i="13"/>
  <c r="J50" i="13"/>
  <c r="J49" i="13"/>
  <c r="J48" i="13"/>
  <c r="J47" i="13"/>
  <c r="J45" i="13"/>
  <c r="J44" i="13"/>
  <c r="J43" i="13"/>
  <c r="J42" i="13"/>
  <c r="J41" i="13"/>
  <c r="J40" i="13"/>
  <c r="J39" i="13"/>
  <c r="J38" i="13"/>
  <c r="J37" i="13"/>
  <c r="J36" i="13"/>
  <c r="J35" i="13"/>
  <c r="J34" i="13"/>
  <c r="J33" i="13"/>
  <c r="J32" i="13"/>
  <c r="J31" i="13"/>
  <c r="J30" i="13"/>
  <c r="J29" i="13"/>
  <c r="J28" i="13"/>
  <c r="J27" i="13"/>
  <c r="J26" i="13"/>
  <c r="J25" i="13"/>
  <c r="J24" i="13"/>
  <c r="J23" i="13"/>
  <c r="J22" i="13"/>
  <c r="J15" i="13"/>
  <c r="J14" i="13"/>
  <c r="J13" i="13"/>
  <c r="J12" i="13"/>
  <c r="J11" i="13"/>
  <c r="J10" i="13"/>
  <c r="J9" i="13"/>
  <c r="J8" i="13"/>
  <c r="J7" i="13"/>
  <c r="BX46" i="13"/>
  <c r="BW46" i="13"/>
  <c r="BV46" i="13"/>
  <c r="BU46" i="13"/>
  <c r="BT46" i="13"/>
  <c r="BS46" i="13"/>
  <c r="BR46" i="13"/>
  <c r="BQ46" i="13"/>
  <c r="BP46" i="13"/>
  <c r="BO46" i="13"/>
  <c r="BN46" i="13"/>
  <c r="BM46" i="13"/>
  <c r="BK46" i="13"/>
  <c r="BJ46" i="13"/>
  <c r="BI46" i="13"/>
  <c r="BH46" i="13"/>
  <c r="BG46" i="13"/>
  <c r="BF46" i="13"/>
  <c r="BE46" i="13"/>
  <c r="BD46" i="13"/>
  <c r="BC46" i="13"/>
  <c r="BB46" i="13"/>
  <c r="BA46" i="13"/>
  <c r="AZ46" i="13"/>
  <c r="AX46" i="13"/>
  <c r="AW46" i="13"/>
  <c r="AV46" i="13"/>
  <c r="AU46" i="13"/>
  <c r="AT46" i="13"/>
  <c r="AS46" i="13"/>
  <c r="AR46" i="13"/>
  <c r="AQ46" i="13"/>
  <c r="AP46" i="13"/>
  <c r="AO46" i="13"/>
  <c r="AN46" i="13"/>
  <c r="AM46" i="13"/>
  <c r="M7" i="13"/>
  <c r="M6" i="13"/>
  <c r="B19" i="5"/>
  <c r="B11" i="5"/>
  <c r="B13" i="5" s="1"/>
  <c r="B15" i="5" s="1"/>
  <c r="B17" i="5" s="1"/>
  <c r="E45" i="5"/>
  <c r="J95" i="13"/>
  <c r="J94" i="13"/>
  <c r="J93" i="13"/>
  <c r="J92" i="13"/>
  <c r="J91" i="13"/>
  <c r="J90" i="13"/>
  <c r="J89" i="13"/>
  <c r="J88" i="13"/>
  <c r="J87" i="13"/>
  <c r="J86" i="13"/>
  <c r="J85" i="13"/>
  <c r="J84" i="13"/>
  <c r="J83" i="13"/>
  <c r="J82" i="13"/>
  <c r="J81" i="13"/>
  <c r="J80" i="13"/>
  <c r="J79" i="13"/>
  <c r="J78" i="13"/>
  <c r="J77" i="13"/>
  <c r="J76" i="13"/>
  <c r="J75" i="13"/>
  <c r="J74" i="13"/>
  <c r="J73" i="13"/>
  <c r="J72" i="13"/>
  <c r="G63" i="13"/>
  <c r="J62" i="13"/>
  <c r="J61" i="13"/>
  <c r="M59" i="13"/>
  <c r="N59" i="13" s="1"/>
  <c r="O59" i="13" s="1"/>
  <c r="P59" i="13" s="1"/>
  <c r="Q59" i="13" s="1"/>
  <c r="R59" i="13"/>
  <c r="S59" i="13" s="1"/>
  <c r="T59" i="13" s="1"/>
  <c r="U59" i="13" s="1"/>
  <c r="V59" i="13" s="1"/>
  <c r="W59" i="13" s="1"/>
  <c r="X59" i="13" s="1"/>
  <c r="Z59" i="13" s="1"/>
  <c r="AA59" i="13" s="1"/>
  <c r="AB59" i="13" s="1"/>
  <c r="AC59" i="13" s="1"/>
  <c r="AD59" i="13" s="1"/>
  <c r="AE59" i="13" s="1"/>
  <c r="AF59" i="13" s="1"/>
  <c r="AG59" i="13" s="1"/>
  <c r="AH59" i="13" s="1"/>
  <c r="AI59" i="13" s="1"/>
  <c r="AJ59" i="13" s="1"/>
  <c r="AK59" i="13" s="1"/>
  <c r="AM59" i="13"/>
  <c r="AN59" i="13" s="1"/>
  <c r="AO59" i="13" s="1"/>
  <c r="AP59" i="13" s="1"/>
  <c r="AQ59" i="13" s="1"/>
  <c r="AR59" i="13" s="1"/>
  <c r="AS59" i="13" s="1"/>
  <c r="AT59" i="13" s="1"/>
  <c r="AU59" i="13" s="1"/>
  <c r="AV59" i="13" s="1"/>
  <c r="AW59" i="13" s="1"/>
  <c r="AX59" i="13" s="1"/>
  <c r="AZ59" i="13" s="1"/>
  <c r="BA59" i="13" s="1"/>
  <c r="BB59" i="13" s="1"/>
  <c r="BC59" i="13" s="1"/>
  <c r="BD59" i="13"/>
  <c r="BE59" i="13" s="1"/>
  <c r="BF59" i="13" s="1"/>
  <c r="BG59" i="13" s="1"/>
  <c r="BH59" i="13" s="1"/>
  <c r="BI59" i="13" s="1"/>
  <c r="BJ59" i="13" s="1"/>
  <c r="BK59" i="13" s="1"/>
  <c r="BM59" i="13" s="1"/>
  <c r="BN59" i="13" s="1"/>
  <c r="BO59" i="13" s="1"/>
  <c r="BP59" i="13" s="1"/>
  <c r="BQ59" i="13" s="1"/>
  <c r="BR59" i="13" s="1"/>
  <c r="BS59" i="13" s="1"/>
  <c r="BT59" i="13" s="1"/>
  <c r="BU59" i="13" s="1"/>
  <c r="BV59" i="13" s="1"/>
  <c r="BW59" i="13" s="1"/>
  <c r="BX59" i="13" s="1"/>
  <c r="BX6" i="13"/>
  <c r="BW6" i="13"/>
  <c r="BV6" i="13"/>
  <c r="BU6" i="13"/>
  <c r="BT6" i="13"/>
  <c r="BS6" i="13"/>
  <c r="BR6" i="13"/>
  <c r="BQ6" i="13"/>
  <c r="BP6" i="13"/>
  <c r="BO6" i="13"/>
  <c r="BN6" i="13"/>
  <c r="BM6" i="13"/>
  <c r="BK6" i="13"/>
  <c r="BJ6" i="13"/>
  <c r="BI6" i="13"/>
  <c r="BH6" i="13"/>
  <c r="BG6" i="13"/>
  <c r="BF6" i="13"/>
  <c r="BE6" i="13"/>
  <c r="BD6" i="13"/>
  <c r="BC6" i="13"/>
  <c r="BB6" i="13"/>
  <c r="BA6" i="13"/>
  <c r="AZ6" i="13"/>
  <c r="AX6" i="13"/>
  <c r="AW6" i="13"/>
  <c r="AV6" i="13"/>
  <c r="AU6" i="13"/>
  <c r="AT6" i="13"/>
  <c r="AS6" i="13"/>
  <c r="AR6" i="13"/>
  <c r="AQ6" i="13"/>
  <c r="AP6" i="13"/>
  <c r="AO6" i="13"/>
  <c r="AN6" i="13"/>
  <c r="AM6" i="13"/>
  <c r="AK6" i="13"/>
  <c r="AJ6" i="13"/>
  <c r="AI6" i="13"/>
  <c r="AH6" i="13"/>
  <c r="AG6" i="13"/>
  <c r="AF6" i="13"/>
  <c r="AE6" i="13"/>
  <c r="AD6" i="13"/>
  <c r="AC6" i="13"/>
  <c r="AB6" i="13"/>
  <c r="AA6" i="13"/>
  <c r="Z6" i="13"/>
  <c r="X6" i="13"/>
  <c r="W6" i="13"/>
  <c r="V6" i="13"/>
  <c r="U6" i="13"/>
  <c r="T6" i="13"/>
  <c r="S6" i="13"/>
  <c r="R6" i="13"/>
  <c r="Q6" i="13"/>
  <c r="P6" i="13"/>
  <c r="O6" i="13"/>
  <c r="N6" i="13"/>
  <c r="M2" i="13"/>
  <c r="N2" i="13"/>
  <c r="O2" i="13" s="1"/>
  <c r="P2" i="13" s="1"/>
  <c r="Q2" i="13" s="1"/>
  <c r="R2" i="13" s="1"/>
  <c r="S2" i="13" s="1"/>
  <c r="T2" i="13" s="1"/>
  <c r="U2" i="13" s="1"/>
  <c r="V2" i="13" s="1"/>
  <c r="W2" i="13" s="1"/>
  <c r="X2" i="13" s="1"/>
  <c r="Z2" i="13" s="1"/>
  <c r="AA2" i="13"/>
  <c r="AB2" i="13" s="1"/>
  <c r="AC2" i="13" s="1"/>
  <c r="AD2" i="13" s="1"/>
  <c r="AE2" i="13" s="1"/>
  <c r="AF2" i="13" s="1"/>
  <c r="AG2" i="13" s="1"/>
  <c r="AH2" i="13" s="1"/>
  <c r="AI2" i="13" s="1"/>
  <c r="AJ2" i="13" s="1"/>
  <c r="AK2" i="13" s="1"/>
  <c r="AM2" i="13" s="1"/>
  <c r="AN2" i="13" s="1"/>
  <c r="AO2" i="13" s="1"/>
  <c r="AP2" i="13" s="1"/>
  <c r="AQ2" i="13" s="1"/>
  <c r="AR2" i="13" s="1"/>
  <c r="AS2" i="13" s="1"/>
  <c r="AT2" i="13" s="1"/>
  <c r="AU2" i="13" s="1"/>
  <c r="AV2" i="13" s="1"/>
  <c r="AW2" i="13" s="1"/>
  <c r="AX2" i="13" s="1"/>
  <c r="AZ2" i="13" s="1"/>
  <c r="BA2" i="13" s="1"/>
  <c r="BB2" i="13" s="1"/>
  <c r="BC2" i="13" s="1"/>
  <c r="BD2" i="13" s="1"/>
  <c r="BE2" i="13" s="1"/>
  <c r="BF2" i="13" s="1"/>
  <c r="BG2" i="13" s="1"/>
  <c r="BH2" i="13" s="1"/>
  <c r="BI2" i="13" s="1"/>
  <c r="BJ2" i="13" s="1"/>
  <c r="BK2" i="13" s="1"/>
  <c r="BM2" i="13" s="1"/>
  <c r="BN2" i="13" s="1"/>
  <c r="BO2" i="13" s="1"/>
  <c r="BP2" i="13" s="1"/>
  <c r="BQ2" i="13" s="1"/>
  <c r="BR2" i="13" s="1"/>
  <c r="BS2" i="13" s="1"/>
  <c r="BT2" i="13" s="1"/>
  <c r="BU2" i="13" s="1"/>
  <c r="BV2" i="13" s="1"/>
  <c r="BW2" i="13" s="1"/>
  <c r="BX2" i="13" s="1"/>
  <c r="J42" i="15"/>
  <c r="J45" i="15"/>
  <c r="J43" i="15"/>
  <c r="AY3" i="13"/>
  <c r="F10" i="12"/>
  <c r="E10" i="12"/>
  <c r="D4" i="10"/>
  <c r="D5" i="10" s="1"/>
  <c r="C4" i="10"/>
  <c r="C5" i="10"/>
  <c r="C28" i="1"/>
  <c r="D7" i="9"/>
  <c r="D8" i="9"/>
  <c r="D15" i="9" s="1"/>
  <c r="D10" i="9"/>
  <c r="G15" i="9"/>
  <c r="G18" i="9"/>
  <c r="M4" i="9"/>
  <c r="G14" i="9"/>
  <c r="N4" i="9" s="1"/>
  <c r="G19" i="9"/>
  <c r="E10" i="5"/>
  <c r="E11" i="5" s="1"/>
  <c r="E26" i="5"/>
  <c r="E27" i="5"/>
  <c r="E29" i="5"/>
  <c r="E30" i="5" s="1"/>
  <c r="E32" i="5" s="1"/>
  <c r="E6" i="5"/>
  <c r="E22" i="5"/>
  <c r="E46" i="5"/>
  <c r="W31" i="6"/>
  <c r="D23" i="6"/>
  <c r="N13" i="2"/>
  <c r="G15" i="2"/>
  <c r="G25" i="2"/>
  <c r="F15" i="2"/>
  <c r="M15" i="2"/>
  <c r="L15" i="2"/>
  <c r="L25" i="2"/>
  <c r="K15" i="2"/>
  <c r="J15" i="2"/>
  <c r="H15" i="2"/>
  <c r="E15" i="2"/>
  <c r="D15" i="2"/>
  <c r="C15" i="2"/>
  <c r="C25" i="2"/>
  <c r="N14" i="2"/>
  <c r="P20" i="2"/>
  <c r="O20" i="2"/>
  <c r="N23" i="2"/>
  <c r="N18" i="2"/>
  <c r="B24" i="2"/>
  <c r="N24" i="2"/>
  <c r="M20" i="2"/>
  <c r="M25" i="2" s="1"/>
  <c r="L20" i="2"/>
  <c r="K20" i="2"/>
  <c r="K25" i="2"/>
  <c r="J20" i="2"/>
  <c r="J25" i="2" s="1"/>
  <c r="I20" i="2"/>
  <c r="H20" i="2"/>
  <c r="H25" i="2" s="1"/>
  <c r="G20" i="2"/>
  <c r="F20" i="2"/>
  <c r="F25" i="2"/>
  <c r="E20" i="2"/>
  <c r="E25" i="2" s="1"/>
  <c r="D20" i="2"/>
  <c r="D25" i="2" s="1"/>
  <c r="C20" i="2"/>
  <c r="B20" i="2"/>
  <c r="D20" i="6"/>
  <c r="D19" i="6"/>
  <c r="H16" i="3"/>
  <c r="G16" i="3"/>
  <c r="F16" i="3"/>
  <c r="E16" i="3"/>
  <c r="D16" i="3"/>
  <c r="C16" i="3"/>
  <c r="B25" i="3"/>
  <c r="B16" i="3"/>
  <c r="D72" i="1"/>
  <c r="E72" i="1"/>
  <c r="F72" i="1" s="1"/>
  <c r="A65" i="1"/>
  <c r="A70" i="1"/>
  <c r="A76" i="1"/>
  <c r="B15" i="2"/>
  <c r="E78" i="1"/>
  <c r="D4" i="3"/>
  <c r="AB17" i="1"/>
  <c r="AB18" i="1" s="1"/>
  <c r="AB11" i="1"/>
  <c r="AA17" i="1"/>
  <c r="AA11" i="1"/>
  <c r="AA18" i="1" s="1"/>
  <c r="Z17" i="1"/>
  <c r="Y17" i="1"/>
  <c r="X17" i="1"/>
  <c r="X18" i="1"/>
  <c r="Z11" i="1"/>
  <c r="Z18" i="1" s="1"/>
  <c r="Y11" i="1"/>
  <c r="Y18" i="1"/>
  <c r="X11" i="1"/>
  <c r="AF17" i="1"/>
  <c r="AF11" i="1"/>
  <c r="AF18" i="1"/>
  <c r="AC17" i="1"/>
  <c r="AC11" i="1"/>
  <c r="AC18" i="1"/>
  <c r="V17" i="1"/>
  <c r="V18" i="1" s="1"/>
  <c r="V11" i="1"/>
  <c r="AL3" i="13"/>
  <c r="L39" i="21"/>
  <c r="L33" i="21"/>
  <c r="L38" i="21"/>
  <c r="AY5" i="18"/>
  <c r="L40" i="21"/>
  <c r="L43" i="21"/>
  <c r="M36" i="21"/>
  <c r="L36" i="21"/>
  <c r="M29" i="21"/>
  <c r="J63" i="13"/>
  <c r="G64" i="13"/>
  <c r="G65" i="13"/>
  <c r="BE5" i="18"/>
  <c r="BA5" i="18"/>
  <c r="AA5" i="18"/>
  <c r="AU5" i="18"/>
  <c r="V5" i="18"/>
  <c r="AL5" i="18"/>
  <c r="BG5" i="18"/>
  <c r="S5" i="18"/>
  <c r="Z5" i="18"/>
  <c r="AI5" i="18"/>
  <c r="AZ5" i="18"/>
  <c r="AM5" i="18"/>
  <c r="AR5" i="18"/>
  <c r="BK5" i="18"/>
  <c r="J5" i="18"/>
  <c r="BH5" i="18"/>
  <c r="K5" i="18"/>
  <c r="N5" i="18"/>
  <c r="AN5" i="18"/>
  <c r="W5" i="18"/>
  <c r="BF5" i="18"/>
  <c r="T5" i="18"/>
  <c r="AC5" i="18"/>
  <c r="AQ5" i="18"/>
  <c r="Y5" i="18"/>
  <c r="AF5" i="18"/>
  <c r="M42" i="21"/>
  <c r="L42" i="21"/>
  <c r="M37" i="21"/>
  <c r="M30" i="21"/>
  <c r="L30" i="21"/>
  <c r="U5" i="18"/>
  <c r="X5" i="18"/>
  <c r="BI5" i="18"/>
  <c r="AP5" i="18"/>
  <c r="AV5" i="18"/>
  <c r="AT5" i="18"/>
  <c r="AT16" i="18" s="1"/>
  <c r="I5" i="18"/>
  <c r="BC5" i="18"/>
  <c r="AG5" i="18"/>
  <c r="AG6" i="18" s="1"/>
  <c r="AE40" i="18" s="1"/>
  <c r="M34" i="21"/>
  <c r="L31" i="21"/>
  <c r="E44" i="5"/>
  <c r="J64" i="13"/>
  <c r="D19" i="9"/>
  <c r="E33" i="5"/>
  <c r="E35" i="5" s="1"/>
  <c r="B6" i="5" s="1"/>
  <c r="C30" i="1" s="1"/>
  <c r="Q5" i="18"/>
  <c r="AM43" i="18"/>
  <c r="AQ43" i="18"/>
  <c r="AR43" i="18"/>
  <c r="AD43" i="18"/>
  <c r="AU43" i="18"/>
  <c r="AK43" i="18"/>
  <c r="AS43" i="18"/>
  <c r="AW43" i="18"/>
  <c r="J43" i="18"/>
  <c r="I44" i="18"/>
  <c r="AA43" i="18"/>
  <c r="AC20" i="18"/>
  <c r="AW20" i="18"/>
  <c r="AJ19" i="18"/>
  <c r="AI19" i="18"/>
  <c r="AK19" i="18"/>
  <c r="AG19" i="18"/>
  <c r="M43" i="18"/>
  <c r="AL19" i="18"/>
  <c r="N19" i="18"/>
  <c r="N43" i="18"/>
  <c r="C45" i="18"/>
  <c r="C22" i="18"/>
  <c r="BN19" i="18"/>
  <c r="BL19" i="18"/>
  <c r="BI19" i="18"/>
  <c r="BF19" i="18"/>
  <c r="BC19" i="18"/>
  <c r="BK19" i="18"/>
  <c r="BG43" i="18" s="1"/>
  <c r="BG19" i="18"/>
  <c r="BM19" i="18"/>
  <c r="BJ19" i="18"/>
  <c r="BE19" i="18"/>
  <c r="BH19" i="18"/>
  <c r="BD19" i="18"/>
  <c r="M35" i="21"/>
  <c r="M32" i="21"/>
  <c r="L32" i="21"/>
  <c r="L41" i="21"/>
  <c r="M41" i="21"/>
  <c r="AQ20" i="18"/>
  <c r="AN43" i="18"/>
  <c r="B20" i="5"/>
  <c r="B22" i="5"/>
  <c r="B35" i="5"/>
  <c r="B37" i="5" s="1"/>
  <c r="B2" i="5" s="1"/>
  <c r="C26" i="1" s="1"/>
  <c r="BM17" i="15"/>
  <c r="B34" i="1"/>
  <c r="P5" i="18"/>
  <c r="AH5" i="18"/>
  <c r="AK5" i="18"/>
  <c r="AK6" i="18" s="1"/>
  <c r="AI40" i="18" s="1"/>
  <c r="N20" i="18"/>
  <c r="M5" i="18"/>
  <c r="BD5" i="18"/>
  <c r="T19" i="18"/>
  <c r="Y19" i="18"/>
  <c r="P19" i="18"/>
  <c r="X19" i="18"/>
  <c r="S19" i="18"/>
  <c r="V19" i="18"/>
  <c r="R19" i="18"/>
  <c r="R20" i="18" s="1"/>
  <c r="W19" i="18"/>
  <c r="U19" i="18"/>
  <c r="T43" i="18" s="1"/>
  <c r="Q19" i="18"/>
  <c r="Z19" i="18"/>
  <c r="AA19" i="18"/>
  <c r="AN19" i="18"/>
  <c r="AH19" i="18"/>
  <c r="AD19" i="18"/>
  <c r="AE19" i="18"/>
  <c r="AR19" i="18"/>
  <c r="AO43" i="18" s="1"/>
  <c r="BA19" i="18"/>
  <c r="I19" i="18"/>
  <c r="I43" i="18" s="1"/>
  <c r="K19" i="18"/>
  <c r="AS19" i="18"/>
  <c r="AY19" i="18"/>
  <c r="AK20" i="18"/>
  <c r="AI43" i="18"/>
  <c r="AI20" i="18"/>
  <c r="AG43" i="18"/>
  <c r="AL20" i="18"/>
  <c r="AJ43" i="18"/>
  <c r="AG20" i="18"/>
  <c r="AE43" i="18"/>
  <c r="U20" i="18"/>
  <c r="S20" i="18"/>
  <c r="R43" i="18"/>
  <c r="BK20" i="18"/>
  <c r="BL20" i="18"/>
  <c r="BH43" i="18"/>
  <c r="AR20" i="18"/>
  <c r="AH20" i="18"/>
  <c r="AF43" i="18"/>
  <c r="BJ20" i="18"/>
  <c r="BF43" i="18"/>
  <c r="BC20" i="18"/>
  <c r="AY43" i="18"/>
  <c r="BN20" i="18"/>
  <c r="BJ43" i="18"/>
  <c r="AS20" i="18"/>
  <c r="AP43" i="18"/>
  <c r="BA20" i="18"/>
  <c r="AX43" i="18"/>
  <c r="AD20" i="18"/>
  <c r="AB43" i="18"/>
  <c r="BE20" i="18"/>
  <c r="BA43" i="18"/>
  <c r="AN20" i="18"/>
  <c r="AL43" i="18"/>
  <c r="BD20" i="18"/>
  <c r="AZ43" i="18"/>
  <c r="BM20" i="18"/>
  <c r="BI43" i="18"/>
  <c r="BF20" i="18"/>
  <c r="BB43" i="18"/>
  <c r="C23" i="18"/>
  <c r="C44" i="18"/>
  <c r="T20" i="18"/>
  <c r="S43" i="18"/>
  <c r="Z20" i="18"/>
  <c r="Y43" i="18"/>
  <c r="Q43" i="18"/>
  <c r="P20" i="18"/>
  <c r="O43" i="18"/>
  <c r="AY20" i="18"/>
  <c r="AV43" i="18"/>
  <c r="I20" i="18"/>
  <c r="F22" i="18" s="1"/>
  <c r="Q20" i="18"/>
  <c r="P43" i="18"/>
  <c r="V20" i="18"/>
  <c r="U43" i="18"/>
  <c r="Y20" i="18"/>
  <c r="X43" i="18"/>
  <c r="B7" i="5"/>
  <c r="H6" i="15" s="1"/>
  <c r="F23" i="18"/>
  <c r="BC16" i="18" l="1"/>
  <c r="AP16" i="18"/>
  <c r="AC6" i="18"/>
  <c r="AA40" i="18" s="1"/>
  <c r="BG6" i="18"/>
  <c r="BC40" i="18" s="1"/>
  <c r="T16" i="18"/>
  <c r="BK6" i="18"/>
  <c r="BG40" i="18" s="1"/>
  <c r="H9" i="15"/>
  <c r="H10" i="15"/>
  <c r="H7" i="15"/>
  <c r="H8" i="15"/>
  <c r="BH20" i="18"/>
  <c r="BD43" i="18"/>
  <c r="BG20" i="18"/>
  <c r="BC43" i="18"/>
  <c r="BI20" i="18"/>
  <c r="BE43" i="18"/>
  <c r="AJ20" i="18"/>
  <c r="AH43" i="18"/>
  <c r="K43" i="18"/>
  <c r="K20" i="18"/>
  <c r="AE20" i="18"/>
  <c r="AC43" i="18"/>
  <c r="AA20" i="18"/>
  <c r="Z43" i="18"/>
  <c r="W20" i="18"/>
  <c r="V43" i="18"/>
  <c r="X20" i="18"/>
  <c r="W43" i="18"/>
  <c r="B35" i="1"/>
  <c r="K35" i="1"/>
  <c r="L35" i="1"/>
  <c r="G35" i="1"/>
  <c r="M35" i="1"/>
  <c r="J35" i="1"/>
  <c r="F35" i="1"/>
  <c r="I35" i="1"/>
  <c r="E35" i="1"/>
  <c r="C35" i="1"/>
  <c r="D35" i="1"/>
  <c r="C31" i="1"/>
  <c r="F44" i="18"/>
  <c r="G21" i="18"/>
  <c r="E34" i="1"/>
  <c r="H34" i="1"/>
  <c r="H35" i="1"/>
  <c r="K34" i="1"/>
  <c r="N34" i="1" s="1"/>
  <c r="G58" i="15"/>
  <c r="J57" i="15"/>
  <c r="D27" i="2"/>
  <c r="E26" i="2" s="1"/>
  <c r="E27" i="2" s="1"/>
  <c r="F26" i="2" s="1"/>
  <c r="F27" i="2" s="1"/>
  <c r="G26" i="2" s="1"/>
  <c r="G27" i="2" s="1"/>
  <c r="H26" i="2" s="1"/>
  <c r="H27" i="2" s="1"/>
  <c r="I26" i="2" s="1"/>
  <c r="D21" i="6"/>
  <c r="W32" i="6"/>
  <c r="W33" i="6" s="1"/>
  <c r="D30" i="6"/>
  <c r="B25" i="2"/>
  <c r="B27" i="2" s="1"/>
  <c r="C26" i="2" s="1"/>
  <c r="N20" i="2"/>
  <c r="G66" i="13"/>
  <c r="J65" i="13"/>
  <c r="C27" i="2"/>
  <c r="D26" i="2" s="1"/>
  <c r="I21" i="14"/>
  <c r="I56" i="14"/>
  <c r="D23" i="18"/>
  <c r="D44" i="18"/>
  <c r="M16" i="18"/>
  <c r="Y16" i="18"/>
  <c r="U16" i="18"/>
  <c r="Q6" i="18"/>
  <c r="AL16" i="18"/>
  <c r="AH6" i="18"/>
  <c r="AD16" i="18"/>
  <c r="AY6" i="18"/>
  <c r="AV40" i="18" s="1"/>
  <c r="AU16" i="18"/>
  <c r="AQ16" i="18"/>
  <c r="BL6" i="18"/>
  <c r="BH40" i="18" s="1"/>
  <c r="BH6" i="18"/>
  <c r="BD40" i="18" s="1"/>
  <c r="BD16" i="18"/>
  <c r="L6" i="18"/>
  <c r="L40" i="18" s="1"/>
  <c r="P6" i="18"/>
  <c r="O40" i="18" s="1"/>
  <c r="AX6" i="18"/>
  <c r="AU40" i="18" s="1"/>
  <c r="L19" i="18"/>
  <c r="K16" i="18"/>
  <c r="AA16" i="18"/>
  <c r="W6" i="18"/>
  <c r="V40" i="18" s="1"/>
  <c r="S6" i="18"/>
  <c r="R40" i="18" s="1"/>
  <c r="AN6" i="18"/>
  <c r="AL40" i="18" s="1"/>
  <c r="AJ16" i="18"/>
  <c r="AF6" i="18"/>
  <c r="AD40" i="18" s="1"/>
  <c r="BA16" i="18"/>
  <c r="AW6" i="18"/>
  <c r="AT40" i="18" s="1"/>
  <c r="AS16" i="18"/>
  <c r="BN6" i="18"/>
  <c r="BJ16" i="18"/>
  <c r="BF16" i="18"/>
  <c r="J16" i="18"/>
  <c r="Z16" i="18"/>
  <c r="V6" i="18"/>
  <c r="R16" i="18"/>
  <c r="AM16" i="18"/>
  <c r="AI16" i="18"/>
  <c r="AE16" i="18"/>
  <c r="AZ6" i="18"/>
  <c r="AW40" i="18" s="1"/>
  <c r="AV16" i="18"/>
  <c r="AR6" i="18"/>
  <c r="AO40" i="18" s="1"/>
  <c r="BM16" i="18"/>
  <c r="BI6" i="18"/>
  <c r="BE40" i="18" s="1"/>
  <c r="BE16" i="18"/>
  <c r="I16" i="18"/>
  <c r="AP6" i="18"/>
  <c r="AM40" i="18" s="1"/>
  <c r="AJ6" i="18"/>
  <c r="AH40" i="18" s="1"/>
  <c r="P16" i="18"/>
  <c r="AE6" i="18"/>
  <c r="AC40" i="18" s="1"/>
  <c r="AI6" i="18"/>
  <c r="AG40" i="18" s="1"/>
  <c r="BE6" i="18"/>
  <c r="BA40" i="18" s="1"/>
  <c r="V16" i="18"/>
  <c r="I6" i="18"/>
  <c r="I40" i="18" s="1"/>
  <c r="AZ16" i="18"/>
  <c r="BJ6" i="18"/>
  <c r="BF40" i="18" s="1"/>
  <c r="AF16" i="18"/>
  <c r="BN16" i="18"/>
  <c r="BF6" i="18"/>
  <c r="BB40" i="18" s="1"/>
  <c r="AS6" i="18"/>
  <c r="AP40" i="18" s="1"/>
  <c r="BA6" i="18"/>
  <c r="AX40" i="18" s="1"/>
  <c r="S16" i="18"/>
  <c r="AA6" i="18"/>
  <c r="AW16" i="18"/>
  <c r="AN16" i="18"/>
  <c r="W16" i="18"/>
  <c r="AG16" i="18"/>
  <c r="D27" i="21"/>
  <c r="D28" i="21" s="1"/>
  <c r="D32" i="21" s="1"/>
  <c r="BM6" i="18"/>
  <c r="BI40" i="18" s="1"/>
  <c r="Z6" i="18"/>
  <c r="Y40" i="18" s="1"/>
  <c r="AV6" i="18"/>
  <c r="AS40" i="18" s="1"/>
  <c r="BI16" i="18"/>
  <c r="R6" i="18"/>
  <c r="Q40" i="18" s="1"/>
  <c r="AR16" i="18"/>
  <c r="AM6" i="18"/>
  <c r="AK40" i="18" s="1"/>
  <c r="M6" i="18"/>
  <c r="M40" i="18" s="1"/>
  <c r="E16" i="18"/>
  <c r="T6" i="18"/>
  <c r="S40" i="18" s="1"/>
  <c r="AC16" i="18"/>
  <c r="H27" i="21"/>
  <c r="G27" i="21"/>
  <c r="H6" i="18"/>
  <c r="H40" i="18" s="1"/>
  <c r="F27" i="21"/>
  <c r="BD6" i="18"/>
  <c r="L16" i="18"/>
  <c r="Q16" i="18"/>
  <c r="AD6" i="18"/>
  <c r="AB40" i="18" s="1"/>
  <c r="AY16" i="18"/>
  <c r="D16" i="18"/>
  <c r="P40" i="18"/>
  <c r="D7" i="18"/>
  <c r="D13" i="18" s="1"/>
  <c r="E40" i="18"/>
  <c r="AU6" i="18"/>
  <c r="U6" i="18"/>
  <c r="T40" i="18" s="1"/>
  <c r="Y6" i="18"/>
  <c r="X40" i="18" s="1"/>
  <c r="BH16" i="18"/>
  <c r="BL16" i="18"/>
  <c r="AH16" i="18"/>
  <c r="AL6" i="18"/>
  <c r="AQ6" i="18"/>
  <c r="E27" i="21"/>
  <c r="N16" i="18"/>
  <c r="N6" i="18"/>
  <c r="AX7" i="18"/>
  <c r="C16" i="18"/>
  <c r="B16" i="18" s="1"/>
  <c r="U40" i="18"/>
  <c r="E8" i="21"/>
  <c r="AF40" i="18"/>
  <c r="AG7" i="18"/>
  <c r="K6" i="18"/>
  <c r="K40" i="18" s="1"/>
  <c r="G6" i="18"/>
  <c r="G16" i="18"/>
  <c r="C7" i="18"/>
  <c r="C40" i="18"/>
  <c r="X16" i="18"/>
  <c r="X6" i="18"/>
  <c r="W7" i="18" s="1"/>
  <c r="AK16" i="18"/>
  <c r="AW7" i="18"/>
  <c r="AX16" i="18"/>
  <c r="AT6" i="18"/>
  <c r="BK16" i="18"/>
  <c r="BG16" i="18"/>
  <c r="BC6" i="18"/>
  <c r="AY40" i="18" s="1"/>
  <c r="F6" i="18"/>
  <c r="F40" i="18" s="1"/>
  <c r="J6" i="18"/>
  <c r="AA7" i="18" l="1"/>
  <c r="AA8" i="18" s="1"/>
  <c r="V7" i="18"/>
  <c r="AW29" i="18"/>
  <c r="AY7" i="18"/>
  <c r="AY10" i="18" s="1"/>
  <c r="BH7" i="18"/>
  <c r="BH8" i="18" s="1"/>
  <c r="AF7" i="18"/>
  <c r="BG7" i="18"/>
  <c r="P7" i="18"/>
  <c r="P11" i="18" s="1"/>
  <c r="G67" i="13"/>
  <c r="J66" i="13"/>
  <c r="G45" i="18"/>
  <c r="H21" i="18"/>
  <c r="G23" i="18"/>
  <c r="BK7" i="18"/>
  <c r="BG39" i="18" s="1"/>
  <c r="L20" i="18"/>
  <c r="L43" i="18"/>
  <c r="G59" i="15"/>
  <c r="J58" i="15"/>
  <c r="N35" i="1"/>
  <c r="K2" i="6"/>
  <c r="L2" i="6" s="1"/>
  <c r="K3" i="6"/>
  <c r="L3" i="6" s="1"/>
  <c r="K4" i="6"/>
  <c r="L4" i="6" s="1"/>
  <c r="K6" i="6"/>
  <c r="L6" i="6" s="1"/>
  <c r="K5" i="6"/>
  <c r="L5" i="6" s="1"/>
  <c r="B38" i="1"/>
  <c r="H22" i="18"/>
  <c r="AN7" i="18"/>
  <c r="AN11" i="18" s="1"/>
  <c r="AE7" i="18"/>
  <c r="AE8" i="18" s="1"/>
  <c r="AJ7" i="18"/>
  <c r="AH39" i="18" s="1"/>
  <c r="BD7" i="18"/>
  <c r="BD13" i="18" s="1"/>
  <c r="AP7" i="18"/>
  <c r="AP11" i="18" s="1"/>
  <c r="AI29" i="18"/>
  <c r="BI7" i="18"/>
  <c r="BI9" i="18" s="1"/>
  <c r="AI7" i="18"/>
  <c r="AI13" i="18" s="1"/>
  <c r="R7" i="18"/>
  <c r="Q39" i="18" s="1"/>
  <c r="AR7" i="18"/>
  <c r="AR11" i="18" s="1"/>
  <c r="AZ7" i="18"/>
  <c r="AZ10" i="18" s="1"/>
  <c r="H7" i="18"/>
  <c r="H13" i="18" s="1"/>
  <c r="BJ7" i="18"/>
  <c r="BJ13" i="18" s="1"/>
  <c r="BM7" i="18"/>
  <c r="BM8" i="18" s="1"/>
  <c r="AH7" i="18"/>
  <c r="AH13" i="18" s="1"/>
  <c r="BE7" i="18"/>
  <c r="BE10" i="18" s="1"/>
  <c r="BF7" i="18"/>
  <c r="BF8" i="18" s="1"/>
  <c r="BH11" i="18"/>
  <c r="AV7" i="18"/>
  <c r="AV8" i="18" s="1"/>
  <c r="S7" i="18"/>
  <c r="R39" i="18" s="1"/>
  <c r="Z7" i="18"/>
  <c r="Z10" i="18" s="1"/>
  <c r="Z39" i="18"/>
  <c r="Z40" i="18"/>
  <c r="AA13" i="18"/>
  <c r="AA11" i="18"/>
  <c r="M7" i="18"/>
  <c r="M39" i="18" s="1"/>
  <c r="AA10" i="18"/>
  <c r="AM7" i="18"/>
  <c r="AM8" i="18" s="1"/>
  <c r="T7" i="18"/>
  <c r="T11" i="18" s="1"/>
  <c r="Q7" i="18"/>
  <c r="Q13" i="18" s="1"/>
  <c r="U7" i="18"/>
  <c r="U10" i="18" s="1"/>
  <c r="BL7" i="18"/>
  <c r="BL13" i="18" s="1"/>
  <c r="AQ7" i="18"/>
  <c r="AQ10" i="18" s="1"/>
  <c r="L7" i="18"/>
  <c r="L8" i="18" s="1"/>
  <c r="BH9" i="18"/>
  <c r="AZ40" i="18"/>
  <c r="D8" i="18"/>
  <c r="D39" i="18"/>
  <c r="J7" i="18"/>
  <c r="J13" i="18" s="1"/>
  <c r="AD7" i="18"/>
  <c r="AC7" i="18"/>
  <c r="Y7" i="18"/>
  <c r="Y13" i="18" s="1"/>
  <c r="E7" i="18"/>
  <c r="E13" i="18" s="1"/>
  <c r="AN40" i="18"/>
  <c r="AQ29" i="18"/>
  <c r="AL7" i="18"/>
  <c r="AJ40" i="18"/>
  <c r="BH13" i="18"/>
  <c r="BD39" i="18"/>
  <c r="BH10" i="18"/>
  <c r="AK7" i="18"/>
  <c r="AR40" i="18"/>
  <c r="AU7" i="18"/>
  <c r="BA7" i="18"/>
  <c r="AX39" i="18" s="1"/>
  <c r="AW8" i="18"/>
  <c r="AW10" i="18"/>
  <c r="AW11" i="18"/>
  <c r="AW13" i="18"/>
  <c r="AT39" i="18"/>
  <c r="W40" i="18"/>
  <c r="X7" i="18"/>
  <c r="C39" i="18"/>
  <c r="C13" i="18"/>
  <c r="C8" i="18"/>
  <c r="D33" i="21"/>
  <c r="D34" i="21" s="1"/>
  <c r="D39" i="21" s="1"/>
  <c r="BG13" i="18"/>
  <c r="BG8" i="18"/>
  <c r="BC39" i="18"/>
  <c r="BG10" i="18"/>
  <c r="BG11" i="18"/>
  <c r="AU39" i="18"/>
  <c r="AX8" i="18"/>
  <c r="AX9" i="18"/>
  <c r="AX11" i="18"/>
  <c r="AX13" i="18"/>
  <c r="AX10" i="18"/>
  <c r="N40" i="18"/>
  <c r="N7" i="18"/>
  <c r="BC7" i="18"/>
  <c r="J40" i="18"/>
  <c r="I7" i="18"/>
  <c r="AQ40" i="18"/>
  <c r="AT7" i="18"/>
  <c r="F8" i="21"/>
  <c r="E28" i="21"/>
  <c r="E32" i="21" s="1"/>
  <c r="AY13" i="18"/>
  <c r="BK11" i="18"/>
  <c r="BK10" i="18"/>
  <c r="AD39" i="18"/>
  <c r="AF13" i="18"/>
  <c r="AF11" i="18"/>
  <c r="AF8" i="18"/>
  <c r="AF10" i="18"/>
  <c r="W10" i="18"/>
  <c r="W13" i="18"/>
  <c r="V39" i="18"/>
  <c r="W9" i="18"/>
  <c r="W11" i="18"/>
  <c r="W8" i="18"/>
  <c r="AS7" i="18"/>
  <c r="G7" i="18"/>
  <c r="F7" i="18"/>
  <c r="G40" i="18"/>
  <c r="K7" i="18"/>
  <c r="AG9" i="18"/>
  <c r="AE39" i="18"/>
  <c r="AG13" i="18"/>
  <c r="AG8" i="18"/>
  <c r="AG11" i="18"/>
  <c r="AG10" i="18"/>
  <c r="V11" i="18"/>
  <c r="V13" i="18"/>
  <c r="V10" i="18"/>
  <c r="V8" i="18"/>
  <c r="U39" i="18"/>
  <c r="AV39" i="18" l="1"/>
  <c r="AY9" i="18"/>
  <c r="AY11" i="18"/>
  <c r="AY8" i="18"/>
  <c r="O39" i="18"/>
  <c r="P8" i="18"/>
  <c r="P13" i="18"/>
  <c r="P10" i="18"/>
  <c r="M3" i="6"/>
  <c r="J59" i="15"/>
  <c r="G60" i="15"/>
  <c r="M2" i="6"/>
  <c r="G68" i="13"/>
  <c r="J67" i="13"/>
  <c r="BK13" i="18"/>
  <c r="BK8" i="18"/>
  <c r="H44" i="18"/>
  <c r="H23" i="18"/>
  <c r="M6" i="6"/>
  <c r="O35" i="1"/>
  <c r="I21" i="18"/>
  <c r="H45" i="18"/>
  <c r="V36" i="1"/>
  <c r="O34" i="1" s="1"/>
  <c r="M5" i="6"/>
  <c r="M4" i="6"/>
  <c r="BF11" i="18"/>
  <c r="BG9" i="18"/>
  <c r="AC39" i="18"/>
  <c r="AE11" i="18"/>
  <c r="AF9" i="18"/>
  <c r="AE9" i="18"/>
  <c r="AN13" i="18"/>
  <c r="BD10" i="18"/>
  <c r="AN10" i="18"/>
  <c r="AR8" i="18"/>
  <c r="BD11" i="18"/>
  <c r="AL39" i="18"/>
  <c r="AN8" i="18"/>
  <c r="AZ39" i="18"/>
  <c r="AE10" i="18"/>
  <c r="AE13" i="18"/>
  <c r="AJ11" i="18"/>
  <c r="AJ8" i="18"/>
  <c r="S10" i="18"/>
  <c r="BD8" i="18"/>
  <c r="AJ10" i="18"/>
  <c r="AJ13" i="18"/>
  <c r="AK9" i="18"/>
  <c r="AP13" i="18"/>
  <c r="AZ11" i="18"/>
  <c r="AI8" i="18"/>
  <c r="AM39" i="18"/>
  <c r="AP8" i="18"/>
  <c r="AH11" i="18"/>
  <c r="AW39" i="18"/>
  <c r="AG39" i="18"/>
  <c r="AZ13" i="18"/>
  <c r="BI39" i="18"/>
  <c r="L11" i="18"/>
  <c r="AR13" i="18"/>
  <c r="BM10" i="18"/>
  <c r="BE39" i="18"/>
  <c r="BI11" i="18"/>
  <c r="BI13" i="18"/>
  <c r="AO39" i="18"/>
  <c r="BI10" i="18"/>
  <c r="BI8" i="18"/>
  <c r="AP9" i="18"/>
  <c r="AI11" i="18"/>
  <c r="AP10" i="18"/>
  <c r="AH9" i="18"/>
  <c r="AS39" i="18"/>
  <c r="AI9" i="18"/>
  <c r="AJ9" i="18"/>
  <c r="AB39" i="18"/>
  <c r="AH8" i="18"/>
  <c r="AZ9" i="18"/>
  <c r="AZ8" i="18"/>
  <c r="AF39" i="18"/>
  <c r="BE8" i="18"/>
  <c r="H39" i="18"/>
  <c r="BE9" i="18"/>
  <c r="T39" i="18"/>
  <c r="H8" i="18"/>
  <c r="BA39" i="18"/>
  <c r="H11" i="18"/>
  <c r="BF39" i="18"/>
  <c r="BF10" i="18"/>
  <c r="BE13" i="18"/>
  <c r="BA9" i="18"/>
  <c r="H10" i="18"/>
  <c r="BE11" i="18"/>
  <c r="BK9" i="18"/>
  <c r="M10" i="18"/>
  <c r="AI10" i="18"/>
  <c r="AD8" i="18"/>
  <c r="AH10" i="18"/>
  <c r="R9" i="18"/>
  <c r="BJ11" i="18"/>
  <c r="BA8" i="18"/>
  <c r="BF9" i="18"/>
  <c r="R13" i="18"/>
  <c r="R8" i="18"/>
  <c r="BJ8" i="18"/>
  <c r="BF13" i="18"/>
  <c r="R10" i="18"/>
  <c r="R11" i="18"/>
  <c r="BJ9" i="18"/>
  <c r="BJ10" i="18"/>
  <c r="BB39" i="18"/>
  <c r="S13" i="18"/>
  <c r="AR10" i="18"/>
  <c r="BM13" i="18"/>
  <c r="S8" i="18"/>
  <c r="BM11" i="18"/>
  <c r="Y10" i="18"/>
  <c r="AV13" i="18"/>
  <c r="T10" i="18"/>
  <c r="BA11" i="18"/>
  <c r="AV11" i="18"/>
  <c r="J9" i="18"/>
  <c r="T13" i="18"/>
  <c r="J10" i="18"/>
  <c r="AD13" i="18"/>
  <c r="AD10" i="18"/>
  <c r="AM11" i="18"/>
  <c r="AW9" i="18"/>
  <c r="S11" i="18"/>
  <c r="S9" i="18"/>
  <c r="BA10" i="18"/>
  <c r="AV10" i="18"/>
  <c r="AQ8" i="18"/>
  <c r="AD11" i="18"/>
  <c r="AV9" i="18"/>
  <c r="BL8" i="18"/>
  <c r="Y39" i="18"/>
  <c r="U11" i="18"/>
  <c r="M11" i="18"/>
  <c r="M8" i="18"/>
  <c r="V9" i="18"/>
  <c r="U8" i="18"/>
  <c r="U13" i="18"/>
  <c r="M13" i="18"/>
  <c r="Q9" i="18"/>
  <c r="AD9" i="18"/>
  <c r="T8" i="18"/>
  <c r="X39" i="18"/>
  <c r="AQ9" i="18"/>
  <c r="AQ11" i="18"/>
  <c r="U9" i="18"/>
  <c r="BA13" i="18"/>
  <c r="T9" i="18"/>
  <c r="AN39" i="18"/>
  <c r="AQ13" i="18"/>
  <c r="AR9" i="18"/>
  <c r="Z9" i="18"/>
  <c r="Y8" i="18"/>
  <c r="Y11" i="18"/>
  <c r="AM10" i="18"/>
  <c r="S39" i="18"/>
  <c r="BM9" i="18"/>
  <c r="Z11" i="18"/>
  <c r="Z13" i="18"/>
  <c r="AA9" i="18"/>
  <c r="Z8" i="18"/>
  <c r="AN9" i="18"/>
  <c r="AM13" i="18"/>
  <c r="BL9" i="18"/>
  <c r="AK39" i="18"/>
  <c r="BL10" i="18"/>
  <c r="BH39" i="18"/>
  <c r="M9" i="18"/>
  <c r="E39" i="18"/>
  <c r="J39" i="18"/>
  <c r="Q8" i="18"/>
  <c r="E8" i="18"/>
  <c r="J8" i="18"/>
  <c r="J11" i="18"/>
  <c r="L39" i="18"/>
  <c r="BL11" i="18"/>
  <c r="P39" i="18"/>
  <c r="Q10" i="18"/>
  <c r="Q11" i="18"/>
  <c r="L13" i="18"/>
  <c r="L10" i="18"/>
  <c r="AC13" i="18"/>
  <c r="AC8" i="18"/>
  <c r="AC9" i="18"/>
  <c r="AA39" i="18"/>
  <c r="AC10" i="18"/>
  <c r="AC11" i="18"/>
  <c r="AU8" i="18"/>
  <c r="AU11" i="18"/>
  <c r="AR39" i="18"/>
  <c r="AU13" i="18"/>
  <c r="AU10" i="18"/>
  <c r="AK11" i="18"/>
  <c r="AI39" i="18"/>
  <c r="AK10" i="18"/>
  <c r="AK8" i="18"/>
  <c r="AK13" i="18"/>
  <c r="AL13" i="18"/>
  <c r="AM9" i="18"/>
  <c r="AL10" i="18"/>
  <c r="AL8" i="18"/>
  <c r="AL9" i="18"/>
  <c r="AJ39" i="18"/>
  <c r="AL11" i="18"/>
  <c r="D40" i="21"/>
  <c r="F28" i="21"/>
  <c r="F32" i="21" s="1"/>
  <c r="G8" i="21"/>
  <c r="G39" i="18"/>
  <c r="G13" i="18"/>
  <c r="G8" i="18"/>
  <c r="AT10" i="18"/>
  <c r="AT8" i="18"/>
  <c r="AT11" i="18"/>
  <c r="AT9" i="18"/>
  <c r="AT13" i="18"/>
  <c r="AQ39" i="18"/>
  <c r="AU9" i="18"/>
  <c r="AY39" i="18"/>
  <c r="BC9" i="18"/>
  <c r="BC8" i="18"/>
  <c r="BC11" i="18"/>
  <c r="BC13" i="18"/>
  <c r="BC10" i="18"/>
  <c r="BD9" i="18"/>
  <c r="K10" i="18"/>
  <c r="K9" i="18"/>
  <c r="K13" i="18"/>
  <c r="K8" i="18"/>
  <c r="K11" i="18"/>
  <c r="K39" i="18"/>
  <c r="L9" i="18"/>
  <c r="X8" i="18"/>
  <c r="X13" i="18"/>
  <c r="X11" i="18"/>
  <c r="X9" i="18"/>
  <c r="X10" i="18"/>
  <c r="W39" i="18"/>
  <c r="Y9" i="18"/>
  <c r="F8" i="18"/>
  <c r="F39" i="18"/>
  <c r="F13" i="18"/>
  <c r="AS8" i="18"/>
  <c r="AP39" i="18"/>
  <c r="AS9" i="18"/>
  <c r="AS10" i="18"/>
  <c r="AS13" i="18"/>
  <c r="AS11" i="18"/>
  <c r="E33" i="21"/>
  <c r="E34" i="21" s="1"/>
  <c r="E39" i="21" s="1"/>
  <c r="I11" i="18"/>
  <c r="I8" i="18"/>
  <c r="I9" i="18"/>
  <c r="I10" i="18"/>
  <c r="I13" i="18"/>
  <c r="I39" i="18"/>
  <c r="N10" i="18"/>
  <c r="P9" i="18"/>
  <c r="N39" i="18"/>
  <c r="N13" i="18"/>
  <c r="N9" i="18"/>
  <c r="N11" i="18"/>
  <c r="N8" i="18"/>
  <c r="H40" i="1" l="1"/>
  <c r="N5" i="6"/>
  <c r="F52" i="1"/>
  <c r="J60" i="15"/>
  <c r="G61" i="15"/>
  <c r="E40" i="1"/>
  <c r="C52" i="1"/>
  <c r="N2" i="6"/>
  <c r="J21" i="18"/>
  <c r="I23" i="18"/>
  <c r="I45" i="18"/>
  <c r="G40" i="1"/>
  <c r="N4" i="6"/>
  <c r="E52" i="1"/>
  <c r="G69" i="13"/>
  <c r="J68" i="13"/>
  <c r="N6" i="6"/>
  <c r="I40" i="1"/>
  <c r="G52" i="1"/>
  <c r="N3" i="6"/>
  <c r="D52" i="1"/>
  <c r="F40" i="1"/>
  <c r="H8" i="21"/>
  <c r="H28" i="21" s="1"/>
  <c r="H32" i="21" s="1"/>
  <c r="G28" i="21"/>
  <c r="G32" i="21" s="1"/>
  <c r="F33" i="21"/>
  <c r="F34" i="21" s="1"/>
  <c r="F39" i="21" s="1"/>
  <c r="E40" i="21"/>
  <c r="F41" i="1" l="1"/>
  <c r="O3" i="6"/>
  <c r="P3" i="6" s="1"/>
  <c r="D53" i="1"/>
  <c r="D55" i="1" s="1"/>
  <c r="AM48" i="15" s="1"/>
  <c r="AY4" i="13"/>
  <c r="AZ4" i="15"/>
  <c r="G42" i="1"/>
  <c r="G39" i="1"/>
  <c r="O2" i="6"/>
  <c r="P2" i="6" s="1"/>
  <c r="C53" i="1"/>
  <c r="C55" i="1" s="1"/>
  <c r="Z48" i="15" s="1"/>
  <c r="E41" i="1"/>
  <c r="C51" i="1"/>
  <c r="C54" i="1"/>
  <c r="F54" i="1"/>
  <c r="AM4" i="15"/>
  <c r="F39" i="1"/>
  <c r="F42" i="1"/>
  <c r="AL4" i="13"/>
  <c r="BZ4" i="15"/>
  <c r="E12" i="5"/>
  <c r="E13" i="5" s="1"/>
  <c r="E14" i="5" s="1"/>
  <c r="E16" i="5" s="1"/>
  <c r="I9" i="5" s="1"/>
  <c r="BY4" i="13"/>
  <c r="I42" i="1"/>
  <c r="E51" i="1"/>
  <c r="E54" i="1"/>
  <c r="Y4" i="13"/>
  <c r="E42" i="1"/>
  <c r="Z4" i="15"/>
  <c r="E39" i="1"/>
  <c r="H41" i="1"/>
  <c r="F53" i="1"/>
  <c r="F55" i="1" s="1"/>
  <c r="BM48" i="15" s="1"/>
  <c r="O5" i="6"/>
  <c r="P5" i="6" s="1"/>
  <c r="G54" i="1"/>
  <c r="J69" i="13"/>
  <c r="G70" i="13"/>
  <c r="D54" i="1"/>
  <c r="G53" i="1"/>
  <c r="G55" i="1" s="1"/>
  <c r="BZ48" i="15" s="1"/>
  <c r="I41" i="1"/>
  <c r="O6" i="6"/>
  <c r="P6" i="6" s="1"/>
  <c r="G41" i="1"/>
  <c r="E53" i="1"/>
  <c r="E55" i="1" s="1"/>
  <c r="AZ48" i="15" s="1"/>
  <c r="O4" i="6"/>
  <c r="P4" i="6" s="1"/>
  <c r="J22" i="18"/>
  <c r="K21" i="18" s="1"/>
  <c r="J45" i="18"/>
  <c r="J61" i="15"/>
  <c r="G62" i="15"/>
  <c r="BL4" i="13"/>
  <c r="H42" i="1"/>
  <c r="BM4" i="15"/>
  <c r="H39" i="1"/>
  <c r="F40" i="21"/>
  <c r="G33" i="21"/>
  <c r="G34" i="21" s="1"/>
  <c r="G39" i="21" s="1"/>
  <c r="H33" i="21"/>
  <c r="H34" i="21" s="1"/>
  <c r="H39" i="21" s="1"/>
  <c r="C47" i="21" a="1"/>
  <c r="K45" i="18" l="1"/>
  <c r="K22" i="18"/>
  <c r="L21" i="18"/>
  <c r="C56" i="1"/>
  <c r="B9" i="1" s="1"/>
  <c r="Z49" i="15"/>
  <c r="AW4" i="13"/>
  <c r="AT4" i="13"/>
  <c r="AM4" i="13"/>
  <c r="AS4" i="13"/>
  <c r="AP4" i="13"/>
  <c r="AV4" i="13"/>
  <c r="AN4" i="13"/>
  <c r="AQ4" i="13"/>
  <c r="AU4" i="13"/>
  <c r="AX4" i="13"/>
  <c r="AO4" i="13"/>
  <c r="AR4" i="13"/>
  <c r="AO48" i="15"/>
  <c r="AW48" i="15"/>
  <c r="AQ48" i="15"/>
  <c r="AX48" i="15"/>
  <c r="AT48" i="15"/>
  <c r="AN48" i="15"/>
  <c r="AV48" i="15"/>
  <c r="AY48" i="15"/>
  <c r="AS48" i="15"/>
  <c r="AP48" i="15"/>
  <c r="AU48" i="15"/>
  <c r="AR48" i="15"/>
  <c r="BZ47" i="15"/>
  <c r="BO3" i="16" s="1"/>
  <c r="BI48" i="15"/>
  <c r="BC48" i="15"/>
  <c r="BK48" i="15"/>
  <c r="BJ48" i="15"/>
  <c r="BE48" i="15"/>
  <c r="BA48" i="15"/>
  <c r="BG48" i="15"/>
  <c r="BF48" i="15"/>
  <c r="BB48" i="15"/>
  <c r="BD48" i="15"/>
  <c r="BL48" i="15"/>
  <c r="BH48" i="15"/>
  <c r="Z6" i="15"/>
  <c r="E44" i="1"/>
  <c r="B10" i="1" s="1"/>
  <c r="BY4" i="15"/>
  <c r="BP4" i="15"/>
  <c r="BN4" i="15"/>
  <c r="BO4" i="15"/>
  <c r="BX4" i="15"/>
  <c r="BS4" i="15"/>
  <c r="BR4" i="15"/>
  <c r="BQ4" i="15"/>
  <c r="BU4" i="15"/>
  <c r="BV4" i="15"/>
  <c r="BW4" i="15"/>
  <c r="BT4" i="15"/>
  <c r="AK4" i="15"/>
  <c r="AA4" i="15"/>
  <c r="AC4" i="15"/>
  <c r="AJ4" i="15"/>
  <c r="AL4" i="15"/>
  <c r="AG4" i="15"/>
  <c r="AH4" i="15"/>
  <c r="AD4" i="15"/>
  <c r="AF4" i="15"/>
  <c r="AE4" i="15"/>
  <c r="AI4" i="15"/>
  <c r="AB4" i="15"/>
  <c r="AA48" i="15"/>
  <c r="AF48" i="15"/>
  <c r="AI48" i="15"/>
  <c r="AL48" i="15"/>
  <c r="AK48" i="15"/>
  <c r="AD48" i="15"/>
  <c r="AG48" i="15"/>
  <c r="AJ48" i="15"/>
  <c r="AB48" i="15"/>
  <c r="AE48" i="15"/>
  <c r="AC48" i="15"/>
  <c r="AH48" i="15"/>
  <c r="BD4" i="13"/>
  <c r="BK4" i="13"/>
  <c r="AZ4" i="13"/>
  <c r="BI4" i="13"/>
  <c r="BJ4" i="13"/>
  <c r="BC4" i="13"/>
  <c r="BH4" i="13"/>
  <c r="BE4" i="13"/>
  <c r="BF4" i="13"/>
  <c r="BB4" i="13"/>
  <c r="BA4" i="13"/>
  <c r="BG4" i="13"/>
  <c r="G43" i="1"/>
  <c r="AY5" i="13"/>
  <c r="AZ5" i="15"/>
  <c r="D51" i="1"/>
  <c r="BZ49" i="15"/>
  <c r="G56" i="1"/>
  <c r="BM5" i="15"/>
  <c r="H43" i="1"/>
  <c r="BL6" i="13" s="1"/>
  <c r="BL5" i="13"/>
  <c r="J4" i="13"/>
  <c r="X4" i="13"/>
  <c r="T4" i="13"/>
  <c r="S4" i="13"/>
  <c r="U4" i="13"/>
  <c r="W4" i="13"/>
  <c r="V4" i="13"/>
  <c r="BP4" i="13"/>
  <c r="BN4" i="13"/>
  <c r="BV4" i="13"/>
  <c r="BX4" i="13"/>
  <c r="BS4" i="13"/>
  <c r="BW4" i="13"/>
  <c r="BM4" i="13"/>
  <c r="BR4" i="13"/>
  <c r="BQ4" i="13"/>
  <c r="BU4" i="13"/>
  <c r="BO4" i="13"/>
  <c r="BT4" i="13"/>
  <c r="AE4" i="13"/>
  <c r="AI4" i="13"/>
  <c r="AK4" i="13"/>
  <c r="Z4" i="13"/>
  <c r="AH4" i="13"/>
  <c r="AF4" i="13"/>
  <c r="AG4" i="13"/>
  <c r="AJ4" i="13"/>
  <c r="AA4" i="13"/>
  <c r="AD4" i="13"/>
  <c r="AB4" i="13"/>
  <c r="AC4" i="13"/>
  <c r="F51" i="1"/>
  <c r="E43" i="1"/>
  <c r="Y6" i="13" s="1"/>
  <c r="Z5" i="15"/>
  <c r="Y5" i="13"/>
  <c r="AZ6" i="15"/>
  <c r="G44" i="1"/>
  <c r="J10" i="1" s="1"/>
  <c r="AY6" i="13"/>
  <c r="BG4" i="15"/>
  <c r="BL4" i="15"/>
  <c r="BB4" i="15"/>
  <c r="BA4" i="15"/>
  <c r="BJ4" i="15"/>
  <c r="BF4" i="15"/>
  <c r="BH4" i="15"/>
  <c r="BD4" i="15"/>
  <c r="BK4" i="15"/>
  <c r="BE4" i="15"/>
  <c r="BC4" i="15"/>
  <c r="BI4" i="15"/>
  <c r="I43" i="1"/>
  <c r="I44" i="1" s="1"/>
  <c r="R10" i="1" s="1"/>
  <c r="BY5" i="13"/>
  <c r="BZ5" i="15"/>
  <c r="J70" i="13"/>
  <c r="G71" i="13"/>
  <c r="J71" i="13" s="1"/>
  <c r="V4" i="15"/>
  <c r="W4" i="15"/>
  <c r="X4" i="15"/>
  <c r="U4" i="15"/>
  <c r="J4" i="15"/>
  <c r="T4" i="15"/>
  <c r="Y4" i="15"/>
  <c r="BM6" i="15"/>
  <c r="G63" i="15"/>
  <c r="J62" i="15"/>
  <c r="J23" i="18"/>
  <c r="J44" i="18"/>
  <c r="D56" i="1"/>
  <c r="AM49" i="15"/>
  <c r="AM47" i="15" s="1"/>
  <c r="AB3" i="16" s="1"/>
  <c r="G51" i="1"/>
  <c r="E56" i="1"/>
  <c r="AZ49" i="15"/>
  <c r="I39" i="1"/>
  <c r="AM6" i="15"/>
  <c r="F56" i="1"/>
  <c r="BM49" i="15"/>
  <c r="J48" i="15"/>
  <c r="V48" i="15"/>
  <c r="W48" i="15"/>
  <c r="U48" i="15"/>
  <c r="S48" i="15"/>
  <c r="R48" i="15"/>
  <c r="P48" i="15"/>
  <c r="Q48" i="15"/>
  <c r="Y48" i="15"/>
  <c r="Z47" i="15"/>
  <c r="O3" i="16" s="1"/>
  <c r="N48" i="15"/>
  <c r="X48" i="15"/>
  <c r="O26" i="18"/>
  <c r="O48" i="15"/>
  <c r="T48" i="15"/>
  <c r="AW4" i="15"/>
  <c r="AP4" i="15"/>
  <c r="AX4" i="15"/>
  <c r="AO4" i="15"/>
  <c r="AV4" i="15"/>
  <c r="AQ4" i="15"/>
  <c r="AU4" i="15"/>
  <c r="AY4" i="15"/>
  <c r="AN4" i="15"/>
  <c r="AT4" i="15"/>
  <c r="AS4" i="15"/>
  <c r="AR4" i="15"/>
  <c r="F43" i="1"/>
  <c r="AL6" i="13" s="1"/>
  <c r="AM5" i="15"/>
  <c r="AL5" i="13"/>
  <c r="C47" i="21"/>
  <c r="G40" i="21"/>
  <c r="H40" i="21" s="1"/>
  <c r="N47" i="15" l="1"/>
  <c r="C3" i="16" s="1"/>
  <c r="BH47" i="15"/>
  <c r="AW3" i="16" s="1"/>
  <c r="AW6" i="16" s="1"/>
  <c r="BJ47" i="15"/>
  <c r="AY3" i="16" s="1"/>
  <c r="AY6" i="16" s="1"/>
  <c r="V47" i="15"/>
  <c r="K3" i="16" s="1"/>
  <c r="K6" i="16" s="1"/>
  <c r="AR49" i="15"/>
  <c r="AR47" i="15" s="1"/>
  <c r="AG3" i="16" s="1"/>
  <c r="AG6" i="16" s="1"/>
  <c r="AQ49" i="15"/>
  <c r="AV49" i="15"/>
  <c r="AX49" i="15"/>
  <c r="AY49" i="15"/>
  <c r="AY47" i="15" s="1"/>
  <c r="AN3" i="16" s="1"/>
  <c r="AN6" i="16" s="1"/>
  <c r="AO6" i="16" s="1"/>
  <c r="F5" i="17" s="1"/>
  <c r="AT49" i="15"/>
  <c r="AU49" i="15"/>
  <c r="AN49" i="15"/>
  <c r="AW49" i="15"/>
  <c r="AW47" i="15" s="1"/>
  <c r="AL3" i="16" s="1"/>
  <c r="AL6" i="16" s="1"/>
  <c r="AP49" i="15"/>
  <c r="AP47" i="15" s="1"/>
  <c r="AE3" i="16" s="1"/>
  <c r="AE6" i="16" s="1"/>
  <c r="AO49" i="15"/>
  <c r="AS49" i="15"/>
  <c r="AS47" i="15" s="1"/>
  <c r="AH3" i="16" s="1"/>
  <c r="AH6" i="16" s="1"/>
  <c r="J63" i="15"/>
  <c r="G64" i="15"/>
  <c r="V5" i="15"/>
  <c r="J5" i="15"/>
  <c r="X5" i="15"/>
  <c r="W5" i="15"/>
  <c r="U5" i="15"/>
  <c r="Y5" i="15"/>
  <c r="T5" i="15"/>
  <c r="AN5" i="15"/>
  <c r="AV5" i="15"/>
  <c r="AW5" i="15"/>
  <c r="AQ5" i="15"/>
  <c r="AT5" i="15"/>
  <c r="AX5" i="15"/>
  <c r="AO5" i="15"/>
  <c r="AU5" i="15"/>
  <c r="AS5" i="15"/>
  <c r="AY5" i="15"/>
  <c r="AP5" i="15"/>
  <c r="AR5" i="15"/>
  <c r="BY6" i="13"/>
  <c r="J6" i="13" s="1"/>
  <c r="BK47" i="15"/>
  <c r="AZ3" i="16" s="1"/>
  <c r="AZ6" i="16" s="1"/>
  <c r="AZ47" i="15"/>
  <c r="AO3" i="16" s="1"/>
  <c r="AT47" i="15"/>
  <c r="AI3" i="16" s="1"/>
  <c r="AI6" i="16" s="1"/>
  <c r="L45" i="18"/>
  <c r="M21" i="18"/>
  <c r="L22" i="18"/>
  <c r="AH5" i="15"/>
  <c r="AL5" i="15"/>
  <c r="AA5" i="15"/>
  <c r="AD5" i="15"/>
  <c r="AI5" i="15"/>
  <c r="AF5" i="15"/>
  <c r="AJ5" i="15"/>
  <c r="AK5" i="15"/>
  <c r="AB5" i="15"/>
  <c r="AG5" i="15"/>
  <c r="AC5" i="15"/>
  <c r="AE5" i="15"/>
  <c r="S47" i="15"/>
  <c r="H3" i="16" s="1"/>
  <c r="F44" i="1"/>
  <c r="F10" i="1" s="1"/>
  <c r="J9" i="1"/>
  <c r="D63" i="1"/>
  <c r="H44" i="1"/>
  <c r="N10" i="1" s="1"/>
  <c r="BS5" i="15"/>
  <c r="BY5" i="15"/>
  <c r="BV5" i="15"/>
  <c r="BW5" i="15"/>
  <c r="BP5" i="15"/>
  <c r="BO5" i="15"/>
  <c r="BX5" i="15"/>
  <c r="BU5" i="15"/>
  <c r="BT5" i="15"/>
  <c r="BR5" i="15"/>
  <c r="BQ5" i="15"/>
  <c r="BN5" i="15"/>
  <c r="H7" i="7"/>
  <c r="K10" i="1"/>
  <c r="P12" i="2"/>
  <c r="F62" i="1"/>
  <c r="R9" i="1"/>
  <c r="R11" i="1" s="1"/>
  <c r="F63" i="1"/>
  <c r="F61" i="1"/>
  <c r="AT5" i="13"/>
  <c r="AV5" i="13"/>
  <c r="AS5" i="13"/>
  <c r="AO5" i="13"/>
  <c r="AX5" i="13"/>
  <c r="AU5" i="13"/>
  <c r="AQ5" i="13"/>
  <c r="AN5" i="13"/>
  <c r="AP5" i="13"/>
  <c r="AW5" i="13"/>
  <c r="AM5" i="13"/>
  <c r="AR5" i="13"/>
  <c r="BZ6" i="15"/>
  <c r="BD47" i="15"/>
  <c r="AS3" i="16" s="1"/>
  <c r="AS6" i="16" s="1"/>
  <c r="BA47" i="15"/>
  <c r="AP3" i="16" s="1"/>
  <c r="AP6" i="16" s="1"/>
  <c r="AX47" i="15"/>
  <c r="AM3" i="16" s="1"/>
  <c r="AM6" i="16" s="1"/>
  <c r="Y49" i="15"/>
  <c r="Y47" i="15" s="1"/>
  <c r="N3" i="16" s="1"/>
  <c r="N6" i="16" s="1"/>
  <c r="O6" i="16" s="1"/>
  <c r="D5" i="17" s="1"/>
  <c r="N49" i="15"/>
  <c r="J49" i="15"/>
  <c r="W49" i="15"/>
  <c r="W47" i="15" s="1"/>
  <c r="L3" i="16" s="1"/>
  <c r="L6" i="16" s="1"/>
  <c r="S49" i="15"/>
  <c r="O27" i="18"/>
  <c r="T49" i="15"/>
  <c r="T47" i="15" s="1"/>
  <c r="I3" i="16" s="1"/>
  <c r="I6" i="16" s="1"/>
  <c r="P49" i="15"/>
  <c r="P47" i="15" s="1"/>
  <c r="E3" i="16" s="1"/>
  <c r="U49" i="15"/>
  <c r="O49" i="15"/>
  <c r="X49" i="15"/>
  <c r="Q49" i="15"/>
  <c r="V49" i="15"/>
  <c r="R49" i="15"/>
  <c r="K23" i="18"/>
  <c r="K44" i="18"/>
  <c r="E63" i="1"/>
  <c r="N9" i="1"/>
  <c r="N11" i="1" s="1"/>
  <c r="AJ49" i="15"/>
  <c r="AI49" i="15"/>
  <c r="AI47" i="15" s="1"/>
  <c r="X3" i="16" s="1"/>
  <c r="X6" i="16" s="1"/>
  <c r="AD49" i="15"/>
  <c r="AA49" i="15"/>
  <c r="AA47" i="15" s="1"/>
  <c r="P3" i="16" s="1"/>
  <c r="P6" i="16" s="1"/>
  <c r="AK49" i="15"/>
  <c r="AB49" i="15"/>
  <c r="AB47" i="15" s="1"/>
  <c r="Q3" i="16" s="1"/>
  <c r="Q6" i="16" s="1"/>
  <c r="AF49" i="15"/>
  <c r="AF47" i="15" s="1"/>
  <c r="U3" i="16" s="1"/>
  <c r="U6" i="16" s="1"/>
  <c r="AG49" i="15"/>
  <c r="AG47" i="15" s="1"/>
  <c r="V3" i="16" s="1"/>
  <c r="V6" i="16" s="1"/>
  <c r="AH49" i="15"/>
  <c r="AE49" i="15"/>
  <c r="AC49" i="15"/>
  <c r="AC47" i="15" s="1"/>
  <c r="R3" i="16" s="1"/>
  <c r="R6" i="16" s="1"/>
  <c r="AL49" i="15"/>
  <c r="AL47" i="15" s="1"/>
  <c r="AA3" i="16" s="1"/>
  <c r="AA6" i="16" s="1"/>
  <c r="AB6" i="16" s="1"/>
  <c r="E5" i="17" s="1"/>
  <c r="BI6" i="15"/>
  <c r="BF6" i="15"/>
  <c r="BB6" i="15"/>
  <c r="BL6" i="15"/>
  <c r="BM9" i="15"/>
  <c r="BM8" i="15"/>
  <c r="BE6" i="15"/>
  <c r="BM10" i="15"/>
  <c r="BH6" i="15"/>
  <c r="BG6" i="15"/>
  <c r="BM7" i="15"/>
  <c r="BJ6" i="15"/>
  <c r="BB4" i="16"/>
  <c r="BK6" i="15"/>
  <c r="BD6" i="15"/>
  <c r="BC6" i="15"/>
  <c r="BA6" i="15"/>
  <c r="X5" i="13"/>
  <c r="W5" i="13"/>
  <c r="V5" i="13"/>
  <c r="J5" i="13"/>
  <c r="T5" i="13"/>
  <c r="S5" i="13"/>
  <c r="U5" i="13"/>
  <c r="AH47" i="15"/>
  <c r="W3" i="16" s="1"/>
  <c r="W6" i="16" s="1"/>
  <c r="AK47" i="15"/>
  <c r="Z3" i="16" s="1"/>
  <c r="Z6" i="16" s="1"/>
  <c r="C10" i="1"/>
  <c r="I12" i="2"/>
  <c r="N12" i="2" s="1"/>
  <c r="AN47" i="15"/>
  <c r="AC3" i="16" s="1"/>
  <c r="AC6" i="16" s="1"/>
  <c r="AJ5" i="13"/>
  <c r="AG5" i="13"/>
  <c r="AC5" i="13"/>
  <c r="AB5" i="13"/>
  <c r="AE5" i="13"/>
  <c r="AK5" i="13"/>
  <c r="AD5" i="13"/>
  <c r="AA5" i="13"/>
  <c r="AI5" i="13"/>
  <c r="AF5" i="13"/>
  <c r="AH5" i="13"/>
  <c r="Z5" i="13"/>
  <c r="O47" i="15"/>
  <c r="D3" i="16" s="1"/>
  <c r="R47" i="15"/>
  <c r="G3" i="16" s="1"/>
  <c r="AD6" i="15"/>
  <c r="AK6" i="15"/>
  <c r="AJ6" i="15"/>
  <c r="AA6" i="15"/>
  <c r="AB4" i="16"/>
  <c r="AM7" i="15"/>
  <c r="AM9" i="15"/>
  <c r="AG6" i="15"/>
  <c r="AM8" i="15"/>
  <c r="AC6" i="15"/>
  <c r="AL6" i="15"/>
  <c r="AM10" i="15"/>
  <c r="AH6" i="15"/>
  <c r="AE6" i="15"/>
  <c r="AB6" i="15"/>
  <c r="AF6" i="15"/>
  <c r="AI6" i="15"/>
  <c r="F9" i="1"/>
  <c r="C63" i="1"/>
  <c r="BC5" i="15"/>
  <c r="BI5" i="15"/>
  <c r="BD5" i="15"/>
  <c r="BK5" i="15"/>
  <c r="BA5" i="15"/>
  <c r="BE5" i="15"/>
  <c r="BG5" i="15"/>
  <c r="BF5" i="15"/>
  <c r="BL5" i="15"/>
  <c r="BJ5" i="15"/>
  <c r="BH5" i="15"/>
  <c r="BB5" i="15"/>
  <c r="AJ47" i="15"/>
  <c r="Y3" i="16" s="1"/>
  <c r="Y6" i="16" s="1"/>
  <c r="Z7" i="15"/>
  <c r="X6" i="15"/>
  <c r="Z9" i="15"/>
  <c r="T6" i="15"/>
  <c r="J6" i="15"/>
  <c r="Z8" i="15"/>
  <c r="W6" i="15"/>
  <c r="O4" i="16"/>
  <c r="Y6" i="15"/>
  <c r="O6" i="15"/>
  <c r="Q6" i="15"/>
  <c r="V6" i="15"/>
  <c r="R6" i="15"/>
  <c r="N6" i="15"/>
  <c r="Z10" i="15"/>
  <c r="P6" i="15"/>
  <c r="S6" i="15"/>
  <c r="U6" i="15"/>
  <c r="AO47" i="15"/>
  <c r="AD3" i="16" s="1"/>
  <c r="AD6" i="16" s="1"/>
  <c r="X47" i="15"/>
  <c r="M3" i="16" s="1"/>
  <c r="M6" i="16" s="1"/>
  <c r="Q47" i="15"/>
  <c r="F3" i="16" s="1"/>
  <c r="U47" i="15"/>
  <c r="J3" i="16" s="1"/>
  <c r="J6" i="16" s="1"/>
  <c r="BJ49" i="15"/>
  <c r="BF49" i="15"/>
  <c r="BF47" i="15" s="1"/>
  <c r="AU3" i="16" s="1"/>
  <c r="AU6" i="16" s="1"/>
  <c r="BG49" i="15"/>
  <c r="BG47" i="15" s="1"/>
  <c r="AV3" i="16" s="1"/>
  <c r="AV6" i="16" s="1"/>
  <c r="BK49" i="15"/>
  <c r="BE49" i="15"/>
  <c r="BB49" i="15"/>
  <c r="BC49" i="15"/>
  <c r="BC47" i="15" s="1"/>
  <c r="AR3" i="16" s="1"/>
  <c r="AR6" i="16" s="1"/>
  <c r="BI49" i="15"/>
  <c r="BH49" i="15"/>
  <c r="BA49" i="15"/>
  <c r="BL49" i="15"/>
  <c r="BL47" i="15" s="1"/>
  <c r="BA3" i="16" s="1"/>
  <c r="BA6" i="16" s="1"/>
  <c r="BB6" i="16" s="1"/>
  <c r="G5" i="17" s="1"/>
  <c r="BD49" i="15"/>
  <c r="BM5" i="13"/>
  <c r="BT5" i="13"/>
  <c r="BV5" i="13"/>
  <c r="BO5" i="13"/>
  <c r="BR5" i="13"/>
  <c r="BP5" i="13"/>
  <c r="BQ5" i="13"/>
  <c r="BX5" i="13"/>
  <c r="BU5" i="13"/>
  <c r="BW5" i="13"/>
  <c r="BS5" i="13"/>
  <c r="BN5" i="13"/>
  <c r="AT6" i="15"/>
  <c r="AZ8" i="15"/>
  <c r="AX6" i="15"/>
  <c r="AO4" i="16"/>
  <c r="AS6" i="15"/>
  <c r="AO6" i="15"/>
  <c r="AV6" i="15"/>
  <c r="AY6" i="15"/>
  <c r="AZ9" i="15"/>
  <c r="AR6" i="15"/>
  <c r="AW6" i="15"/>
  <c r="AZ10" i="15"/>
  <c r="AQ6" i="15"/>
  <c r="AU6" i="15"/>
  <c r="AZ7" i="15"/>
  <c r="AP6" i="15"/>
  <c r="AN6" i="15"/>
  <c r="BC5" i="13"/>
  <c r="AZ5" i="13"/>
  <c r="BD5" i="13"/>
  <c r="BB5" i="13"/>
  <c r="BI5" i="13"/>
  <c r="BK5" i="13"/>
  <c r="BJ5" i="13"/>
  <c r="BG5" i="13"/>
  <c r="BA5" i="13"/>
  <c r="BF5" i="13"/>
  <c r="BH5" i="13"/>
  <c r="BE5" i="13"/>
  <c r="BU48" i="15"/>
  <c r="BY48" i="15"/>
  <c r="BS49" i="15"/>
  <c r="BO48" i="15"/>
  <c r="BV48" i="15"/>
  <c r="BW48" i="15"/>
  <c r="BW47" i="15" s="1"/>
  <c r="BL3" i="16" s="1"/>
  <c r="BL6" i="16" s="1"/>
  <c r="BO49" i="15"/>
  <c r="BX48" i="15"/>
  <c r="BP48" i="15"/>
  <c r="BP47" i="15" s="1"/>
  <c r="BE3" i="16" s="1"/>
  <c r="BE6" i="16" s="1"/>
  <c r="BY49" i="15"/>
  <c r="BT49" i="15"/>
  <c r="BP49" i="15"/>
  <c r="BX49" i="15"/>
  <c r="BN49" i="15"/>
  <c r="BS48" i="15"/>
  <c r="BS47" i="15" s="1"/>
  <c r="BH3" i="16" s="1"/>
  <c r="BH6" i="16" s="1"/>
  <c r="BR49" i="15"/>
  <c r="BV49" i="15"/>
  <c r="BQ49" i="15"/>
  <c r="BN48" i="15"/>
  <c r="BQ48" i="15"/>
  <c r="BU49" i="15"/>
  <c r="BR48" i="15"/>
  <c r="BR47" i="15" s="1"/>
  <c r="BG3" i="16" s="1"/>
  <c r="BG6" i="16" s="1"/>
  <c r="BW49" i="15"/>
  <c r="BT48" i="15"/>
  <c r="BT47" i="15" s="1"/>
  <c r="BI3" i="16" s="1"/>
  <c r="BI6" i="16" s="1"/>
  <c r="AE47" i="15"/>
  <c r="T3" i="16" s="1"/>
  <c r="T6" i="16" s="1"/>
  <c r="AD47" i="15"/>
  <c r="S3" i="16" s="1"/>
  <c r="S6" i="16" s="1"/>
  <c r="BM47" i="15"/>
  <c r="BB3" i="16" s="1"/>
  <c r="BB47" i="15"/>
  <c r="AQ3" i="16" s="1"/>
  <c r="AQ6" i="16" s="1"/>
  <c r="BE47" i="15"/>
  <c r="AT3" i="16" s="1"/>
  <c r="AT6" i="16" s="1"/>
  <c r="BI47" i="15"/>
  <c r="AX3" i="16" s="1"/>
  <c r="AX6" i="16" s="1"/>
  <c r="AU47" i="15"/>
  <c r="AJ3" i="16" s="1"/>
  <c r="AJ6" i="16" s="1"/>
  <c r="AV47" i="15"/>
  <c r="AK3" i="16" s="1"/>
  <c r="AK6" i="16" s="1"/>
  <c r="AQ47" i="15"/>
  <c r="AF3" i="16" s="1"/>
  <c r="AF6" i="16" s="1"/>
  <c r="I11" i="2"/>
  <c r="B11" i="1"/>
  <c r="AW7" i="15" l="1"/>
  <c r="AL4" i="16"/>
  <c r="AW9" i="15"/>
  <c r="AW10" i="15"/>
  <c r="AW8" i="15"/>
  <c r="AV9" i="15"/>
  <c r="AK4" i="16"/>
  <c r="AV7" i="15"/>
  <c r="AV8" i="15"/>
  <c r="AV10" i="15"/>
  <c r="J9" i="15"/>
  <c r="AM18" i="15"/>
  <c r="F16" i="1"/>
  <c r="AL21" i="13"/>
  <c r="AL9" i="15"/>
  <c r="AL8" i="15"/>
  <c r="AA4" i="16"/>
  <c r="AL7" i="15"/>
  <c r="AL10" i="15"/>
  <c r="AY4" i="16"/>
  <c r="BJ9" i="15"/>
  <c r="BJ8" i="15"/>
  <c r="BJ10" i="15"/>
  <c r="BJ7" i="15"/>
  <c r="O11" i="1"/>
  <c r="S11" i="1"/>
  <c r="G10" i="1"/>
  <c r="O12" i="2"/>
  <c r="BU47" i="15"/>
  <c r="BJ3" i="16" s="1"/>
  <c r="BJ6" i="16" s="1"/>
  <c r="AJ4" i="16"/>
  <c r="AU8" i="15"/>
  <c r="AU10" i="15"/>
  <c r="AU7" i="15"/>
  <c r="AU9" i="15"/>
  <c r="AO9" i="15"/>
  <c r="AO10" i="15"/>
  <c r="AD4" i="16"/>
  <c r="AO7" i="15"/>
  <c r="AO8" i="15"/>
  <c r="N9" i="15"/>
  <c r="N8" i="15"/>
  <c r="N7" i="15"/>
  <c r="N10" i="15"/>
  <c r="C4" i="16"/>
  <c r="D4" i="16"/>
  <c r="O7" i="15"/>
  <c r="O8" i="15"/>
  <c r="O9" i="15"/>
  <c r="O10" i="15"/>
  <c r="X9" i="15"/>
  <c r="M4" i="16"/>
  <c r="X7" i="15"/>
  <c r="X10" i="15"/>
  <c r="X8" i="15"/>
  <c r="AE9" i="15"/>
  <c r="AE10" i="15"/>
  <c r="T4" i="16"/>
  <c r="AE7" i="15"/>
  <c r="AE8" i="15"/>
  <c r="BD9" i="15"/>
  <c r="BD8" i="15"/>
  <c r="BD10" i="15"/>
  <c r="BD7" i="15"/>
  <c r="AS4" i="16"/>
  <c r="BE9" i="15"/>
  <c r="BE10" i="15"/>
  <c r="BE7" i="15"/>
  <c r="AT4" i="16"/>
  <c r="BE8" i="15"/>
  <c r="BY46" i="13"/>
  <c r="B62" i="1"/>
  <c r="BZ40" i="15"/>
  <c r="R15" i="1"/>
  <c r="E62" i="1"/>
  <c r="D62" i="1"/>
  <c r="C62" i="1"/>
  <c r="O10" i="1"/>
  <c r="C11" i="1"/>
  <c r="BQ47" i="15"/>
  <c r="BF3" i="16" s="1"/>
  <c r="BF6" i="16" s="1"/>
  <c r="BX47" i="15"/>
  <c r="BM3" i="16" s="1"/>
  <c r="BM6" i="16" s="1"/>
  <c r="BO47" i="15"/>
  <c r="BD3" i="16" s="1"/>
  <c r="BD6" i="16" s="1"/>
  <c r="AN8" i="15"/>
  <c r="AN7" i="15"/>
  <c r="AN10" i="15"/>
  <c r="AC4" i="16"/>
  <c r="AN9" i="15"/>
  <c r="AF4" i="16"/>
  <c r="AQ8" i="15"/>
  <c r="AQ10" i="15"/>
  <c r="AQ7" i="15"/>
  <c r="AQ9" i="15"/>
  <c r="AS9" i="15"/>
  <c r="AH4" i="16"/>
  <c r="AS10" i="15"/>
  <c r="AS7" i="15"/>
  <c r="AS8" i="15"/>
  <c r="AT9" i="15"/>
  <c r="AT7" i="15"/>
  <c r="AT8" i="15"/>
  <c r="AI4" i="16"/>
  <c r="AT10" i="15"/>
  <c r="S8" i="15"/>
  <c r="S9" i="15"/>
  <c r="S10" i="15"/>
  <c r="H4" i="16"/>
  <c r="S7" i="15"/>
  <c r="R7" i="15"/>
  <c r="G4" i="16"/>
  <c r="R10" i="15"/>
  <c r="R8" i="15"/>
  <c r="R9" i="15"/>
  <c r="Y10" i="15"/>
  <c r="Y9" i="15"/>
  <c r="Y8" i="15"/>
  <c r="Y7" i="15"/>
  <c r="N4" i="16"/>
  <c r="J7" i="15"/>
  <c r="AI7" i="15"/>
  <c r="AI8" i="15"/>
  <c r="AI10" i="15"/>
  <c r="AI9" i="15"/>
  <c r="X4" i="16"/>
  <c r="AH7" i="15"/>
  <c r="W4" i="16"/>
  <c r="AH9" i="15"/>
  <c r="AH8" i="15"/>
  <c r="AH10" i="15"/>
  <c r="AD8" i="15"/>
  <c r="AD9" i="15"/>
  <c r="AD7" i="15"/>
  <c r="AD10" i="15"/>
  <c r="S4" i="16"/>
  <c r="BK8" i="15"/>
  <c r="BK10" i="15"/>
  <c r="BK7" i="15"/>
  <c r="AZ4" i="16"/>
  <c r="BK9" i="15"/>
  <c r="BG7" i="15"/>
  <c r="BG8" i="15"/>
  <c r="AV4" i="16"/>
  <c r="BG9" i="15"/>
  <c r="BG10" i="15"/>
  <c r="BF10" i="15"/>
  <c r="BF9" i="15"/>
  <c r="AU4" i="16"/>
  <c r="BF7" i="15"/>
  <c r="BF8" i="15"/>
  <c r="BZ8" i="15"/>
  <c r="J8" i="15" s="1"/>
  <c r="BV6" i="15"/>
  <c r="BW6" i="15"/>
  <c r="BT6" i="15"/>
  <c r="BO4" i="16"/>
  <c r="BX6" i="15"/>
  <c r="BZ9" i="15"/>
  <c r="BN6" i="15"/>
  <c r="BU6" i="15"/>
  <c r="BZ10" i="15"/>
  <c r="J10" i="15" s="1"/>
  <c r="BY6" i="15"/>
  <c r="BP6" i="15"/>
  <c r="BZ7" i="15"/>
  <c r="BR6" i="15"/>
  <c r="BO6" i="15"/>
  <c r="BS6" i="15"/>
  <c r="BQ6" i="15"/>
  <c r="BY20" i="13"/>
  <c r="B61" i="1"/>
  <c r="R14" i="1"/>
  <c r="D61" i="1"/>
  <c r="BZ16" i="15"/>
  <c r="C61" i="1"/>
  <c r="E61" i="1"/>
  <c r="AY21" i="13"/>
  <c r="B63" i="1"/>
  <c r="AZ18" i="15"/>
  <c r="J16" i="1"/>
  <c r="BY47" i="15"/>
  <c r="BN3" i="16" s="1"/>
  <c r="BN6" i="16" s="1"/>
  <c r="BO6" i="16" s="1"/>
  <c r="H5" i="17" s="1"/>
  <c r="AX8" i="15"/>
  <c r="AX10" i="15"/>
  <c r="AX7" i="15"/>
  <c r="AX9" i="15"/>
  <c r="AM4" i="16"/>
  <c r="Q9" i="15"/>
  <c r="F4" i="16"/>
  <c r="Q8" i="15"/>
  <c r="Q7" i="15"/>
  <c r="Q10" i="15"/>
  <c r="L4" i="16"/>
  <c r="W8" i="15"/>
  <c r="W9" i="15"/>
  <c r="W10" i="15"/>
  <c r="W7" i="15"/>
  <c r="AB7" i="15"/>
  <c r="Q4" i="16"/>
  <c r="AB9" i="15"/>
  <c r="AB8" i="15"/>
  <c r="AB10" i="15"/>
  <c r="Y4" i="16"/>
  <c r="AJ9" i="15"/>
  <c r="AJ8" i="15"/>
  <c r="AJ7" i="15"/>
  <c r="AJ10" i="15"/>
  <c r="BC9" i="15"/>
  <c r="AR4" i="16"/>
  <c r="BC10" i="15"/>
  <c r="BC8" i="15"/>
  <c r="BC7" i="15"/>
  <c r="BL9" i="15"/>
  <c r="BA4" i="16"/>
  <c r="BL7" i="15"/>
  <c r="BL8" i="15"/>
  <c r="BL10" i="15"/>
  <c r="N21" i="18"/>
  <c r="M45" i="18"/>
  <c r="M22" i="18"/>
  <c r="BV47" i="15"/>
  <c r="BK3" i="16" s="1"/>
  <c r="BK6" i="16" s="1"/>
  <c r="AR7" i="15"/>
  <c r="AR10" i="15"/>
  <c r="AR9" i="15"/>
  <c r="AG4" i="16"/>
  <c r="AR8" i="15"/>
  <c r="U9" i="15"/>
  <c r="U8" i="15"/>
  <c r="J4" i="16"/>
  <c r="U10" i="15"/>
  <c r="U7" i="15"/>
  <c r="F11" i="1"/>
  <c r="O11" i="2"/>
  <c r="AC8" i="15"/>
  <c r="R4" i="16"/>
  <c r="AC9" i="15"/>
  <c r="AC7" i="15"/>
  <c r="AC10" i="15"/>
  <c r="Z4" i="16"/>
  <c r="AK9" i="15"/>
  <c r="AK7" i="15"/>
  <c r="AK8" i="15"/>
  <c r="AK10" i="15"/>
  <c r="BB7" i="15"/>
  <c r="BB8" i="15"/>
  <c r="BB10" i="15"/>
  <c r="AQ4" i="16"/>
  <c r="BB9" i="15"/>
  <c r="BL21" i="13"/>
  <c r="N16" i="1"/>
  <c r="BM18" i="15"/>
  <c r="I15" i="2"/>
  <c r="N11" i="2"/>
  <c r="BN47" i="15"/>
  <c r="BC3" i="16" s="1"/>
  <c r="BC6" i="16" s="1"/>
  <c r="AP8" i="15"/>
  <c r="AP9" i="15"/>
  <c r="AP10" i="15"/>
  <c r="AP7" i="15"/>
  <c r="AE4" i="16"/>
  <c r="AY8" i="15"/>
  <c r="AN4" i="16"/>
  <c r="AY9" i="15"/>
  <c r="AY10" i="15"/>
  <c r="AY7" i="15"/>
  <c r="P7" i="15"/>
  <c r="P8" i="15"/>
  <c r="P9" i="15"/>
  <c r="P10" i="15"/>
  <c r="E4" i="16"/>
  <c r="K4" i="16"/>
  <c r="V7" i="15"/>
  <c r="V10" i="15"/>
  <c r="V8" i="15"/>
  <c r="V9" i="15"/>
  <c r="T10" i="15"/>
  <c r="I4" i="16"/>
  <c r="T7" i="15"/>
  <c r="T8" i="15"/>
  <c r="T9" i="15"/>
  <c r="AF7" i="15"/>
  <c r="AF10" i="15"/>
  <c r="U4" i="16"/>
  <c r="AF8" i="15"/>
  <c r="AF9" i="15"/>
  <c r="AG7" i="15"/>
  <c r="AG9" i="15"/>
  <c r="AG8" i="15"/>
  <c r="AG10" i="15"/>
  <c r="V4" i="16"/>
  <c r="AA8" i="15"/>
  <c r="P4" i="16"/>
  <c r="AA7" i="15"/>
  <c r="AA10" i="15"/>
  <c r="AA9" i="15"/>
  <c r="BA8" i="15"/>
  <c r="BA10" i="15"/>
  <c r="AP4" i="16"/>
  <c r="BA9" i="15"/>
  <c r="BA7" i="15"/>
  <c r="BH7" i="15"/>
  <c r="BH10" i="15"/>
  <c r="AW4" i="16"/>
  <c r="BH9" i="15"/>
  <c r="BH8" i="15"/>
  <c r="BI9" i="15"/>
  <c r="BI7" i="15"/>
  <c r="BI8" i="15"/>
  <c r="BI10" i="15"/>
  <c r="AX4" i="16"/>
  <c r="BZ18" i="15"/>
  <c r="R16" i="1"/>
  <c r="BY21" i="13"/>
  <c r="H6" i="7"/>
  <c r="J11" i="1"/>
  <c r="C2" i="8"/>
  <c r="P11" i="2"/>
  <c r="L23" i="18"/>
  <c r="L44" i="18"/>
  <c r="G65" i="15"/>
  <c r="J65" i="15" s="1"/>
  <c r="J64" i="15"/>
  <c r="S10" i="1"/>
  <c r="AY8" i="16" l="1"/>
  <c r="BA7" i="16"/>
  <c r="BB7" i="16" s="1"/>
  <c r="B16" i="1"/>
  <c r="Z18" i="15"/>
  <c r="Y21" i="13"/>
  <c r="J21" i="13" s="1"/>
  <c r="BP20" i="13"/>
  <c r="BU20" i="13"/>
  <c r="BO20" i="13"/>
  <c r="BX20" i="13"/>
  <c r="BQ20" i="13"/>
  <c r="BN20" i="13"/>
  <c r="BR20" i="13"/>
  <c r="BM20" i="13"/>
  <c r="BV20" i="13"/>
  <c r="BW20" i="13"/>
  <c r="BS20" i="13"/>
  <c r="BT20" i="13"/>
  <c r="BV8" i="15"/>
  <c r="BV9" i="15"/>
  <c r="BK4" i="16"/>
  <c r="BV10" i="15"/>
  <c r="BV7" i="15"/>
  <c r="I8" i="16"/>
  <c r="K7" i="16"/>
  <c r="AD8" i="16"/>
  <c r="AE7" i="16"/>
  <c r="AF7" i="16"/>
  <c r="AC8" i="16"/>
  <c r="AK8" i="16"/>
  <c r="AM7" i="16"/>
  <c r="AZ8" i="16"/>
  <c r="BC7" i="16"/>
  <c r="J8" i="16"/>
  <c r="L7" i="16"/>
  <c r="I25" i="2"/>
  <c r="I27" i="2" s="1"/>
  <c r="J26" i="2" s="1"/>
  <c r="J27" i="2" s="1"/>
  <c r="K26" i="2" s="1"/>
  <c r="K27" i="2" s="1"/>
  <c r="L26" i="2" s="1"/>
  <c r="L27" i="2" s="1"/>
  <c r="M26" i="2" s="1"/>
  <c r="M27" i="2" s="1"/>
  <c r="N15" i="2"/>
  <c r="N25" i="2" s="1"/>
  <c r="K8" i="16"/>
  <c r="M7" i="16"/>
  <c r="AJ7" i="16"/>
  <c r="AH8" i="16"/>
  <c r="AU7" i="16"/>
  <c r="AS8" i="16"/>
  <c r="M8" i="16"/>
  <c r="P7" i="16"/>
  <c r="E6" i="17" s="1"/>
  <c r="I7" i="16"/>
  <c r="P13" i="2"/>
  <c r="P15" i="2" s="1"/>
  <c r="AZ16" i="15"/>
  <c r="J14" i="1"/>
  <c r="AY20" i="13"/>
  <c r="BD7" i="16"/>
  <c r="BA8" i="16"/>
  <c r="BB8" i="16" s="1"/>
  <c r="S15" i="1"/>
  <c r="K23" i="21"/>
  <c r="AL8" i="16"/>
  <c r="AN7" i="16"/>
  <c r="AO7" i="16" s="1"/>
  <c r="S16" i="1"/>
  <c r="K18" i="21"/>
  <c r="S7" i="16"/>
  <c r="H6" i="17" s="1"/>
  <c r="R7" i="16"/>
  <c r="G6" i="17" s="1"/>
  <c r="Q8" i="16"/>
  <c r="F7" i="17" s="1"/>
  <c r="P8" i="16"/>
  <c r="E7" i="17" s="1"/>
  <c r="AH7" i="16"/>
  <c r="AF8" i="16"/>
  <c r="BL18" i="15"/>
  <c r="BM28" i="15"/>
  <c r="BF18" i="15"/>
  <c r="BM35" i="15"/>
  <c r="BM30" i="15"/>
  <c r="BM29" i="15"/>
  <c r="BM36" i="15"/>
  <c r="BM24" i="15"/>
  <c r="BM37" i="15"/>
  <c r="BM20" i="15"/>
  <c r="BH18" i="15"/>
  <c r="BM22" i="15"/>
  <c r="BM21" i="15"/>
  <c r="BM23" i="15"/>
  <c r="BM33" i="15"/>
  <c r="BM31" i="15"/>
  <c r="BA18" i="15"/>
  <c r="BI18" i="15"/>
  <c r="BB18" i="15"/>
  <c r="BM25" i="15"/>
  <c r="BE18" i="15"/>
  <c r="BD18" i="15"/>
  <c r="BK18" i="15"/>
  <c r="BM32" i="15"/>
  <c r="BM34" i="15"/>
  <c r="BM27" i="15"/>
  <c r="BJ18" i="15"/>
  <c r="BG18" i="15"/>
  <c r="BM26" i="15"/>
  <c r="BM38" i="15"/>
  <c r="BM19" i="15"/>
  <c r="BC18" i="15"/>
  <c r="AT7" i="16"/>
  <c r="AR8" i="16"/>
  <c r="AA8" i="16"/>
  <c r="AB8" i="16" s="1"/>
  <c r="AD7" i="16"/>
  <c r="U7" i="16"/>
  <c r="S8" i="16"/>
  <c r="H7" i="17" s="1"/>
  <c r="M23" i="18"/>
  <c r="M44" i="18"/>
  <c r="H8" i="7"/>
  <c r="K16" i="21"/>
  <c r="K16" i="1"/>
  <c r="BL20" i="13"/>
  <c r="N14" i="1"/>
  <c r="BM16" i="15"/>
  <c r="K28" i="21"/>
  <c r="S14" i="1"/>
  <c r="R17" i="1"/>
  <c r="BS8" i="15"/>
  <c r="BH4" i="16"/>
  <c r="BS10" i="15"/>
  <c r="BS9" i="15"/>
  <c r="BS7" i="15"/>
  <c r="BE4" i="16"/>
  <c r="BP7" i="15"/>
  <c r="BP10" i="15"/>
  <c r="BP9" i="15"/>
  <c r="BP8" i="15"/>
  <c r="BN7" i="15"/>
  <c r="BC4" i="16"/>
  <c r="BN8" i="15"/>
  <c r="BN9" i="15"/>
  <c r="BN10" i="15"/>
  <c r="BT7" i="15"/>
  <c r="BT8" i="15"/>
  <c r="BI4" i="16"/>
  <c r="BT10" i="15"/>
  <c r="BT9" i="15"/>
  <c r="AI7" i="16"/>
  <c r="AG8" i="16"/>
  <c r="F15" i="1"/>
  <c r="AL46" i="13"/>
  <c r="AM40" i="15"/>
  <c r="BP44" i="15"/>
  <c r="BV44" i="15"/>
  <c r="BZ44" i="15"/>
  <c r="BZ41" i="15"/>
  <c r="AW7" i="16"/>
  <c r="AU8" i="16"/>
  <c r="AV7" i="16"/>
  <c r="AT8" i="16"/>
  <c r="AM8" i="16"/>
  <c r="AP7" i="16"/>
  <c r="H9" i="7"/>
  <c r="H11" i="7" s="1"/>
  <c r="AQ8" i="16"/>
  <c r="AS7" i="16"/>
  <c r="AR7" i="16"/>
  <c r="AP8" i="16"/>
  <c r="Y7" i="16"/>
  <c r="W8" i="16"/>
  <c r="N45" i="18"/>
  <c r="N22" i="18"/>
  <c r="AN8" i="16"/>
  <c r="AO8" i="16" s="1"/>
  <c r="AQ7" i="16"/>
  <c r="BY16" i="15"/>
  <c r="BU16" i="15"/>
  <c r="BV16" i="15"/>
  <c r="BT16" i="15"/>
  <c r="BX16" i="15"/>
  <c r="BQ16" i="15"/>
  <c r="BO16" i="15"/>
  <c r="BP16" i="15"/>
  <c r="BN16" i="15"/>
  <c r="BW16" i="15"/>
  <c r="BS16" i="15"/>
  <c r="BR16" i="15"/>
  <c r="BR9" i="15"/>
  <c r="BR7" i="15"/>
  <c r="BR10" i="15"/>
  <c r="BG4" i="16"/>
  <c r="BR8" i="15"/>
  <c r="BM4" i="16"/>
  <c r="BN8" i="16" s="1"/>
  <c r="BO8" i="16" s="1"/>
  <c r="BX10" i="15"/>
  <c r="BX7" i="15"/>
  <c r="BX8" i="15"/>
  <c r="BX9" i="15"/>
  <c r="AV8" i="16"/>
  <c r="AX7" i="16"/>
  <c r="AK7" i="16"/>
  <c r="AI8" i="16"/>
  <c r="BL46" i="13"/>
  <c r="BM40" i="15"/>
  <c r="N15" i="1"/>
  <c r="AB18" i="15"/>
  <c r="AM32" i="15"/>
  <c r="AM27" i="15"/>
  <c r="AM25" i="15"/>
  <c r="AM33" i="15"/>
  <c r="AM20" i="15"/>
  <c r="AM35" i="15"/>
  <c r="AD18" i="15"/>
  <c r="AM36" i="15"/>
  <c r="AM19" i="15"/>
  <c r="AM22" i="15"/>
  <c r="AM24" i="15"/>
  <c r="AA18" i="15"/>
  <c r="AM21" i="15"/>
  <c r="AJ18" i="15"/>
  <c r="AK18" i="15"/>
  <c r="AM37" i="15"/>
  <c r="AM23" i="15"/>
  <c r="AE18" i="15"/>
  <c r="AI18" i="15"/>
  <c r="AM38" i="15"/>
  <c r="AM31" i="15"/>
  <c r="AC18" i="15"/>
  <c r="AH18" i="15"/>
  <c r="AM29" i="15"/>
  <c r="AM34" i="15"/>
  <c r="AG18" i="15"/>
  <c r="AM28" i="15"/>
  <c r="AM30" i="15"/>
  <c r="AF18" i="15"/>
  <c r="AL18" i="15"/>
  <c r="AM26" i="15"/>
  <c r="G11" i="1"/>
  <c r="BQ9" i="15"/>
  <c r="BQ7" i="15"/>
  <c r="BQ10" i="15"/>
  <c r="BF4" i="16"/>
  <c r="BQ8" i="15"/>
  <c r="BU8" i="15"/>
  <c r="BU10" i="15"/>
  <c r="BU9" i="15"/>
  <c r="BU7" i="15"/>
  <c r="BJ4" i="16"/>
  <c r="AW8" i="16"/>
  <c r="AY7" i="16"/>
  <c r="V7" i="16"/>
  <c r="T8" i="16"/>
  <c r="Z7" i="16"/>
  <c r="X8" i="16"/>
  <c r="J7" i="16"/>
  <c r="AL7" i="16"/>
  <c r="AJ8" i="16"/>
  <c r="U8" i="16"/>
  <c r="W7" i="16"/>
  <c r="AE8" i="16"/>
  <c r="AG7" i="16"/>
  <c r="K11" i="1"/>
  <c r="BY18" i="15"/>
  <c r="BZ34" i="15"/>
  <c r="BZ35" i="15"/>
  <c r="BZ29" i="15"/>
  <c r="BT18" i="15"/>
  <c r="BZ28" i="15"/>
  <c r="BP18" i="15"/>
  <c r="BW18" i="15"/>
  <c r="BQ18" i="15"/>
  <c r="BZ36" i="15"/>
  <c r="BU18" i="15"/>
  <c r="BZ20" i="15"/>
  <c r="BZ32" i="15"/>
  <c r="BZ31" i="15"/>
  <c r="BZ33" i="15"/>
  <c r="BZ22" i="15"/>
  <c r="BZ19" i="15"/>
  <c r="BZ27" i="15"/>
  <c r="BZ23" i="15"/>
  <c r="BZ30" i="15"/>
  <c r="BO18" i="15"/>
  <c r="BZ38" i="15"/>
  <c r="BX18" i="15"/>
  <c r="BZ24" i="15"/>
  <c r="BZ21" i="15"/>
  <c r="BZ37" i="15"/>
  <c r="BS18" i="15"/>
  <c r="BZ25" i="15"/>
  <c r="BV18" i="15"/>
  <c r="BN18" i="15"/>
  <c r="BZ26" i="15"/>
  <c r="BR18" i="15"/>
  <c r="AZ7" i="16"/>
  <c r="AX8" i="16"/>
  <c r="V8" i="16"/>
  <c r="X7" i="16"/>
  <c r="L8" i="16"/>
  <c r="N7" i="16"/>
  <c r="O7" i="16" s="1"/>
  <c r="D6" i="17" s="1"/>
  <c r="K17" i="21"/>
  <c r="O16" i="1"/>
  <c r="Z8" i="16"/>
  <c r="AC7" i="16"/>
  <c r="R8" i="16"/>
  <c r="G7" i="17" s="1"/>
  <c r="T7" i="16"/>
  <c r="AZ28" i="15"/>
  <c r="AZ31" i="15"/>
  <c r="AZ23" i="15"/>
  <c r="AP18" i="15"/>
  <c r="AZ19" i="15"/>
  <c r="AZ37" i="15"/>
  <c r="AZ30" i="15"/>
  <c r="AZ27" i="15"/>
  <c r="AS18" i="15"/>
  <c r="AY18" i="15"/>
  <c r="AZ32" i="15"/>
  <c r="AZ22" i="15"/>
  <c r="AZ35" i="15"/>
  <c r="AZ34" i="15"/>
  <c r="AZ24" i="15"/>
  <c r="AX18" i="15"/>
  <c r="AV18" i="15"/>
  <c r="AZ21" i="15"/>
  <c r="AU18" i="15"/>
  <c r="AZ33" i="15"/>
  <c r="AZ38" i="15"/>
  <c r="AZ25" i="15"/>
  <c r="AZ29" i="15"/>
  <c r="AW18" i="15"/>
  <c r="AO18" i="15"/>
  <c r="AT18" i="15"/>
  <c r="AN18" i="15"/>
  <c r="AR18" i="15"/>
  <c r="AZ36" i="15"/>
  <c r="AQ18" i="15"/>
  <c r="AZ20" i="15"/>
  <c r="AZ26" i="15"/>
  <c r="F14" i="1"/>
  <c r="AM16" i="15"/>
  <c r="O13" i="2"/>
  <c r="O15" i="2" s="1"/>
  <c r="O25" i="2" s="1"/>
  <c r="AL20" i="13"/>
  <c r="Y20" i="13"/>
  <c r="Z16" i="15"/>
  <c r="B14" i="1"/>
  <c r="BO8" i="15"/>
  <c r="BD4" i="16"/>
  <c r="BO10" i="15"/>
  <c r="BO7" i="15"/>
  <c r="BO9" i="15"/>
  <c r="BY7" i="15"/>
  <c r="BY10" i="15"/>
  <c r="BY9" i="15"/>
  <c r="BN4" i="16"/>
  <c r="BY8" i="15"/>
  <c r="BW8" i="15"/>
  <c r="BW9" i="15"/>
  <c r="BW7" i="15"/>
  <c r="BL4" i="16"/>
  <c r="BW10" i="15"/>
  <c r="Y8" i="16"/>
  <c r="AA7" i="16"/>
  <c r="AB7" i="16" s="1"/>
  <c r="AZ40" i="15"/>
  <c r="J15" i="1"/>
  <c r="AY46" i="13"/>
  <c r="Y46" i="13"/>
  <c r="Z40" i="15"/>
  <c r="B15" i="1"/>
  <c r="N8" i="16"/>
  <c r="O8" i="16" s="1"/>
  <c r="D7" i="17" s="1"/>
  <c r="Q7" i="16"/>
  <c r="F6" i="17" s="1"/>
  <c r="K15" i="21"/>
  <c r="G16" i="1"/>
  <c r="P25" i="2" l="1"/>
  <c r="O27" i="2"/>
  <c r="P26" i="2" s="1"/>
  <c r="K24" i="21"/>
  <c r="C14" i="1"/>
  <c r="E9" i="7"/>
  <c r="B17" i="1"/>
  <c r="I10" i="5"/>
  <c r="I11" i="5" s="1"/>
  <c r="BS19" i="15"/>
  <c r="BS30" i="15"/>
  <c r="BS22" i="15"/>
  <c r="BS24" i="15"/>
  <c r="BS38" i="15"/>
  <c r="BS37" i="15"/>
  <c r="BS23" i="15"/>
  <c r="BS20" i="15"/>
  <c r="BS34" i="15"/>
  <c r="BS29" i="15"/>
  <c r="BS35" i="15"/>
  <c r="BS36" i="15"/>
  <c r="BS21" i="15"/>
  <c r="BS28" i="15"/>
  <c r="BS26" i="15"/>
  <c r="BS32" i="15"/>
  <c r="BS33" i="15"/>
  <c r="BS25" i="15"/>
  <c r="BS31" i="15"/>
  <c r="BS27" i="15"/>
  <c r="BU37" i="15"/>
  <c r="BU25" i="15"/>
  <c r="BU24" i="15"/>
  <c r="BU31" i="15"/>
  <c r="BU29" i="15"/>
  <c r="BU30" i="15"/>
  <c r="BU36" i="15"/>
  <c r="BU34" i="15"/>
  <c r="BU28" i="15"/>
  <c r="BU20" i="15"/>
  <c r="BU19" i="15"/>
  <c r="BU22" i="15"/>
  <c r="BU32" i="15"/>
  <c r="BU35" i="15"/>
  <c r="BU21" i="15"/>
  <c r="BU23" i="15"/>
  <c r="BU27" i="15"/>
  <c r="BU26" i="15"/>
  <c r="BU38" i="15"/>
  <c r="BU33" i="15"/>
  <c r="BG8" i="16"/>
  <c r="BI7" i="16"/>
  <c r="AF22" i="15"/>
  <c r="AF23" i="15"/>
  <c r="AF33" i="15"/>
  <c r="AF31" i="15"/>
  <c r="AF32" i="15"/>
  <c r="AF20" i="15"/>
  <c r="AF24" i="15"/>
  <c r="AF36" i="15"/>
  <c r="AF30" i="15"/>
  <c r="AF21" i="15"/>
  <c r="AF38" i="15"/>
  <c r="AF19" i="15"/>
  <c r="AF27" i="15"/>
  <c r="AF34" i="15"/>
  <c r="AF35" i="15"/>
  <c r="AF28" i="15"/>
  <c r="AF29" i="15"/>
  <c r="AF37" i="15"/>
  <c r="AF26" i="15"/>
  <c r="AF25" i="15"/>
  <c r="BK20" i="13"/>
  <c r="BJ20" i="13"/>
  <c r="BH20" i="13"/>
  <c r="BA20" i="13"/>
  <c r="BD20" i="13"/>
  <c r="BI20" i="13"/>
  <c r="AZ20" i="13"/>
  <c r="BC20" i="13"/>
  <c r="BG20" i="13"/>
  <c r="BB20" i="13"/>
  <c r="BE20" i="13"/>
  <c r="BF20" i="13"/>
  <c r="BG30" i="15"/>
  <c r="BG38" i="15"/>
  <c r="BG37" i="15"/>
  <c r="BG33" i="15"/>
  <c r="BG34" i="15"/>
  <c r="BG28" i="15"/>
  <c r="BG35" i="15"/>
  <c r="BG25" i="15"/>
  <c r="BG24" i="15"/>
  <c r="BG21" i="15"/>
  <c r="BG20" i="15"/>
  <c r="BG23" i="15"/>
  <c r="BG22" i="15"/>
  <c r="BG19" i="15"/>
  <c r="BG31" i="15"/>
  <c r="BG32" i="15"/>
  <c r="BG29" i="15"/>
  <c r="BG26" i="15"/>
  <c r="BG27" i="15"/>
  <c r="BG36" i="15"/>
  <c r="BN7" i="16"/>
  <c r="BO7" i="16" s="1"/>
  <c r="BL8" i="16"/>
  <c r="K21" i="21"/>
  <c r="K15" i="1"/>
  <c r="R16" i="15"/>
  <c r="J16" i="15"/>
  <c r="Y16" i="15"/>
  <c r="T16" i="15"/>
  <c r="W16" i="15"/>
  <c r="X16" i="15"/>
  <c r="S16" i="15"/>
  <c r="U16" i="15"/>
  <c r="N16" i="15"/>
  <c r="Q16" i="15"/>
  <c r="P16" i="15"/>
  <c r="V16" i="15"/>
  <c r="O16" i="15"/>
  <c r="AT22" i="15"/>
  <c r="AT25" i="15"/>
  <c r="AT33" i="15"/>
  <c r="AT27" i="15"/>
  <c r="AT20" i="15"/>
  <c r="AT29" i="15"/>
  <c r="AT23" i="15"/>
  <c r="AT26" i="15"/>
  <c r="AT24" i="15"/>
  <c r="AT36" i="15"/>
  <c r="AT21" i="15"/>
  <c r="AT28" i="15"/>
  <c r="AT32" i="15"/>
  <c r="AT19" i="15"/>
  <c r="AT38" i="15"/>
  <c r="AT31" i="15"/>
  <c r="AT30" i="15"/>
  <c r="AT35" i="15"/>
  <c r="AT37" i="15"/>
  <c r="AT34" i="15"/>
  <c r="BN23" i="15"/>
  <c r="BN20" i="15"/>
  <c r="BN35" i="15"/>
  <c r="BN33" i="15"/>
  <c r="BN38" i="15"/>
  <c r="BN27" i="15"/>
  <c r="BN32" i="15"/>
  <c r="BN22" i="15"/>
  <c r="BN26" i="15"/>
  <c r="BN37" i="15"/>
  <c r="BN21" i="15"/>
  <c r="BN34" i="15"/>
  <c r="BN36" i="15"/>
  <c r="BN28" i="15"/>
  <c r="BN31" i="15"/>
  <c r="BN29" i="15"/>
  <c r="BN30" i="15"/>
  <c r="BN19" i="15"/>
  <c r="BN25" i="15"/>
  <c r="BN24" i="15"/>
  <c r="N44" i="18"/>
  <c r="N23" i="18"/>
  <c r="BH7" i="16"/>
  <c r="BF8" i="16"/>
  <c r="M28" i="21"/>
  <c r="L28" i="21"/>
  <c r="BJ23" i="15"/>
  <c r="BJ26" i="15"/>
  <c r="BJ22" i="15"/>
  <c r="BJ34" i="15"/>
  <c r="BJ27" i="15"/>
  <c r="BJ24" i="15"/>
  <c r="BJ36" i="15"/>
  <c r="BJ37" i="15"/>
  <c r="BJ38" i="15"/>
  <c r="BJ33" i="15"/>
  <c r="BJ31" i="15"/>
  <c r="BJ32" i="15"/>
  <c r="BJ28" i="15"/>
  <c r="BJ29" i="15"/>
  <c r="BJ21" i="15"/>
  <c r="BJ30" i="15"/>
  <c r="BJ25" i="15"/>
  <c r="BJ35" i="15"/>
  <c r="BJ19" i="15"/>
  <c r="BJ20" i="15"/>
  <c r="BB38" i="15"/>
  <c r="BB21" i="15"/>
  <c r="BB26" i="15"/>
  <c r="BB19" i="15"/>
  <c r="BB32" i="15"/>
  <c r="BB36" i="15"/>
  <c r="BB20" i="15"/>
  <c r="BB29" i="15"/>
  <c r="BB37" i="15"/>
  <c r="BB23" i="15"/>
  <c r="BB34" i="15"/>
  <c r="BB35" i="15"/>
  <c r="BB27" i="15"/>
  <c r="BB24" i="15"/>
  <c r="BB31" i="15"/>
  <c r="BB30" i="15"/>
  <c r="BB28" i="15"/>
  <c r="BB33" i="15"/>
  <c r="BB25" i="15"/>
  <c r="BB22" i="15"/>
  <c r="BH37" i="15"/>
  <c r="BH35" i="15"/>
  <c r="BH32" i="15"/>
  <c r="BH24" i="15"/>
  <c r="BH36" i="15"/>
  <c r="BH22" i="15"/>
  <c r="BH25" i="15"/>
  <c r="BH29" i="15"/>
  <c r="BH30" i="15"/>
  <c r="BH19" i="15"/>
  <c r="BH27" i="15"/>
  <c r="BH20" i="15"/>
  <c r="BH28" i="15"/>
  <c r="BH33" i="15"/>
  <c r="BH23" i="15"/>
  <c r="BH26" i="15"/>
  <c r="BH34" i="15"/>
  <c r="BH31" i="15"/>
  <c r="BH38" i="15"/>
  <c r="BH21" i="15"/>
  <c r="C16" i="1"/>
  <c r="K14" i="21"/>
  <c r="M15" i="21"/>
  <c r="L15" i="21"/>
  <c r="U44" i="15"/>
  <c r="Z44" i="15"/>
  <c r="J44" i="15" s="1"/>
  <c r="V44" i="15"/>
  <c r="T44" i="15"/>
  <c r="Z41" i="15"/>
  <c r="AP44" i="15"/>
  <c r="AZ41" i="15"/>
  <c r="AZ44" i="15"/>
  <c r="AV44" i="15"/>
  <c r="BM8" i="16"/>
  <c r="BE8" i="16"/>
  <c r="BG7" i="16"/>
  <c r="N20" i="13"/>
  <c r="Q20" i="13"/>
  <c r="J20" i="13"/>
  <c r="X20" i="13"/>
  <c r="O20" i="13"/>
  <c r="U20" i="13"/>
  <c r="P20" i="13"/>
  <c r="V20" i="13"/>
  <c r="R20" i="13"/>
  <c r="M20" i="13"/>
  <c r="W20" i="13"/>
  <c r="T20" i="13"/>
  <c r="S20" i="13"/>
  <c r="G14" i="1"/>
  <c r="F17" i="1"/>
  <c r="K25" i="21"/>
  <c r="AO23" i="15"/>
  <c r="AO37" i="15"/>
  <c r="AO20" i="15"/>
  <c r="AO21" i="15"/>
  <c r="AO30" i="15"/>
  <c r="AO27" i="15"/>
  <c r="AO36" i="15"/>
  <c r="AO33" i="15"/>
  <c r="AO26" i="15"/>
  <c r="AO24" i="15"/>
  <c r="AO38" i="15"/>
  <c r="AO25" i="15"/>
  <c r="AO34" i="15"/>
  <c r="AO22" i="15"/>
  <c r="AO29" i="15"/>
  <c r="AO31" i="15"/>
  <c r="AO32" i="15"/>
  <c r="AO35" i="15"/>
  <c r="AO19" i="15"/>
  <c r="AO28" i="15"/>
  <c r="AV21" i="15"/>
  <c r="AV24" i="15"/>
  <c r="AV38" i="15"/>
  <c r="AV28" i="15"/>
  <c r="AV26" i="15"/>
  <c r="AV33" i="15"/>
  <c r="AV30" i="15"/>
  <c r="AV32" i="15"/>
  <c r="AV25" i="15"/>
  <c r="AV36" i="15"/>
  <c r="AV20" i="15"/>
  <c r="AV34" i="15"/>
  <c r="AV27" i="15"/>
  <c r="AV29" i="15"/>
  <c r="AV35" i="15"/>
  <c r="AV37" i="15"/>
  <c r="AV19" i="15"/>
  <c r="AV31" i="15"/>
  <c r="AV22" i="15"/>
  <c r="AV23" i="15"/>
  <c r="AS23" i="15"/>
  <c r="AS25" i="15"/>
  <c r="AS28" i="15"/>
  <c r="AS21" i="15"/>
  <c r="AS30" i="15"/>
  <c r="AS20" i="15"/>
  <c r="AS37" i="15"/>
  <c r="AS32" i="15"/>
  <c r="AS36" i="15"/>
  <c r="AS24" i="15"/>
  <c r="AS27" i="15"/>
  <c r="AS29" i="15"/>
  <c r="AS26" i="15"/>
  <c r="AS22" i="15"/>
  <c r="AS38" i="15"/>
  <c r="AS31" i="15"/>
  <c r="AS33" i="15"/>
  <c r="AS19" i="15"/>
  <c r="AS35" i="15"/>
  <c r="AS34" i="15"/>
  <c r="BV23" i="15"/>
  <c r="BV29" i="15"/>
  <c r="BV28" i="15"/>
  <c r="BV38" i="15"/>
  <c r="BV35" i="15"/>
  <c r="BV33" i="15"/>
  <c r="BV32" i="15"/>
  <c r="BV22" i="15"/>
  <c r="BV20" i="15"/>
  <c r="BV19" i="15"/>
  <c r="BV30" i="15"/>
  <c r="BV34" i="15"/>
  <c r="BV36" i="15"/>
  <c r="BV25" i="15"/>
  <c r="BV37" i="15"/>
  <c r="BV26" i="15"/>
  <c r="BV21" i="15"/>
  <c r="BV31" i="15"/>
  <c r="BV24" i="15"/>
  <c r="BV27" i="15"/>
  <c r="BO31" i="15"/>
  <c r="BO25" i="15"/>
  <c r="BO35" i="15"/>
  <c r="BO24" i="15"/>
  <c r="BO34" i="15"/>
  <c r="BO36" i="15"/>
  <c r="BO32" i="15"/>
  <c r="BO22" i="15"/>
  <c r="BO20" i="15"/>
  <c r="BO26" i="15"/>
  <c r="BO28" i="15"/>
  <c r="BO23" i="15"/>
  <c r="BO33" i="15"/>
  <c r="BO21" i="15"/>
  <c r="BO30" i="15"/>
  <c r="BO19" i="15"/>
  <c r="BO38" i="15"/>
  <c r="BO29" i="15"/>
  <c r="BO37" i="15"/>
  <c r="BO27" i="15"/>
  <c r="BQ29" i="15"/>
  <c r="BQ30" i="15"/>
  <c r="BQ31" i="15"/>
  <c r="BQ36" i="15"/>
  <c r="BQ22" i="15"/>
  <c r="BQ24" i="15"/>
  <c r="BQ20" i="15"/>
  <c r="BQ23" i="15"/>
  <c r="BQ28" i="15"/>
  <c r="BQ33" i="15"/>
  <c r="BQ26" i="15"/>
  <c r="BQ21" i="15"/>
  <c r="BQ37" i="15"/>
  <c r="BQ19" i="15"/>
  <c r="BQ38" i="15"/>
  <c r="BQ25" i="15"/>
  <c r="BQ35" i="15"/>
  <c r="BQ27" i="15"/>
  <c r="BQ32" i="15"/>
  <c r="BQ34" i="15"/>
  <c r="BT20" i="15"/>
  <c r="BT24" i="15"/>
  <c r="BT30" i="15"/>
  <c r="BT28" i="15"/>
  <c r="BT21" i="15"/>
  <c r="BT38" i="15"/>
  <c r="BT31" i="15"/>
  <c r="BT33" i="15"/>
  <c r="BT22" i="15"/>
  <c r="BT23" i="15"/>
  <c r="BT37" i="15"/>
  <c r="BT19" i="15"/>
  <c r="BT25" i="15"/>
  <c r="BT29" i="15"/>
  <c r="BT35" i="15"/>
  <c r="BT32" i="15"/>
  <c r="BT26" i="15"/>
  <c r="BT36" i="15"/>
  <c r="BT27" i="15"/>
  <c r="BT34" i="15"/>
  <c r="BY35" i="15"/>
  <c r="BY34" i="15"/>
  <c r="BY24" i="15"/>
  <c r="BY29" i="15"/>
  <c r="BY20" i="15"/>
  <c r="BY31" i="15"/>
  <c r="BY23" i="15"/>
  <c r="BY19" i="15"/>
  <c r="BY21" i="15"/>
  <c r="BY37" i="15"/>
  <c r="BY22" i="15"/>
  <c r="BY30" i="15"/>
  <c r="BY28" i="15"/>
  <c r="BY33" i="15"/>
  <c r="BY38" i="15"/>
  <c r="BY26" i="15"/>
  <c r="BY25" i="15"/>
  <c r="BY32" i="15"/>
  <c r="BY27" i="15"/>
  <c r="BY36" i="15"/>
  <c r="BK8" i="16"/>
  <c r="BM7" i="16"/>
  <c r="AH24" i="15"/>
  <c r="AH34" i="15"/>
  <c r="AH27" i="15"/>
  <c r="AH32" i="15"/>
  <c r="AH38" i="15"/>
  <c r="AH23" i="15"/>
  <c r="AH37" i="15"/>
  <c r="AH26" i="15"/>
  <c r="AH31" i="15"/>
  <c r="AH20" i="15"/>
  <c r="AH22" i="15"/>
  <c r="AH33" i="15"/>
  <c r="AH21" i="15"/>
  <c r="AH30" i="15"/>
  <c r="AH35" i="15"/>
  <c r="AH29" i="15"/>
  <c r="AH36" i="15"/>
  <c r="AH28" i="15"/>
  <c r="AH25" i="15"/>
  <c r="AH19" i="15"/>
  <c r="AI25" i="15"/>
  <c r="AI34" i="15"/>
  <c r="AI23" i="15"/>
  <c r="AI20" i="15"/>
  <c r="AI31" i="15"/>
  <c r="AI26" i="15"/>
  <c r="AI28" i="15"/>
  <c r="AI38" i="15"/>
  <c r="AI19" i="15"/>
  <c r="AI24" i="15"/>
  <c r="AI27" i="15"/>
  <c r="AI32" i="15"/>
  <c r="AI21" i="15"/>
  <c r="AI35" i="15"/>
  <c r="AI37" i="15"/>
  <c r="AI29" i="15"/>
  <c r="AI36" i="15"/>
  <c r="AI22" i="15"/>
  <c r="AI30" i="15"/>
  <c r="AI33" i="15"/>
  <c r="AK36" i="15"/>
  <c r="AK30" i="15"/>
  <c r="AK33" i="15"/>
  <c r="AK23" i="15"/>
  <c r="AK24" i="15"/>
  <c r="AK25" i="15"/>
  <c r="AK29" i="15"/>
  <c r="AK26" i="15"/>
  <c r="AK22" i="15"/>
  <c r="AK28" i="15"/>
  <c r="AK31" i="15"/>
  <c r="AK20" i="15"/>
  <c r="AK34" i="15"/>
  <c r="AK19" i="15"/>
  <c r="AK38" i="15"/>
  <c r="AK35" i="15"/>
  <c r="AK37" i="15"/>
  <c r="AK27" i="15"/>
  <c r="AK21" i="15"/>
  <c r="AK32" i="15"/>
  <c r="AD34" i="15"/>
  <c r="AD31" i="15"/>
  <c r="AD28" i="15"/>
  <c r="AD24" i="15"/>
  <c r="AD37" i="15"/>
  <c r="AD30" i="15"/>
  <c r="AD36" i="15"/>
  <c r="AD23" i="15"/>
  <c r="AD25" i="15"/>
  <c r="AD33" i="15"/>
  <c r="AD19" i="15"/>
  <c r="AD38" i="15"/>
  <c r="AD21" i="15"/>
  <c r="AD27" i="15"/>
  <c r="AD26" i="15"/>
  <c r="AD22" i="15"/>
  <c r="AD20" i="15"/>
  <c r="AD35" i="15"/>
  <c r="AD29" i="15"/>
  <c r="AD32" i="15"/>
  <c r="K22" i="21"/>
  <c r="O15" i="1"/>
  <c r="P21" i="18"/>
  <c r="BO41" i="15"/>
  <c r="BN41" i="15"/>
  <c r="BR41" i="15"/>
  <c r="BS41" i="15"/>
  <c r="BU41" i="15"/>
  <c r="BV41" i="15"/>
  <c r="BQ41" i="15"/>
  <c r="BP41" i="15"/>
  <c r="BY41" i="15"/>
  <c r="BW41" i="15"/>
  <c r="BT41" i="15"/>
  <c r="BX41" i="15"/>
  <c r="AI44" i="15"/>
  <c r="AM41" i="15"/>
  <c r="AC44" i="15"/>
  <c r="AM44" i="15"/>
  <c r="BC16" i="15"/>
  <c r="BK16" i="15"/>
  <c r="BL16" i="15"/>
  <c r="BE16" i="15"/>
  <c r="BJ16" i="15"/>
  <c r="BH16" i="15"/>
  <c r="BD16" i="15"/>
  <c r="BA16" i="15"/>
  <c r="BF16" i="15"/>
  <c r="BI16" i="15"/>
  <c r="BG16" i="15"/>
  <c r="BB16" i="15"/>
  <c r="L16" i="21"/>
  <c r="M16" i="21"/>
  <c r="BD33" i="15"/>
  <c r="BD36" i="15"/>
  <c r="BD20" i="15"/>
  <c r="BD27" i="15"/>
  <c r="BD23" i="15"/>
  <c r="BD35" i="15"/>
  <c r="BD38" i="15"/>
  <c r="BD22" i="15"/>
  <c r="BD19" i="15"/>
  <c r="BD24" i="15"/>
  <c r="BD30" i="15"/>
  <c r="BD34" i="15"/>
  <c r="BD26" i="15"/>
  <c r="BD32" i="15"/>
  <c r="BD31" i="15"/>
  <c r="BD29" i="15"/>
  <c r="BD21" i="15"/>
  <c r="BD37" i="15"/>
  <c r="BD25" i="15"/>
  <c r="BD28" i="15"/>
  <c r="BI20" i="15"/>
  <c r="BI22" i="15"/>
  <c r="BI24" i="15"/>
  <c r="BI31" i="15"/>
  <c r="BI35" i="15"/>
  <c r="BI37" i="15"/>
  <c r="BI36" i="15"/>
  <c r="BI19" i="15"/>
  <c r="BI38" i="15"/>
  <c r="BI25" i="15"/>
  <c r="BI34" i="15"/>
  <c r="BI30" i="15"/>
  <c r="BI32" i="15"/>
  <c r="BI33" i="15"/>
  <c r="BI28" i="15"/>
  <c r="BI21" i="15"/>
  <c r="BI27" i="15"/>
  <c r="BI29" i="15"/>
  <c r="BI23" i="15"/>
  <c r="BI26" i="15"/>
  <c r="L18" i="21"/>
  <c r="M18" i="21"/>
  <c r="M23" i="21"/>
  <c r="L23" i="21"/>
  <c r="AO20" i="13"/>
  <c r="AN20" i="13"/>
  <c r="AT20" i="13"/>
  <c r="AW20" i="13"/>
  <c r="AP20" i="13"/>
  <c r="AM20" i="13"/>
  <c r="AQ20" i="13"/>
  <c r="AU20" i="13"/>
  <c r="AX20" i="13"/>
  <c r="AS20" i="13"/>
  <c r="AR20" i="13"/>
  <c r="AV20" i="13"/>
  <c r="AN21" i="15"/>
  <c r="AN33" i="15"/>
  <c r="AN26" i="15"/>
  <c r="AN36" i="15"/>
  <c r="AN35" i="15"/>
  <c r="AN37" i="15"/>
  <c r="AN25" i="15"/>
  <c r="AN22" i="15"/>
  <c r="AN34" i="15"/>
  <c r="AN23" i="15"/>
  <c r="AN32" i="15"/>
  <c r="AN28" i="15"/>
  <c r="AN24" i="15"/>
  <c r="AN20" i="15"/>
  <c r="AN27" i="15"/>
  <c r="AN31" i="15"/>
  <c r="AN38" i="15"/>
  <c r="AN29" i="15"/>
  <c r="AN19" i="15"/>
  <c r="AN30" i="15"/>
  <c r="AU22" i="15"/>
  <c r="AU26" i="15"/>
  <c r="AU19" i="15"/>
  <c r="AU38" i="15"/>
  <c r="AU36" i="15"/>
  <c r="AU27" i="15"/>
  <c r="AU31" i="15"/>
  <c r="AU33" i="15"/>
  <c r="AU20" i="15"/>
  <c r="AU25" i="15"/>
  <c r="AU29" i="15"/>
  <c r="AU28" i="15"/>
  <c r="AU23" i="15"/>
  <c r="AU32" i="15"/>
  <c r="AU34" i="15"/>
  <c r="AU35" i="15"/>
  <c r="AU24" i="15"/>
  <c r="AU30" i="15"/>
  <c r="AU21" i="15"/>
  <c r="AU37" i="15"/>
  <c r="M17" i="21"/>
  <c r="L17" i="21"/>
  <c r="BX37" i="15"/>
  <c r="BX29" i="15"/>
  <c r="BX38" i="15"/>
  <c r="BX32" i="15"/>
  <c r="BX20" i="15"/>
  <c r="BX25" i="15"/>
  <c r="BX34" i="15"/>
  <c r="BX31" i="15"/>
  <c r="BX33" i="15"/>
  <c r="BX19" i="15"/>
  <c r="BX35" i="15"/>
  <c r="BX22" i="15"/>
  <c r="BX23" i="15"/>
  <c r="BX26" i="15"/>
  <c r="BX21" i="15"/>
  <c r="BX24" i="15"/>
  <c r="BX27" i="15"/>
  <c r="BX28" i="15"/>
  <c r="BX30" i="15"/>
  <c r="BX36" i="15"/>
  <c r="BP23" i="15"/>
  <c r="BP34" i="15"/>
  <c r="BP30" i="15"/>
  <c r="BP36" i="15"/>
  <c r="BP22" i="15"/>
  <c r="BP21" i="15"/>
  <c r="BP35" i="15"/>
  <c r="BP27" i="15"/>
  <c r="BP20" i="15"/>
  <c r="BP31" i="15"/>
  <c r="BP38" i="15"/>
  <c r="BP28" i="15"/>
  <c r="BP29" i="15"/>
  <c r="BP26" i="15"/>
  <c r="BP32" i="15"/>
  <c r="BP25" i="15"/>
  <c r="BP37" i="15"/>
  <c r="BP33" i="15"/>
  <c r="BP19" i="15"/>
  <c r="BP24" i="15"/>
  <c r="K20" i="21"/>
  <c r="G15" i="1"/>
  <c r="BC30" i="15"/>
  <c r="BC36" i="15"/>
  <c r="BC31" i="15"/>
  <c r="BC20" i="15"/>
  <c r="BC23" i="15"/>
  <c r="BC27" i="15"/>
  <c r="BC25" i="15"/>
  <c r="BC24" i="15"/>
  <c r="BC21" i="15"/>
  <c r="BC29" i="15"/>
  <c r="BC33" i="15"/>
  <c r="BC19" i="15"/>
  <c r="BC34" i="15"/>
  <c r="BC37" i="15"/>
  <c r="BC22" i="15"/>
  <c r="BC35" i="15"/>
  <c r="BC26" i="15"/>
  <c r="BC38" i="15"/>
  <c r="BC32" i="15"/>
  <c r="BC28" i="15"/>
  <c r="AP16" i="15"/>
  <c r="AX16" i="15"/>
  <c r="AV16" i="15"/>
  <c r="AO16" i="15"/>
  <c r="AW16" i="15"/>
  <c r="AQ16" i="15"/>
  <c r="AR16" i="15"/>
  <c r="AU16" i="15"/>
  <c r="AN16" i="15"/>
  <c r="AY16" i="15"/>
  <c r="AS16" i="15"/>
  <c r="AT16" i="15"/>
  <c r="Q18" i="15"/>
  <c r="N18" i="15"/>
  <c r="X18" i="15"/>
  <c r="Z29" i="15"/>
  <c r="J29" i="15" s="1"/>
  <c r="Y18" i="15"/>
  <c r="Z30" i="15"/>
  <c r="J30" i="15" s="1"/>
  <c r="Z35" i="15"/>
  <c r="J35" i="15" s="1"/>
  <c r="Z25" i="15"/>
  <c r="J25" i="15" s="1"/>
  <c r="Z21" i="15"/>
  <c r="J21" i="15" s="1"/>
  <c r="Z22" i="15"/>
  <c r="J22" i="15" s="1"/>
  <c r="J18" i="15"/>
  <c r="Z19" i="15"/>
  <c r="J19" i="15" s="1"/>
  <c r="T18" i="15"/>
  <c r="Z36" i="15"/>
  <c r="J36" i="15" s="1"/>
  <c r="Z26" i="15"/>
  <c r="J26" i="15" s="1"/>
  <c r="Z38" i="15"/>
  <c r="J38" i="15" s="1"/>
  <c r="Z37" i="15"/>
  <c r="J37" i="15" s="1"/>
  <c r="S18" i="15"/>
  <c r="U18" i="15"/>
  <c r="Z23" i="15"/>
  <c r="J23" i="15" s="1"/>
  <c r="Z32" i="15"/>
  <c r="J32" i="15" s="1"/>
  <c r="R18" i="15"/>
  <c r="O18" i="15"/>
  <c r="Z31" i="15"/>
  <c r="J31" i="15" s="1"/>
  <c r="Z28" i="15"/>
  <c r="J28" i="15" s="1"/>
  <c r="V18" i="15"/>
  <c r="Z33" i="15"/>
  <c r="J33" i="15" s="1"/>
  <c r="W18" i="15"/>
  <c r="P18" i="15"/>
  <c r="Z24" i="15"/>
  <c r="J24" i="15" s="1"/>
  <c r="Z27" i="15"/>
  <c r="J27" i="15" s="1"/>
  <c r="Z20" i="15"/>
  <c r="J20" i="15" s="1"/>
  <c r="Z34" i="15"/>
  <c r="J34" i="15" s="1"/>
  <c r="C15" i="1"/>
  <c r="K19" i="21"/>
  <c r="E10" i="7"/>
  <c r="AD16" i="15"/>
  <c r="AC16" i="15"/>
  <c r="AB16" i="15"/>
  <c r="AG16" i="15"/>
  <c r="AA16" i="15"/>
  <c r="AK16" i="15"/>
  <c r="AJ16" i="15"/>
  <c r="AE16" i="15"/>
  <c r="AH16" i="15"/>
  <c r="AL16" i="15"/>
  <c r="AI16" i="15"/>
  <c r="AF16" i="15"/>
  <c r="AQ21" i="15"/>
  <c r="AQ35" i="15"/>
  <c r="AQ34" i="15"/>
  <c r="AQ20" i="15"/>
  <c r="AQ25" i="15"/>
  <c r="AQ24" i="15"/>
  <c r="AQ33" i="15"/>
  <c r="AQ38" i="15"/>
  <c r="AQ32" i="15"/>
  <c r="AQ26" i="15"/>
  <c r="AQ36" i="15"/>
  <c r="AQ19" i="15"/>
  <c r="AQ29" i="15"/>
  <c r="AQ27" i="15"/>
  <c r="AQ30" i="15"/>
  <c r="AQ23" i="15"/>
  <c r="AQ22" i="15"/>
  <c r="AQ31" i="15"/>
  <c r="AQ37" i="15"/>
  <c r="AQ28" i="15"/>
  <c r="AY29" i="15"/>
  <c r="AY33" i="15"/>
  <c r="AY22" i="15"/>
  <c r="AY35" i="15"/>
  <c r="AY38" i="15"/>
  <c r="AY28" i="15"/>
  <c r="AY30" i="15"/>
  <c r="AY23" i="15"/>
  <c r="AY31" i="15"/>
  <c r="AY27" i="15"/>
  <c r="AY24" i="15"/>
  <c r="AY32" i="15"/>
  <c r="AY21" i="15"/>
  <c r="AY36" i="15"/>
  <c r="AY37" i="15"/>
  <c r="AY20" i="15"/>
  <c r="AY34" i="15"/>
  <c r="AY26" i="15"/>
  <c r="AY25" i="15"/>
  <c r="AY19" i="15"/>
  <c r="AA30" i="15"/>
  <c r="AA20" i="15"/>
  <c r="AA19" i="15"/>
  <c r="AA23" i="15"/>
  <c r="AA31" i="15"/>
  <c r="AA36" i="15"/>
  <c r="AA22" i="15"/>
  <c r="AA37" i="15"/>
  <c r="AA28" i="15"/>
  <c r="AA34" i="15"/>
  <c r="AA32" i="15"/>
  <c r="AA29" i="15"/>
  <c r="AA21" i="15"/>
  <c r="AA27" i="15"/>
  <c r="AA25" i="15"/>
  <c r="AA33" i="15"/>
  <c r="AA38" i="15"/>
  <c r="AA24" i="15"/>
  <c r="AA35" i="15"/>
  <c r="AA26" i="15"/>
  <c r="AB33" i="15"/>
  <c r="AB31" i="15"/>
  <c r="AB20" i="15"/>
  <c r="AB38" i="15"/>
  <c r="AB30" i="15"/>
  <c r="AB36" i="15"/>
  <c r="AB23" i="15"/>
  <c r="AB24" i="15"/>
  <c r="AB34" i="15"/>
  <c r="AB25" i="15"/>
  <c r="AB32" i="15"/>
  <c r="AB21" i="15"/>
  <c r="AB22" i="15"/>
  <c r="AB28" i="15"/>
  <c r="AB27" i="15"/>
  <c r="AB35" i="15"/>
  <c r="AB19" i="15"/>
  <c r="AB26" i="15"/>
  <c r="AB37" i="15"/>
  <c r="AB29" i="15"/>
  <c r="BL7" i="16"/>
  <c r="BJ8" i="16"/>
  <c r="BI8" i="16"/>
  <c r="BK7" i="16"/>
  <c r="BK19" i="15"/>
  <c r="BK22" i="15"/>
  <c r="BK23" i="15"/>
  <c r="BK30" i="15"/>
  <c r="BK37" i="15"/>
  <c r="BK29" i="15"/>
  <c r="BK26" i="15"/>
  <c r="BK36" i="15"/>
  <c r="BK34" i="15"/>
  <c r="BK35" i="15"/>
  <c r="BK27" i="15"/>
  <c r="BK33" i="15"/>
  <c r="BK24" i="15"/>
  <c r="BK31" i="15"/>
  <c r="BK32" i="15"/>
  <c r="BK21" i="15"/>
  <c r="BK38" i="15"/>
  <c r="BK28" i="15"/>
  <c r="BK20" i="15"/>
  <c r="BK25" i="15"/>
  <c r="BF32" i="15"/>
  <c r="BF27" i="15"/>
  <c r="BF34" i="15"/>
  <c r="BF28" i="15"/>
  <c r="BF25" i="15"/>
  <c r="BF37" i="15"/>
  <c r="BF24" i="15"/>
  <c r="BF23" i="15"/>
  <c r="BF19" i="15"/>
  <c r="BF22" i="15"/>
  <c r="BF33" i="15"/>
  <c r="BF20" i="15"/>
  <c r="BF29" i="15"/>
  <c r="BF31" i="15"/>
  <c r="BF30" i="15"/>
  <c r="BF21" i="15"/>
  <c r="BF38" i="15"/>
  <c r="BF36" i="15"/>
  <c r="BF35" i="15"/>
  <c r="BF26" i="15"/>
  <c r="J46" i="13"/>
  <c r="AD20" i="13"/>
  <c r="AF20" i="13"/>
  <c r="AG20" i="13"/>
  <c r="AI20" i="13"/>
  <c r="AB20" i="13"/>
  <c r="AE20" i="13"/>
  <c r="AC20" i="13"/>
  <c r="AK20" i="13"/>
  <c r="Z20" i="13"/>
  <c r="AH20" i="13"/>
  <c r="AA20" i="13"/>
  <c r="AJ20" i="13"/>
  <c r="AR21" i="15"/>
  <c r="AR26" i="15"/>
  <c r="AR19" i="15"/>
  <c r="AR31" i="15"/>
  <c r="AR33" i="15"/>
  <c r="AR37" i="15"/>
  <c r="AR27" i="15"/>
  <c r="AR25" i="15"/>
  <c r="AR29" i="15"/>
  <c r="AR35" i="15"/>
  <c r="AR23" i="15"/>
  <c r="AR38" i="15"/>
  <c r="AR36" i="15"/>
  <c r="AR30" i="15"/>
  <c r="AR24" i="15"/>
  <c r="AR28" i="15"/>
  <c r="AR34" i="15"/>
  <c r="AR32" i="15"/>
  <c r="AR20" i="15"/>
  <c r="AR22" i="15"/>
  <c r="AW36" i="15"/>
  <c r="AW37" i="15"/>
  <c r="AW26" i="15"/>
  <c r="AW38" i="15"/>
  <c r="AW24" i="15"/>
  <c r="AW34" i="15"/>
  <c r="AW27" i="15"/>
  <c r="AW22" i="15"/>
  <c r="AW30" i="15"/>
  <c r="AW32" i="15"/>
  <c r="AW28" i="15"/>
  <c r="AW33" i="15"/>
  <c r="AW23" i="15"/>
  <c r="AW31" i="15"/>
  <c r="AW21" i="15"/>
  <c r="AW29" i="15"/>
  <c r="AW35" i="15"/>
  <c r="AW19" i="15"/>
  <c r="AW20" i="15"/>
  <c r="AW25" i="15"/>
  <c r="AX38" i="15"/>
  <c r="AX22" i="15"/>
  <c r="AX20" i="15"/>
  <c r="AX21" i="15"/>
  <c r="AX30" i="15"/>
  <c r="AX25" i="15"/>
  <c r="AX37" i="15"/>
  <c r="AX33" i="15"/>
  <c r="AX27" i="15"/>
  <c r="AX29" i="15"/>
  <c r="AX32" i="15"/>
  <c r="AX24" i="15"/>
  <c r="AX31" i="15"/>
  <c r="AX28" i="15"/>
  <c r="AX34" i="15"/>
  <c r="AX36" i="15"/>
  <c r="AX35" i="15"/>
  <c r="AX19" i="15"/>
  <c r="AX23" i="15"/>
  <c r="AX26" i="15"/>
  <c r="AP29" i="15"/>
  <c r="AP38" i="15"/>
  <c r="AP23" i="15"/>
  <c r="AP30" i="15"/>
  <c r="AP33" i="15"/>
  <c r="AP27" i="15"/>
  <c r="AP36" i="15"/>
  <c r="AP32" i="15"/>
  <c r="AP26" i="15"/>
  <c r="AP28" i="15"/>
  <c r="AP35" i="15"/>
  <c r="AP24" i="15"/>
  <c r="AP37" i="15"/>
  <c r="AP34" i="15"/>
  <c r="AP25" i="15"/>
  <c r="AP21" i="15"/>
  <c r="AP31" i="15"/>
  <c r="AP20" i="15"/>
  <c r="AP22" i="15"/>
  <c r="AP19" i="15"/>
  <c r="BR24" i="15"/>
  <c r="BR36" i="15"/>
  <c r="BR29" i="15"/>
  <c r="BR26" i="15"/>
  <c r="BR35" i="15"/>
  <c r="BR30" i="15"/>
  <c r="BR34" i="15"/>
  <c r="BR37" i="15"/>
  <c r="BR20" i="15"/>
  <c r="BR25" i="15"/>
  <c r="BR22" i="15"/>
  <c r="BR38" i="15"/>
  <c r="BR32" i="15"/>
  <c r="BR31" i="15"/>
  <c r="BR23" i="15"/>
  <c r="BR19" i="15"/>
  <c r="BR27" i="15"/>
  <c r="BR33" i="15"/>
  <c r="BR28" i="15"/>
  <c r="BR21" i="15"/>
  <c r="BW28" i="15"/>
  <c r="BW22" i="15"/>
  <c r="BW25" i="15"/>
  <c r="BW20" i="15"/>
  <c r="BW33" i="15"/>
  <c r="BW37" i="15"/>
  <c r="BW27" i="15"/>
  <c r="BW31" i="15"/>
  <c r="BW24" i="15"/>
  <c r="BW38" i="15"/>
  <c r="BW19" i="15"/>
  <c r="BW29" i="15"/>
  <c r="BW32" i="15"/>
  <c r="BW34" i="15"/>
  <c r="BW26" i="15"/>
  <c r="BW23" i="15"/>
  <c r="BW30" i="15"/>
  <c r="BW35" i="15"/>
  <c r="BW21" i="15"/>
  <c r="BW36" i="15"/>
  <c r="AL35" i="15"/>
  <c r="AL23" i="15"/>
  <c r="AL26" i="15"/>
  <c r="AL24" i="15"/>
  <c r="AL27" i="15"/>
  <c r="AL20" i="15"/>
  <c r="AL31" i="15"/>
  <c r="AL21" i="15"/>
  <c r="AL33" i="15"/>
  <c r="AL30" i="15"/>
  <c r="AL36" i="15"/>
  <c r="AL29" i="15"/>
  <c r="AL37" i="15"/>
  <c r="AL32" i="15"/>
  <c r="AL19" i="15"/>
  <c r="AL38" i="15"/>
  <c r="AL28" i="15"/>
  <c r="AL25" i="15"/>
  <c r="AL22" i="15"/>
  <c r="AL34" i="15"/>
  <c r="AG38" i="15"/>
  <c r="AG28" i="15"/>
  <c r="AG26" i="15"/>
  <c r="AG35" i="15"/>
  <c r="AG20" i="15"/>
  <c r="AG30" i="15"/>
  <c r="AG19" i="15"/>
  <c r="AG32" i="15"/>
  <c r="AG31" i="15"/>
  <c r="AG33" i="15"/>
  <c r="AG37" i="15"/>
  <c r="AG24" i="15"/>
  <c r="AG23" i="15"/>
  <c r="AG22" i="15"/>
  <c r="AG27" i="15"/>
  <c r="AG25" i="15"/>
  <c r="AG34" i="15"/>
  <c r="AG36" i="15"/>
  <c r="AG29" i="15"/>
  <c r="AG21" i="15"/>
  <c r="AC23" i="15"/>
  <c r="AC30" i="15"/>
  <c r="AC37" i="15"/>
  <c r="AC32" i="15"/>
  <c r="AC35" i="15"/>
  <c r="AC21" i="15"/>
  <c r="AC28" i="15"/>
  <c r="AC19" i="15"/>
  <c r="AC36" i="15"/>
  <c r="AC29" i="15"/>
  <c r="AC34" i="15"/>
  <c r="AC22" i="15"/>
  <c r="AC24" i="15"/>
  <c r="AC20" i="15"/>
  <c r="AC27" i="15"/>
  <c r="AC26" i="15"/>
  <c r="AC33" i="15"/>
  <c r="AC25" i="15"/>
  <c r="AC38" i="15"/>
  <c r="AC31" i="15"/>
  <c r="AE35" i="15"/>
  <c r="AE26" i="15"/>
  <c r="AE21" i="15"/>
  <c r="AE19" i="15"/>
  <c r="AE27" i="15"/>
  <c r="AE33" i="15"/>
  <c r="AE25" i="15"/>
  <c r="AE23" i="15"/>
  <c r="AE29" i="15"/>
  <c r="AE34" i="15"/>
  <c r="AE24" i="15"/>
  <c r="AE22" i="15"/>
  <c r="AE30" i="15"/>
  <c r="AE37" i="15"/>
  <c r="AE32" i="15"/>
  <c r="AE36" i="15"/>
  <c r="AE28" i="15"/>
  <c r="AE31" i="15"/>
  <c r="AE20" i="15"/>
  <c r="AE38" i="15"/>
  <c r="AJ22" i="15"/>
  <c r="AJ26" i="15"/>
  <c r="AJ27" i="15"/>
  <c r="AJ36" i="15"/>
  <c r="AJ38" i="15"/>
  <c r="AJ28" i="15"/>
  <c r="AJ31" i="15"/>
  <c r="AJ20" i="15"/>
  <c r="AJ34" i="15"/>
  <c r="AJ19" i="15"/>
  <c r="AJ33" i="15"/>
  <c r="AJ37" i="15"/>
  <c r="AJ25" i="15"/>
  <c r="AJ23" i="15"/>
  <c r="AJ32" i="15"/>
  <c r="AJ21" i="15"/>
  <c r="AJ30" i="15"/>
  <c r="AJ24" i="15"/>
  <c r="AJ29" i="15"/>
  <c r="AJ35" i="15"/>
  <c r="BM44" i="15"/>
  <c r="BI44" i="15"/>
  <c r="BC44" i="15"/>
  <c r="BM41" i="15"/>
  <c r="BJ7" i="16"/>
  <c r="BH8" i="16"/>
  <c r="BE7" i="16"/>
  <c r="BD8" i="16"/>
  <c r="BF7" i="16"/>
  <c r="BC8" i="16"/>
  <c r="S17" i="1"/>
  <c r="R18" i="1"/>
  <c r="O14" i="1"/>
  <c r="N17" i="1"/>
  <c r="K27" i="21"/>
  <c r="BE20" i="15"/>
  <c r="BE38" i="15"/>
  <c r="BE28" i="15"/>
  <c r="BE30" i="15"/>
  <c r="BE21" i="15"/>
  <c r="BE36" i="15"/>
  <c r="BE31" i="15"/>
  <c r="BE22" i="15"/>
  <c r="BE24" i="15"/>
  <c r="BE27" i="15"/>
  <c r="BE33" i="15"/>
  <c r="BE29" i="15"/>
  <c r="BE23" i="15"/>
  <c r="BE37" i="15"/>
  <c r="BE32" i="15"/>
  <c r="BE34" i="15"/>
  <c r="BE35" i="15"/>
  <c r="BE19" i="15"/>
  <c r="BE26" i="15"/>
  <c r="BE25" i="15"/>
  <c r="BA25" i="15"/>
  <c r="BA30" i="15"/>
  <c r="BA23" i="15"/>
  <c r="BA21" i="15"/>
  <c r="BA20" i="15"/>
  <c r="BA28" i="15"/>
  <c r="BA33" i="15"/>
  <c r="BA32" i="15"/>
  <c r="BA37" i="15"/>
  <c r="BA34" i="15"/>
  <c r="BA22" i="15"/>
  <c r="BA27" i="15"/>
  <c r="BA26" i="15"/>
  <c r="BA31" i="15"/>
  <c r="BA24" i="15"/>
  <c r="BA35" i="15"/>
  <c r="BA36" i="15"/>
  <c r="BA38" i="15"/>
  <c r="BA29" i="15"/>
  <c r="BA19" i="15"/>
  <c r="BL38" i="15"/>
  <c r="BL21" i="15"/>
  <c r="BL29" i="15"/>
  <c r="BL32" i="15"/>
  <c r="BL22" i="15"/>
  <c r="BL25" i="15"/>
  <c r="BL37" i="15"/>
  <c r="BL20" i="15"/>
  <c r="BL23" i="15"/>
  <c r="BL34" i="15"/>
  <c r="BL36" i="15"/>
  <c r="BL26" i="15"/>
  <c r="BL19" i="15"/>
  <c r="BL24" i="15"/>
  <c r="BL33" i="15"/>
  <c r="BL27" i="15"/>
  <c r="BL28" i="15"/>
  <c r="BL30" i="15"/>
  <c r="BL31" i="15"/>
  <c r="BL35" i="15"/>
  <c r="J17" i="1"/>
  <c r="K14" i="1"/>
  <c r="K26" i="21"/>
  <c r="N27" i="2"/>
  <c r="O26" i="2"/>
  <c r="L27" i="21" l="1"/>
  <c r="M27" i="21"/>
  <c r="W22" i="15"/>
  <c r="W33" i="15"/>
  <c r="W36" i="15"/>
  <c r="W27" i="15"/>
  <c r="W30" i="15"/>
  <c r="W19" i="15"/>
  <c r="W20" i="15"/>
  <c r="W31" i="15"/>
  <c r="W24" i="15"/>
  <c r="W38" i="15"/>
  <c r="W26" i="15"/>
  <c r="W25" i="15"/>
  <c r="W37" i="15"/>
  <c r="W35" i="15"/>
  <c r="W34" i="15"/>
  <c r="W23" i="15"/>
  <c r="W32" i="15"/>
  <c r="W28" i="15"/>
  <c r="W21" i="15"/>
  <c r="W29" i="15"/>
  <c r="AC41" i="15"/>
  <c r="AD41" i="15"/>
  <c r="AA41" i="15"/>
  <c r="AL41" i="15"/>
  <c r="AF41" i="15"/>
  <c r="AI41" i="15"/>
  <c r="AJ41" i="15"/>
  <c r="AK41" i="15"/>
  <c r="AE41" i="15"/>
  <c r="AG41" i="15"/>
  <c r="AB41" i="15"/>
  <c r="AH41" i="15"/>
  <c r="BW43" i="15"/>
  <c r="BW42" i="15"/>
  <c r="BW45" i="15"/>
  <c r="BW40" i="15"/>
  <c r="BN45" i="15"/>
  <c r="BN42" i="15"/>
  <c r="BN43" i="15"/>
  <c r="BN40" i="15"/>
  <c r="AX41" i="15"/>
  <c r="AS41" i="15"/>
  <c r="AU41" i="15"/>
  <c r="AY41" i="15"/>
  <c r="AQ41" i="15"/>
  <c r="AP41" i="15"/>
  <c r="AV41" i="15"/>
  <c r="AW41" i="15"/>
  <c r="AR41" i="15"/>
  <c r="AO41" i="15"/>
  <c r="AN41" i="15"/>
  <c r="AT41" i="15"/>
  <c r="L24" i="21"/>
  <c r="M24" i="21"/>
  <c r="O17" i="1"/>
  <c r="N18" i="1"/>
  <c r="X29" i="15"/>
  <c r="X35" i="15"/>
  <c r="X27" i="15"/>
  <c r="X21" i="15"/>
  <c r="X26" i="15"/>
  <c r="X37" i="15"/>
  <c r="X22" i="15"/>
  <c r="X32" i="15"/>
  <c r="X36" i="15"/>
  <c r="X23" i="15"/>
  <c r="X34" i="15"/>
  <c r="X30" i="15"/>
  <c r="X25" i="15"/>
  <c r="X28" i="15"/>
  <c r="X31" i="15"/>
  <c r="X20" i="15"/>
  <c r="X24" i="15"/>
  <c r="X33" i="15"/>
  <c r="X38" i="15"/>
  <c r="X19" i="15"/>
  <c r="BY40" i="15"/>
  <c r="BY45" i="15"/>
  <c r="BY43" i="15"/>
  <c r="BY42" i="15"/>
  <c r="BO43" i="15"/>
  <c r="BO45" i="15"/>
  <c r="BO40" i="15"/>
  <c r="BO42" i="15"/>
  <c r="V20" i="15"/>
  <c r="V37" i="15"/>
  <c r="V25" i="15"/>
  <c r="V33" i="15"/>
  <c r="V19" i="15"/>
  <c r="V27" i="15"/>
  <c r="V31" i="15"/>
  <c r="V26" i="15"/>
  <c r="V36" i="15"/>
  <c r="V22" i="15"/>
  <c r="V35" i="15"/>
  <c r="V32" i="15"/>
  <c r="V34" i="15"/>
  <c r="V28" i="15"/>
  <c r="V30" i="15"/>
  <c r="V24" i="15"/>
  <c r="V23" i="15"/>
  <c r="V38" i="15"/>
  <c r="V29" i="15"/>
  <c r="V21" i="15"/>
  <c r="R33" i="15"/>
  <c r="R36" i="15"/>
  <c r="R32" i="15"/>
  <c r="R28" i="15"/>
  <c r="R38" i="15"/>
  <c r="R22" i="15"/>
  <c r="R20" i="15"/>
  <c r="R35" i="15"/>
  <c r="R31" i="15"/>
  <c r="R37" i="15"/>
  <c r="R21" i="15"/>
  <c r="R34" i="15"/>
  <c r="R23" i="15"/>
  <c r="R26" i="15"/>
  <c r="R30" i="15"/>
  <c r="R29" i="15"/>
  <c r="R25" i="15"/>
  <c r="R27" i="15"/>
  <c r="R19" i="15"/>
  <c r="R24" i="15"/>
  <c r="S35" i="15"/>
  <c r="S24" i="15"/>
  <c r="S36" i="15"/>
  <c r="S26" i="15"/>
  <c r="S38" i="15"/>
  <c r="S20" i="15"/>
  <c r="S23" i="15"/>
  <c r="S33" i="15"/>
  <c r="S22" i="15"/>
  <c r="S31" i="15"/>
  <c r="S28" i="15"/>
  <c r="S21" i="15"/>
  <c r="S37" i="15"/>
  <c r="S19" i="15"/>
  <c r="S30" i="15"/>
  <c r="S32" i="15"/>
  <c r="S25" i="15"/>
  <c r="S27" i="15"/>
  <c r="S34" i="15"/>
  <c r="S29" i="15"/>
  <c r="N29" i="15"/>
  <c r="N19" i="15"/>
  <c r="N30" i="15"/>
  <c r="N28" i="15"/>
  <c r="N22" i="15"/>
  <c r="N32" i="15"/>
  <c r="N20" i="15"/>
  <c r="N36" i="15"/>
  <c r="N35" i="15"/>
  <c r="N24" i="15"/>
  <c r="N33" i="15"/>
  <c r="N21" i="15"/>
  <c r="N26" i="15"/>
  <c r="N25" i="15"/>
  <c r="N27" i="15"/>
  <c r="N38" i="15"/>
  <c r="N34" i="15"/>
  <c r="N23" i="15"/>
  <c r="N31" i="15"/>
  <c r="N37" i="15"/>
  <c r="BX42" i="15"/>
  <c r="BX43" i="15"/>
  <c r="BX45" i="15"/>
  <c r="BX40" i="15"/>
  <c r="BP45" i="15"/>
  <c r="BP42" i="15"/>
  <c r="BP40" i="15"/>
  <c r="BP43" i="15"/>
  <c r="BS45" i="15"/>
  <c r="BS43" i="15"/>
  <c r="BS42" i="15"/>
  <c r="BS40" i="15"/>
  <c r="P22" i="18"/>
  <c r="O45" i="18"/>
  <c r="T41" i="15"/>
  <c r="M43" i="15"/>
  <c r="P41" i="15"/>
  <c r="S41" i="15"/>
  <c r="N41" i="15"/>
  <c r="Q41" i="15"/>
  <c r="M45" i="15"/>
  <c r="V41" i="15"/>
  <c r="Y41" i="15"/>
  <c r="X41" i="15"/>
  <c r="U41" i="15"/>
  <c r="M42" i="15"/>
  <c r="W41" i="15"/>
  <c r="J41" i="15"/>
  <c r="M44" i="15"/>
  <c r="O41" i="15"/>
  <c r="R41" i="15"/>
  <c r="BV45" i="15"/>
  <c r="BV40" i="15"/>
  <c r="BV43" i="15"/>
  <c r="BV42" i="15"/>
  <c r="L22" i="21"/>
  <c r="M22" i="21"/>
  <c r="G17" i="1"/>
  <c r="F18" i="1"/>
  <c r="I12" i="5"/>
  <c r="I13" i="5"/>
  <c r="L26" i="21"/>
  <c r="M26" i="21"/>
  <c r="L19" i="21"/>
  <c r="M19" i="21"/>
  <c r="O31" i="15"/>
  <c r="O24" i="15"/>
  <c r="O32" i="15"/>
  <c r="O30" i="15"/>
  <c r="O34" i="15"/>
  <c r="O25" i="15"/>
  <c r="O29" i="15"/>
  <c r="O38" i="15"/>
  <c r="O35" i="15"/>
  <c r="O28" i="15"/>
  <c r="O20" i="15"/>
  <c r="O27" i="15"/>
  <c r="O23" i="15"/>
  <c r="O33" i="15"/>
  <c r="O26" i="15"/>
  <c r="O22" i="15"/>
  <c r="O37" i="15"/>
  <c r="O19" i="15"/>
  <c r="O36" i="15"/>
  <c r="O21" i="15"/>
  <c r="U19" i="15"/>
  <c r="U29" i="15"/>
  <c r="U32" i="15"/>
  <c r="U38" i="15"/>
  <c r="U23" i="15"/>
  <c r="U37" i="15"/>
  <c r="U24" i="15"/>
  <c r="U28" i="15"/>
  <c r="U25" i="15"/>
  <c r="U26" i="15"/>
  <c r="U20" i="15"/>
  <c r="U33" i="15"/>
  <c r="U30" i="15"/>
  <c r="U35" i="15"/>
  <c r="U21" i="15"/>
  <c r="U34" i="15"/>
  <c r="U27" i="15"/>
  <c r="U36" i="15"/>
  <c r="U22" i="15"/>
  <c r="U31" i="15"/>
  <c r="L20" i="21"/>
  <c r="M20" i="21"/>
  <c r="BU43" i="15"/>
  <c r="BU40" i="15"/>
  <c r="BU42" i="15"/>
  <c r="BU45" i="15"/>
  <c r="L14" i="21"/>
  <c r="M14" i="21"/>
  <c r="C17" i="1"/>
  <c r="B18" i="1"/>
  <c r="K17" i="1"/>
  <c r="J18" i="1"/>
  <c r="H2" i="17"/>
  <c r="S18" i="1"/>
  <c r="BK41" i="15"/>
  <c r="BD41" i="15"/>
  <c r="BG41" i="15"/>
  <c r="BL41" i="15"/>
  <c r="BA41" i="15"/>
  <c r="BF41" i="15"/>
  <c r="BH41" i="15"/>
  <c r="BE41" i="15"/>
  <c r="BB41" i="15"/>
  <c r="BI41" i="15"/>
  <c r="BC41" i="15"/>
  <c r="BJ41" i="15"/>
  <c r="P34" i="15"/>
  <c r="P24" i="15"/>
  <c r="P23" i="15"/>
  <c r="P38" i="15"/>
  <c r="P21" i="15"/>
  <c r="P36" i="15"/>
  <c r="P25" i="15"/>
  <c r="P28" i="15"/>
  <c r="P29" i="15"/>
  <c r="P30" i="15"/>
  <c r="P19" i="15"/>
  <c r="P31" i="15"/>
  <c r="P27" i="15"/>
  <c r="P35" i="15"/>
  <c r="P22" i="15"/>
  <c r="P20" i="15"/>
  <c r="P32" i="15"/>
  <c r="P37" i="15"/>
  <c r="P33" i="15"/>
  <c r="P26" i="15"/>
  <c r="T28" i="15"/>
  <c r="T21" i="15"/>
  <c r="T34" i="15"/>
  <c r="T20" i="15"/>
  <c r="T23" i="15"/>
  <c r="T35" i="15"/>
  <c r="T19" i="15"/>
  <c r="T26" i="15"/>
  <c r="T31" i="15"/>
  <c r="T37" i="15"/>
  <c r="T32" i="15"/>
  <c r="T22" i="15"/>
  <c r="T36" i="15"/>
  <c r="T27" i="15"/>
  <c r="T25" i="15"/>
  <c r="T33" i="15"/>
  <c r="T30" i="15"/>
  <c r="T29" i="15"/>
  <c r="T24" i="15"/>
  <c r="T38" i="15"/>
  <c r="Y33" i="15"/>
  <c r="Y24" i="15"/>
  <c r="Y31" i="15"/>
  <c r="Y32" i="15"/>
  <c r="Y37" i="15"/>
  <c r="Y21" i="15"/>
  <c r="Y34" i="15"/>
  <c r="Y30" i="15"/>
  <c r="Y23" i="15"/>
  <c r="Y36" i="15"/>
  <c r="Y28" i="15"/>
  <c r="Y35" i="15"/>
  <c r="Y19" i="15"/>
  <c r="Y38" i="15"/>
  <c r="Y26" i="15"/>
  <c r="Y29" i="15"/>
  <c r="Y20" i="15"/>
  <c r="Y22" i="15"/>
  <c r="Y27" i="15"/>
  <c r="Y25" i="15"/>
  <c r="Q34" i="15"/>
  <c r="Q37" i="15"/>
  <c r="Q31" i="15"/>
  <c r="Q38" i="15"/>
  <c r="Q29" i="15"/>
  <c r="Q23" i="15"/>
  <c r="Q21" i="15"/>
  <c r="Q27" i="15"/>
  <c r="Q20" i="15"/>
  <c r="Q22" i="15"/>
  <c r="Q24" i="15"/>
  <c r="Q30" i="15"/>
  <c r="Q25" i="15"/>
  <c r="Q36" i="15"/>
  <c r="Q33" i="15"/>
  <c r="Q35" i="15"/>
  <c r="Q26" i="15"/>
  <c r="Q19" i="15"/>
  <c r="Q28" i="15"/>
  <c r="Q32" i="15"/>
  <c r="BT42" i="15"/>
  <c r="BT40" i="15"/>
  <c r="BT43" i="15"/>
  <c r="BT45" i="15"/>
  <c r="BQ45" i="15"/>
  <c r="BQ42" i="15"/>
  <c r="BQ40" i="15"/>
  <c r="BQ43" i="15"/>
  <c r="BR45" i="15"/>
  <c r="BR42" i="15"/>
  <c r="BR40" i="15"/>
  <c r="BR43" i="15"/>
  <c r="M25" i="21"/>
  <c r="L25" i="21"/>
  <c r="L21" i="21"/>
  <c r="M21" i="21"/>
  <c r="P27" i="2"/>
  <c r="BF43" i="15" l="1"/>
  <c r="BF45" i="15"/>
  <c r="BF40" i="15"/>
  <c r="BF42" i="15"/>
  <c r="BD42" i="15"/>
  <c r="BD40" i="15"/>
  <c r="BD45" i="15"/>
  <c r="BD43" i="15"/>
  <c r="AO43" i="15"/>
  <c r="AO45" i="15"/>
  <c r="AO40" i="15"/>
  <c r="AO42" i="15"/>
  <c r="AS43" i="15"/>
  <c r="AS45" i="15"/>
  <c r="AS40" i="15"/>
  <c r="AS42" i="15"/>
  <c r="AI42" i="15"/>
  <c r="AI43" i="15"/>
  <c r="AI40" i="15"/>
  <c r="AI45" i="15"/>
  <c r="BA43" i="15"/>
  <c r="BA42" i="15"/>
  <c r="BA45" i="15"/>
  <c r="BA40" i="15"/>
  <c r="Q40" i="15"/>
  <c r="Q42" i="15"/>
  <c r="Q45" i="15"/>
  <c r="Q43" i="15"/>
  <c r="AQ45" i="15"/>
  <c r="AQ43" i="15"/>
  <c r="AQ40" i="15"/>
  <c r="AQ42" i="15"/>
  <c r="AE42" i="15"/>
  <c r="AE43" i="15"/>
  <c r="AE45" i="15"/>
  <c r="AE40" i="15"/>
  <c r="AC45" i="15"/>
  <c r="AC42" i="15"/>
  <c r="AC43" i="15"/>
  <c r="AC40" i="15"/>
  <c r="BJ42" i="15"/>
  <c r="BJ45" i="15"/>
  <c r="BJ40" i="15"/>
  <c r="BJ43" i="15"/>
  <c r="BE42" i="15"/>
  <c r="BE45" i="15"/>
  <c r="BE40" i="15"/>
  <c r="BE43" i="15"/>
  <c r="BL42" i="15"/>
  <c r="BL45" i="15"/>
  <c r="BL43" i="15"/>
  <c r="BL40" i="15"/>
  <c r="E7" i="7"/>
  <c r="B20" i="1"/>
  <c r="C18" i="1"/>
  <c r="D2" i="17"/>
  <c r="E8" i="7"/>
  <c r="E2" i="17"/>
  <c r="G18" i="1"/>
  <c r="R42" i="15"/>
  <c r="R45" i="15"/>
  <c r="R40" i="15"/>
  <c r="R43" i="15"/>
  <c r="W42" i="15"/>
  <c r="W45" i="15"/>
  <c r="W43" i="15"/>
  <c r="W40" i="15"/>
  <c r="Y45" i="15"/>
  <c r="Y43" i="15"/>
  <c r="Y40" i="15"/>
  <c r="Y42" i="15"/>
  <c r="N42" i="15"/>
  <c r="N43" i="15"/>
  <c r="N45" i="15"/>
  <c r="N40" i="15"/>
  <c r="T42" i="15"/>
  <c r="T45" i="15"/>
  <c r="T40" i="15"/>
  <c r="T43" i="15"/>
  <c r="G2" i="17"/>
  <c r="O18" i="1"/>
  <c r="AT40" i="15"/>
  <c r="AT45" i="15"/>
  <c r="AT43" i="15"/>
  <c r="AT42" i="15"/>
  <c r="AW40" i="15"/>
  <c r="AW43" i="15"/>
  <c r="AW42" i="15"/>
  <c r="AW45" i="15"/>
  <c r="AY40" i="15"/>
  <c r="AY43" i="15"/>
  <c r="AY45" i="15"/>
  <c r="AY42" i="15"/>
  <c r="AH42" i="15"/>
  <c r="AH45" i="15"/>
  <c r="AH40" i="15"/>
  <c r="AH43" i="15"/>
  <c r="AK40" i="15"/>
  <c r="AK42" i="15"/>
  <c r="AK45" i="15"/>
  <c r="AK43" i="15"/>
  <c r="AL42" i="15"/>
  <c r="AL45" i="15"/>
  <c r="AL43" i="15"/>
  <c r="AL40" i="15"/>
  <c r="BI45" i="15"/>
  <c r="BI40" i="15"/>
  <c r="BI43" i="15"/>
  <c r="BI42" i="15"/>
  <c r="K18" i="1"/>
  <c r="F2" i="17"/>
  <c r="C3" i="8"/>
  <c r="C4" i="8"/>
  <c r="U43" i="15"/>
  <c r="U40" i="15"/>
  <c r="U42" i="15"/>
  <c r="U45" i="15"/>
  <c r="P42" i="15"/>
  <c r="P43" i="15"/>
  <c r="P45" i="15"/>
  <c r="P40" i="15"/>
  <c r="AP40" i="15"/>
  <c r="AP42" i="15"/>
  <c r="AP43" i="15"/>
  <c r="AP45" i="15"/>
  <c r="AG43" i="15"/>
  <c r="AG40" i="15"/>
  <c r="AG45" i="15"/>
  <c r="AG42" i="15"/>
  <c r="AD40" i="15"/>
  <c r="AD45" i="15"/>
  <c r="AD42" i="15"/>
  <c r="AD43" i="15"/>
  <c r="BB42" i="15"/>
  <c r="BB40" i="15"/>
  <c r="BB43" i="15"/>
  <c r="BB45" i="15"/>
  <c r="BK43" i="15"/>
  <c r="BK40" i="15"/>
  <c r="BK45" i="15"/>
  <c r="BK42" i="15"/>
  <c r="X45" i="15"/>
  <c r="X40" i="15"/>
  <c r="X42" i="15"/>
  <c r="X43" i="15"/>
  <c r="O44" i="18"/>
  <c r="P23" i="18"/>
  <c r="AR42" i="15"/>
  <c r="AR40" i="15"/>
  <c r="AR43" i="15"/>
  <c r="AR45" i="15"/>
  <c r="AX40" i="15"/>
  <c r="AX43" i="15"/>
  <c r="AX45" i="15"/>
  <c r="AX42" i="15"/>
  <c r="AF45" i="15"/>
  <c r="AF43" i="15"/>
  <c r="AF42" i="15"/>
  <c r="AF40" i="15"/>
  <c r="BC40" i="15"/>
  <c r="BC43" i="15"/>
  <c r="BC42" i="15"/>
  <c r="BC45" i="15"/>
  <c r="BH40" i="15"/>
  <c r="BH45" i="15"/>
  <c r="BH43" i="15"/>
  <c r="BH42" i="15"/>
  <c r="BG45" i="15"/>
  <c r="BG40" i="15"/>
  <c r="BG42" i="15"/>
  <c r="BG43" i="15"/>
  <c r="H3" i="17"/>
  <c r="H4" i="17" s="1"/>
  <c r="O42" i="15"/>
  <c r="O43" i="15"/>
  <c r="O45" i="15"/>
  <c r="O40" i="15"/>
  <c r="V45" i="15"/>
  <c r="V43" i="15"/>
  <c r="V40" i="15"/>
  <c r="V42" i="15"/>
  <c r="S43" i="15"/>
  <c r="S40" i="15"/>
  <c r="S45" i="15"/>
  <c r="S42" i="15"/>
  <c r="Q21" i="18"/>
  <c r="AN45" i="15"/>
  <c r="AN42" i="15"/>
  <c r="AN40" i="15"/>
  <c r="AN43" i="15"/>
  <c r="AV42" i="15"/>
  <c r="AV43" i="15"/>
  <c r="AV45" i="15"/>
  <c r="AV40" i="15"/>
  <c r="AU40" i="15"/>
  <c r="AU43" i="15"/>
  <c r="AU45" i="15"/>
  <c r="AU42" i="15"/>
  <c r="AB40" i="15"/>
  <c r="AB43" i="15"/>
  <c r="AB45" i="15"/>
  <c r="AB42" i="15"/>
  <c r="AJ40" i="15"/>
  <c r="AJ42" i="15"/>
  <c r="AJ45" i="15"/>
  <c r="AJ43" i="15"/>
  <c r="AA43" i="15"/>
  <c r="AA40" i="15"/>
  <c r="AA42" i="15"/>
  <c r="AA45" i="15"/>
  <c r="D3" i="17" l="1"/>
  <c r="D9" i="17" s="1"/>
  <c r="D4" i="17"/>
  <c r="G3" i="17"/>
  <c r="G4" i="17" s="1"/>
  <c r="H9" i="17"/>
  <c r="E3" i="17"/>
  <c r="E4" i="17" s="1"/>
  <c r="P45" i="18"/>
  <c r="Q22" i="18"/>
  <c r="F3" i="17"/>
  <c r="F4" i="17"/>
  <c r="F9" i="17" s="1"/>
  <c r="E11" i="7"/>
  <c r="E12" i="7" s="1"/>
  <c r="H12" i="7" s="1"/>
  <c r="Q23" i="18" l="1"/>
  <c r="P44" i="18"/>
  <c r="G9" i="17"/>
  <c r="E9" i="17"/>
  <c r="C11" i="17" s="1"/>
  <c r="R21" i="18"/>
  <c r="R22" i="18" l="1"/>
  <c r="S21" i="18"/>
  <c r="Q45" i="18"/>
  <c r="R45" i="18" l="1"/>
  <c r="S22" i="18"/>
  <c r="R23" i="18"/>
  <c r="Q44" i="18"/>
  <c r="R44" i="18" l="1"/>
  <c r="S23" i="18"/>
  <c r="T21" i="18"/>
  <c r="S45" i="18" l="1"/>
  <c r="T22" i="18"/>
  <c r="U21" i="18" s="1"/>
  <c r="T45" i="18" l="1"/>
  <c r="U22" i="18"/>
  <c r="V21" i="18" s="1"/>
  <c r="S44" i="18"/>
  <c r="T23" i="18"/>
  <c r="U45" i="18" l="1"/>
  <c r="V22" i="18"/>
  <c r="U23" i="18"/>
  <c r="T44" i="18"/>
  <c r="V23" i="18" l="1"/>
  <c r="U44" i="18"/>
  <c r="W21" i="18"/>
  <c r="V45" i="18" l="1"/>
  <c r="W22" i="18"/>
  <c r="V44" i="18" l="1"/>
  <c r="W23" i="18"/>
  <c r="X21" i="18"/>
  <c r="W45" i="18" l="1"/>
  <c r="X22" i="18"/>
  <c r="X23" i="18" l="1"/>
  <c r="W44" i="18"/>
  <c r="Y21" i="18"/>
  <c r="X45" i="18" l="1"/>
  <c r="Y22" i="18"/>
  <c r="Z21" i="18"/>
  <c r="Y45" i="18" l="1"/>
  <c r="Z22" i="18"/>
  <c r="X44" i="18"/>
  <c r="Y23" i="18"/>
  <c r="Y44" i="18" l="1"/>
  <c r="Z23" i="18"/>
  <c r="AA21" i="18"/>
  <c r="Z45" i="18" l="1"/>
  <c r="AA22" i="18"/>
  <c r="Z44" i="18" l="1"/>
  <c r="AA23" i="18"/>
  <c r="AC21" i="18"/>
  <c r="AA45" i="18" l="1"/>
  <c r="AC22" i="18"/>
  <c r="AC23" i="18" l="1"/>
  <c r="AA44" i="18"/>
  <c r="AD21" i="18"/>
  <c r="AB45" i="18" l="1"/>
  <c r="AD22" i="18"/>
  <c r="AB44" i="18" l="1"/>
  <c r="AD23" i="18"/>
  <c r="AE21" i="18"/>
  <c r="AC45" i="18" l="1"/>
  <c r="AE22" i="18"/>
  <c r="AE23" i="18" l="1"/>
  <c r="AC44" i="18"/>
  <c r="AF21" i="18"/>
  <c r="AD45" i="18" l="1"/>
  <c r="AF22" i="18"/>
  <c r="AD44" i="18" l="1"/>
  <c r="AF23" i="18"/>
  <c r="AG21" i="18"/>
  <c r="AE45" i="18" l="1"/>
  <c r="AG22" i="18"/>
  <c r="AE44" i="18" l="1"/>
  <c r="AG23" i="18"/>
  <c r="AH21" i="18"/>
  <c r="AH22" i="18" l="1"/>
  <c r="AI21" i="18"/>
  <c r="AF45" i="18"/>
  <c r="AI22" i="18" l="1"/>
  <c r="AJ21" i="18" s="1"/>
  <c r="AG45" i="18"/>
  <c r="AF44" i="18"/>
  <c r="AH23" i="18"/>
  <c r="AH45" i="18" l="1"/>
  <c r="AJ22" i="18"/>
  <c r="AI23" i="18"/>
  <c r="AG44" i="18"/>
  <c r="AH44" i="18" l="1"/>
  <c r="AJ23" i="18"/>
  <c r="AK21" i="18"/>
  <c r="AK22" i="18" l="1"/>
  <c r="AI45" i="18"/>
  <c r="AL21" i="18"/>
  <c r="AL22" i="18" l="1"/>
  <c r="AM21" i="18"/>
  <c r="AJ45" i="18"/>
  <c r="AK23" i="18"/>
  <c r="AI44" i="18"/>
  <c r="AK45" i="18" l="1"/>
  <c r="AM22" i="18"/>
  <c r="AJ44" i="18"/>
  <c r="AL23" i="18"/>
  <c r="AM23" i="18" l="1"/>
  <c r="AK44" i="18"/>
  <c r="AN21" i="18"/>
  <c r="AL45" i="18" l="1"/>
  <c r="AN22" i="18"/>
  <c r="AN23" i="18" l="1"/>
  <c r="AL44" i="18"/>
  <c r="AP21" i="18"/>
  <c r="AM45" i="18" l="1"/>
  <c r="AP22" i="18"/>
  <c r="AM44" i="18" l="1"/>
  <c r="AP23" i="18"/>
  <c r="AQ21" i="18"/>
  <c r="AN45" i="18" l="1"/>
  <c r="AQ22" i="18"/>
  <c r="AN44" i="18" l="1"/>
  <c r="AQ23" i="18"/>
  <c r="AR21" i="18"/>
  <c r="AR22" i="18" l="1"/>
  <c r="AO45" i="18"/>
  <c r="AR23" i="18" l="1"/>
  <c r="AO44" i="18"/>
  <c r="AS21" i="18"/>
  <c r="AP45" i="18" l="1"/>
  <c r="AS22" i="18"/>
  <c r="AS23" i="18" l="1"/>
  <c r="AP44" i="18"/>
  <c r="AT21" i="18"/>
  <c r="AQ45" i="18" l="1"/>
  <c r="AT22" i="18"/>
  <c r="AQ44" i="18" l="1"/>
  <c r="AT23" i="18"/>
  <c r="AU21" i="18"/>
  <c r="AU22" i="18" l="1"/>
  <c r="AV21" i="18"/>
  <c r="AR45" i="18"/>
  <c r="AS45" i="18" l="1"/>
  <c r="AV22" i="18"/>
  <c r="AR44" i="18"/>
  <c r="AU23" i="18"/>
  <c r="AV23" i="18" l="1"/>
  <c r="AS44" i="18"/>
  <c r="AW21" i="18"/>
  <c r="AT45" i="18" l="1"/>
  <c r="AW22" i="18"/>
  <c r="AW23" i="18" l="1"/>
  <c r="AT44" i="18"/>
  <c r="AX21" i="18"/>
  <c r="AX22" i="18" l="1"/>
  <c r="AU45" i="18"/>
  <c r="AY21" i="18"/>
  <c r="AY22" i="18" l="1"/>
  <c r="AZ21" i="18"/>
  <c r="AV45" i="18"/>
  <c r="AU44" i="18"/>
  <c r="AX23" i="18"/>
  <c r="AW45" i="18" l="1"/>
  <c r="AZ22" i="18"/>
  <c r="AV44" i="18"/>
  <c r="AY23" i="18"/>
  <c r="AZ23" i="18" l="1"/>
  <c r="AW44" i="18"/>
  <c r="BA21" i="18"/>
  <c r="AX45" i="18" l="1"/>
  <c r="BA22" i="18"/>
  <c r="BA23" i="18" l="1"/>
  <c r="AX44" i="18"/>
  <c r="BC21" i="18"/>
  <c r="AY45" i="18" l="1"/>
  <c r="BC22" i="18"/>
  <c r="AY44" i="18" l="1"/>
  <c r="BC23" i="18"/>
  <c r="BD21" i="18"/>
  <c r="AZ45" i="18" l="1"/>
  <c r="BD22" i="18"/>
  <c r="AZ44" i="18" l="1"/>
  <c r="BD23" i="18"/>
  <c r="BE21" i="18"/>
  <c r="BA45" i="18" l="1"/>
  <c r="BE22" i="18"/>
  <c r="BA44" i="18" l="1"/>
  <c r="BE23" i="18"/>
  <c r="BF21" i="18"/>
  <c r="BB45" i="18" l="1"/>
  <c r="BF22" i="18"/>
  <c r="BF23" i="18" l="1"/>
  <c r="BB44" i="18"/>
  <c r="BG21" i="18"/>
  <c r="BC45" i="18" l="1"/>
  <c r="BG22" i="18"/>
  <c r="BC44" i="18" l="1"/>
  <c r="BG23" i="18"/>
  <c r="BH21" i="18"/>
  <c r="BD45" i="18" l="1"/>
  <c r="BH22" i="18"/>
  <c r="BD44" i="18" l="1"/>
  <c r="BH23" i="18"/>
  <c r="BI21" i="18"/>
  <c r="BE45" i="18" l="1"/>
  <c r="BI22" i="18"/>
  <c r="BE44" i="18" l="1"/>
  <c r="BI23" i="18"/>
  <c r="BJ21" i="18"/>
  <c r="BF45" i="18" l="1"/>
  <c r="BJ22" i="18"/>
  <c r="BJ23" i="18" l="1"/>
  <c r="BF44" i="18"/>
  <c r="BK21" i="18"/>
  <c r="BG45" i="18" l="1"/>
  <c r="BK22" i="18"/>
  <c r="BG44" i="18" l="1"/>
  <c r="BK23" i="18"/>
  <c r="BL21" i="18"/>
  <c r="BL23" i="18" s="1"/>
</calcChain>
</file>

<file path=xl/sharedStrings.xml><?xml version="1.0" encoding="utf-8"?>
<sst xmlns="http://schemas.openxmlformats.org/spreadsheetml/2006/main" count="1755" uniqueCount="724">
  <si>
    <t>Business</t>
  </si>
  <si>
    <t>Gross Profit</t>
  </si>
  <si>
    <t>Operating Profit</t>
  </si>
  <si>
    <t>%</t>
  </si>
  <si>
    <t>FY1</t>
  </si>
  <si>
    <t>FY 2</t>
  </si>
  <si>
    <t>FY 3</t>
  </si>
  <si>
    <t>[Start-up]</t>
  </si>
  <si>
    <t>[Scale up]</t>
  </si>
  <si>
    <t>[Reach Potential]</t>
  </si>
  <si>
    <t>FN</t>
  </si>
  <si>
    <t>P&amp;G</t>
  </si>
  <si>
    <t>Inspiration</t>
  </si>
  <si>
    <t>Explain each footnote in detail and provide your sources.  You may need to guess at times - say it clearly.</t>
  </si>
  <si>
    <t>CASH FLOW STATEMENT</t>
  </si>
  <si>
    <t>OPERATING ACTIVITIES</t>
  </si>
  <si>
    <t>Month 1</t>
  </si>
  <si>
    <t>Month 2</t>
  </si>
  <si>
    <t>Month 3</t>
  </si>
  <si>
    <t>Month 4</t>
  </si>
  <si>
    <t>Month 5</t>
  </si>
  <si>
    <t>Month 6</t>
  </si>
  <si>
    <t>Month 7</t>
  </si>
  <si>
    <t>Month 8</t>
  </si>
  <si>
    <t>Month 9</t>
  </si>
  <si>
    <t>Month 10</t>
  </si>
  <si>
    <t>Month 11</t>
  </si>
  <si>
    <t>Month 12</t>
  </si>
  <si>
    <t>YEAR 1</t>
  </si>
  <si>
    <t>YEAR 2</t>
  </si>
  <si>
    <t>YEAR 3</t>
  </si>
  <si>
    <t>Net Earnings</t>
  </si>
  <si>
    <t>Depreciation</t>
  </si>
  <si>
    <t>Working Capital Changes</t>
  </si>
  <si>
    <t>(Increase)/Decrease Accounts Receivable</t>
  </si>
  <si>
    <t>(Increase)/Decrease Inventory</t>
  </si>
  <si>
    <t>(Increase)/Decrease Other Current Assets</t>
  </si>
  <si>
    <t>Increase.(Decrease) Accounts Payable</t>
  </si>
  <si>
    <t>Increase.(Decrease) Accrued Expenses</t>
  </si>
  <si>
    <t>Increase.(Decrease) Other Current Liabilities</t>
  </si>
  <si>
    <t>Operating Cash Flow</t>
  </si>
  <si>
    <t>INVESTING ACTIVITIES</t>
  </si>
  <si>
    <t>Property &amp; Equipment</t>
  </si>
  <si>
    <t>Other Net Cash Used in Investing Activities</t>
  </si>
  <si>
    <t>Investing Cash Flow</t>
  </si>
  <si>
    <t>FINANCING ACTIVITIES</t>
  </si>
  <si>
    <t>Cash Raised</t>
  </si>
  <si>
    <t>Financing Cash Flow</t>
  </si>
  <si>
    <t>INCREASE/(DECREASE) IN CASH</t>
  </si>
  <si>
    <t>+ CASH AT BEGINNING OF PERIOD</t>
  </si>
  <si>
    <t>= CASH AT END OF PERIOD</t>
  </si>
  <si>
    <t>Cash paid suppliers of inventory</t>
  </si>
  <si>
    <t>Cash received from customers</t>
  </si>
  <si>
    <t>Cash paid to employees</t>
  </si>
  <si>
    <t>Cash paid to other suppliers</t>
  </si>
  <si>
    <t xml:space="preserve"> </t>
  </si>
  <si>
    <t>ASSETS</t>
  </si>
  <si>
    <t>Date</t>
  </si>
  <si>
    <t>Cash</t>
  </si>
  <si>
    <t>Inventory</t>
  </si>
  <si>
    <t>Fixed Assets</t>
  </si>
  <si>
    <t>Check Figures</t>
  </si>
  <si>
    <r>
      <rPr>
        <i/>
        <u/>
        <sz val="12"/>
        <color theme="1"/>
        <rFont val="Calibri (Body)"/>
      </rPr>
      <t>Direct</t>
    </r>
    <r>
      <rPr>
        <i/>
        <sz val="12"/>
        <color theme="1"/>
        <rFont val="Calibri"/>
        <family val="2"/>
        <scheme val="minor"/>
      </rPr>
      <t xml:space="preserve"> Method Operating Section:</t>
    </r>
  </si>
  <si>
    <r>
      <rPr>
        <i/>
        <u/>
        <sz val="12"/>
        <color theme="1"/>
        <rFont val="Calibri (Body)"/>
      </rPr>
      <t>Indirect</t>
    </r>
    <r>
      <rPr>
        <i/>
        <sz val="12"/>
        <color theme="1"/>
        <rFont val="Calibri"/>
        <family val="2"/>
        <scheme val="minor"/>
      </rPr>
      <t xml:space="preserve"> Method Operating Section:</t>
    </r>
  </si>
  <si>
    <t>Accounts Receivable</t>
  </si>
  <si>
    <t>Supplier Pre-payments</t>
  </si>
  <si>
    <t>CURRENT ASSETS</t>
  </si>
  <si>
    <t>(Accumulated Depreciation)</t>
  </si>
  <si>
    <t>TOTAL ASSETS</t>
  </si>
  <si>
    <t>LIABILITIES &amp; EQUITY</t>
  </si>
  <si>
    <t>Accounts Payable</t>
  </si>
  <si>
    <t>Accrued Expenses</t>
  </si>
  <si>
    <t>Deferred Revenue</t>
  </si>
  <si>
    <t>CURRENT LIABILITIES</t>
  </si>
  <si>
    <t>Long-term Debt</t>
  </si>
  <si>
    <t>Common Stock</t>
  </si>
  <si>
    <t>Retained Earnings</t>
  </si>
  <si>
    <t>TOTAL LIABILITIES &amp; EQUITY</t>
  </si>
  <si>
    <t>Transaction</t>
  </si>
  <si>
    <t>Net Revenues</t>
  </si>
  <si>
    <t>Cost of Goods Sold</t>
  </si>
  <si>
    <t>segment</t>
  </si>
  <si>
    <t>FY 2021/22</t>
  </si>
  <si>
    <t>BETA-X</t>
  </si>
  <si>
    <t xml:space="preserve">                    </t>
  </si>
  <si>
    <t>OR:</t>
  </si>
  <si>
    <t>Although not a deliverable, it helps all learning group members when the team members envisions one group of transactions after the other and captures each of them.</t>
  </si>
  <si>
    <t>This is a learning project.  The financial projections -part tends to work best if a student without a finance background volunteers to do it.  The same is true for the other team functions.</t>
  </si>
  <si>
    <t>For this reason, the following tabs are: BSE, Income Statement &amp; Cash Flow Statement.</t>
  </si>
  <si>
    <t>variable/fixed/mixed</t>
  </si>
  <si>
    <t>-</t>
  </si>
  <si>
    <t>Costs</t>
  </si>
  <si>
    <t xml:space="preserve">Use the information in the following video link  with Laura Thaman, P&amp;G Ventures, as guidelines: </t>
  </si>
  <si>
    <t xml:space="preserve">https://babson.webex.com/recordingservice/sites/babson/recording/5f21e11f0780103a937f00505681a6ea/playback (Links to an external site.) </t>
  </si>
  <si>
    <t>This video is part of the Entrepreneurship course.</t>
  </si>
  <si>
    <t>SOME TIPS</t>
  </si>
  <si>
    <t>ASSUMPTIONS</t>
  </si>
  <si>
    <t>for</t>
  </si>
  <si>
    <t>Break-even</t>
  </si>
  <si>
    <t>partial info</t>
  </si>
  <si>
    <t>whole</t>
  </si>
  <si>
    <t>company</t>
  </si>
  <si>
    <t>Company 1</t>
  </si>
  <si>
    <t>Company 2</t>
  </si>
  <si>
    <t>Adjust details, colors, etc. to fit your needs for an audience-friendly presentation.</t>
  </si>
  <si>
    <t>FOOTNOTES</t>
  </si>
  <si>
    <t>FORMAT</t>
  </si>
  <si>
    <t>Transparency is key.  Allow others to disagree with you, but never suspect that you are misleading them.</t>
  </si>
  <si>
    <t>SOME TIPS - READ FIRST</t>
  </si>
  <si>
    <t>For sales through a thrid-party distribution channel, assume that the wholesale price is 50% (half) of retail revenue, net.</t>
  </si>
  <si>
    <t xml:space="preserve">BETA-X: BSE </t>
  </si>
  <si>
    <r>
      <rPr>
        <b/>
        <u/>
        <sz val="12"/>
        <color theme="1"/>
        <rFont val="Calibri (Body)"/>
      </rPr>
      <t>Note</t>
    </r>
    <r>
      <rPr>
        <b/>
        <sz val="12"/>
        <color theme="1"/>
        <rFont val="Calibri"/>
        <family val="2"/>
        <scheme val="minor"/>
      </rPr>
      <t>: Insert as many columns for additional transactions as you need.  Remember to group transactions and focus on the big rocks, not the sand.</t>
    </r>
  </si>
  <si>
    <t>most relevant FY</t>
  </si>
  <si>
    <t xml:space="preserve">   Research &amp; Development</t>
  </si>
  <si>
    <t xml:space="preserve">   Advertising &amp; Promotion</t>
  </si>
  <si>
    <t xml:space="preserve">   Other Selling, General &amp; Administrative Expenses</t>
  </si>
  <si>
    <t>Operating Expenses</t>
  </si>
  <si>
    <t>FY 2020/21</t>
  </si>
  <si>
    <t>FY 2019/20</t>
  </si>
  <si>
    <t>FY 2018/19</t>
  </si>
  <si>
    <t>FY 2017/18</t>
  </si>
  <si>
    <r>
      <t xml:space="preserve">Complete the operating and investing sections in detail.  State the amount of cash raised in the financing section, so that you won't run out of cash </t>
    </r>
    <r>
      <rPr>
        <u/>
        <sz val="12"/>
        <color theme="1"/>
        <rFont val="Calibri (Body)"/>
      </rPr>
      <t>at any time</t>
    </r>
    <r>
      <rPr>
        <sz val="12"/>
        <color theme="1"/>
        <rFont val="Calibri"/>
        <family val="2"/>
        <scheme val="minor"/>
      </rPr>
      <t xml:space="preserve"> in the first three years, and go deeper in the Finance course in Mod 2.</t>
    </r>
  </si>
  <si>
    <r>
      <t xml:space="preserve">Use either the direct </t>
    </r>
    <r>
      <rPr>
        <u/>
        <sz val="12"/>
        <color theme="1"/>
        <rFont val="Calibri (Body)"/>
      </rPr>
      <t>or</t>
    </r>
    <r>
      <rPr>
        <sz val="12"/>
        <color theme="1"/>
        <rFont val="Calibri"/>
        <family val="2"/>
        <scheme val="minor"/>
      </rPr>
      <t xml:space="preserve"> indirect method.  </t>
    </r>
  </si>
  <si>
    <t>This part of  the BETA-X project is best performed by a learning group member, who does NOT have a background in Finance.</t>
  </si>
  <si>
    <t>Recommendation for the amount of cash, for which you will be pitching in your presentation: largest amount needed at any point in time + 30% (source: Len Green, The Entrepreneur's Playbook)</t>
  </si>
  <si>
    <t>1 month</t>
  </si>
  <si>
    <t>Assumptions</t>
  </si>
  <si>
    <t>Cost per unit</t>
  </si>
  <si>
    <t>Quantity per unit</t>
  </si>
  <si>
    <t>Main glove with waterproof, and outside soft cotton and robber</t>
  </si>
  <si>
    <t>Whole pack (glove + 24 swiffer units)</t>
  </si>
  <si>
    <t>24 swiffer units</t>
  </si>
  <si>
    <t>Year 1</t>
  </si>
  <si>
    <t>COGS per year</t>
  </si>
  <si>
    <t>Estimation of Units sold per year</t>
  </si>
  <si>
    <t>Year 2</t>
  </si>
  <si>
    <t>Year 3</t>
  </si>
  <si>
    <t>Units to sell</t>
  </si>
  <si>
    <t>Total per year</t>
  </si>
  <si>
    <t>Total COGS</t>
  </si>
  <si>
    <t>a) Cost of Good Sold Calculation</t>
  </si>
  <si>
    <t>*Product material cost (does not incluye Marketing, research, working force, etc):</t>
  </si>
  <si>
    <t>*Frequency used per month:</t>
  </si>
  <si>
    <t>*Cost of good solds</t>
  </si>
  <si>
    <t>Units to sell (Box)</t>
  </si>
  <si>
    <t>Units to sell (Glove)</t>
  </si>
  <si>
    <t>COGS Box</t>
  </si>
  <si>
    <t>COGS Glove</t>
  </si>
  <si>
    <t>3/4 X 25925</t>
  </si>
  <si>
    <t>1/4 X 25925</t>
  </si>
  <si>
    <t>2.95 X 19443</t>
  </si>
  <si>
    <t>1.97 X 6481</t>
  </si>
  <si>
    <t>Calculation</t>
  </si>
  <si>
    <t>Revenue Box</t>
  </si>
  <si>
    <t>Revenue Glove</t>
  </si>
  <si>
    <t>Total Revenue</t>
  </si>
  <si>
    <t>b) Net Revenues Calculation</t>
  </si>
  <si>
    <t>c) Operating Expenses</t>
  </si>
  <si>
    <t>% To consider per year</t>
  </si>
  <si>
    <t>Additional % per new launch</t>
  </si>
  <si>
    <t>GROUP 18</t>
  </si>
  <si>
    <t>Swiffer Glove</t>
  </si>
  <si>
    <t>d) ESG: The UN-SDG that your venture supports without hurting others</t>
  </si>
  <si>
    <t> e) ESG: How you are planning to measure accomplishing (d).</t>
  </si>
  <si>
    <t>#3 Good Health</t>
  </si>
  <si>
    <t>Measured by the number of households/business which have adopted our products per year, and number of households/business that have switched from harsch chemical-based cleaning products</t>
  </si>
  <si>
    <t>Saikeerthana Bobba, Melany Vargas, Abraham Guerrero, Vishnu Kariyattu, Surya Jayakumar</t>
  </si>
  <si>
    <t>Sam</t>
  </si>
  <si>
    <t>Willingness to pay</t>
  </si>
  <si>
    <t>Competitive meatreaurs</t>
  </si>
  <si>
    <t>Reconfiguration of the products</t>
  </si>
  <si>
    <t>Focus groups</t>
  </si>
  <si>
    <t>What we need to get there:</t>
  </si>
  <si>
    <t>How many people we need, what it makes to make a p and g project, add 15% for employee</t>
  </si>
  <si>
    <t>sell in a test market</t>
  </si>
  <si>
    <t xml:space="preserve">where can we test the market </t>
  </si>
  <si>
    <t>pick 1 local market</t>
  </si>
  <si>
    <t>need good feedback to scale up in y2</t>
  </si>
  <si>
    <t>y3 break even</t>
  </si>
  <si>
    <t>deliverying profits</t>
  </si>
  <si>
    <t>whats the test market</t>
  </si>
  <si>
    <t>why did we chose it</t>
  </si>
  <si>
    <t>that we have engineers and development people so that by end y1 we worked all</t>
  </si>
  <si>
    <t>y2 middle group scale up from test market to full market</t>
  </si>
  <si>
    <t>y3 start winning money</t>
  </si>
  <si>
    <t>More marging in the attachment</t>
  </si>
  <si>
    <t xml:space="preserve">*Retail will get the 50% of margin </t>
  </si>
  <si>
    <t xml:space="preserve">if you sell by 24, 12 is revenue, 6 is your cost </t>
  </si>
  <si>
    <t>merket size, how many units u selling. In y3 do a top down and a bottom up</t>
  </si>
  <si>
    <t>bottom up (decide in which region you want to be by end y3, you know which big box companies you are selling too, if you dont know how many stores they have in the area ask librarian with a mail) in order to sell them this quantity we need to sell in this frecuency to x costumers . every costumer come from the bottom up</t>
  </si>
  <si>
    <t>both in 1slide</t>
  </si>
  <si>
    <t>top down (show that too in same presentationif you need to sell 1000 in 1 store of target it is not gonna happen</t>
  </si>
  <si>
    <t>Advertising (promoting product, 12% in y3 but first two years estimate un USD you need to get product in market. Creative ways to make them to try it and define the cost)</t>
  </si>
  <si>
    <t xml:space="preserve">Salaries how much you want to make after graduation post graduation. Half of your salary + 50% for beneficts. </t>
  </si>
  <si>
    <t>Expected loss in year 1, potential loss y2, break even year 3</t>
  </si>
  <si>
    <t>investments: reconfiguration of machines</t>
  </si>
  <si>
    <t>COGS is glove that do other manufacturers</t>
  </si>
  <si>
    <t>where is the point in time where i needed the biggest ammout</t>
  </si>
  <si>
    <t>maybe when i start selling</t>
  </si>
  <si>
    <t>look for that point, amount i need, add 30% of that and is the initial investment (Lend green factor)</t>
  </si>
  <si>
    <t>you need to cover in y3 all you spent y1 y2</t>
  </si>
  <si>
    <t>WHAT I NEED</t>
  </si>
  <si>
    <t>Packaging and Overheads</t>
  </si>
  <si>
    <t>Estimation of Units sold per year ('000s)</t>
  </si>
  <si>
    <t>Glove Costs</t>
  </si>
  <si>
    <t>Packaging &amp; Overheads</t>
  </si>
  <si>
    <t>Paper costs</t>
  </si>
  <si>
    <t>Total Cost</t>
  </si>
  <si>
    <t>Cost per pack</t>
  </si>
  <si>
    <t>INCOME STATEMENT (in '000s)</t>
  </si>
  <si>
    <t>*Test Market is Illinois, which is 4% of US population</t>
  </si>
  <si>
    <t>**Test Market is Illinois,which is 4% of US population and 900k is the salary we expect</t>
  </si>
  <si>
    <t>Helps prevent wheezing, asthma attacks, allergies and other respiratory problems by removing the dust particles in oddly shaped surfaces</t>
  </si>
  <si>
    <t>Also helps prevent eczema and other skin-related health issues</t>
  </si>
  <si>
    <t>COGS Estimation</t>
  </si>
  <si>
    <t>Total</t>
  </si>
  <si>
    <t>Fixed Asset Costs for Wipes</t>
  </si>
  <si>
    <t>Cost per Machine</t>
  </si>
  <si>
    <t>Output</t>
  </si>
  <si>
    <t>Working hours</t>
  </si>
  <si>
    <t>Working Minutes</t>
  </si>
  <si>
    <t>Total Output</t>
  </si>
  <si>
    <t>packs/min</t>
  </si>
  <si>
    <t>Total Units sold in Y3</t>
  </si>
  <si>
    <t>Machines Required</t>
  </si>
  <si>
    <t>Estimated increase for shaped wipes</t>
  </si>
  <si>
    <t>Final Cost</t>
  </si>
  <si>
    <t>Investment Required</t>
  </si>
  <si>
    <t>Investment Ask</t>
  </si>
  <si>
    <t>All Expenses</t>
  </si>
  <si>
    <t>Len Green' Factor</t>
  </si>
  <si>
    <t>Selling Space</t>
  </si>
  <si>
    <t>Outlet Count</t>
  </si>
  <si>
    <t>Category</t>
  </si>
  <si>
    <t>Unit</t>
  </si>
  <si>
    <t>2016</t>
  </si>
  <si>
    <t>2017</t>
  </si>
  <si>
    <t>2018</t>
  </si>
  <si>
    <t>2019</t>
  </si>
  <si>
    <t>2020</t>
  </si>
  <si>
    <t>2021</t>
  </si>
  <si>
    <t>Discounters</t>
  </si>
  <si>
    <t>000 sq m</t>
  </si>
  <si>
    <t>outlet</t>
  </si>
  <si>
    <t>Hypermarkets</t>
  </si>
  <si>
    <t>Supermarkets</t>
  </si>
  <si>
    <t>Mass Merchandisers</t>
  </si>
  <si>
    <t>Warehouse Clubs</t>
  </si>
  <si>
    <t>Swiffer Revenues</t>
  </si>
  <si>
    <t>Approx revenue from big box</t>
  </si>
  <si>
    <t>Swiffer revenue from big box</t>
  </si>
  <si>
    <t>Total Sq. Meter of selling space</t>
  </si>
  <si>
    <t>Swiffer revenue per sq. meter</t>
  </si>
  <si>
    <t>Number of stores in Illinois</t>
  </si>
  <si>
    <t>Wipe Sales</t>
  </si>
  <si>
    <t>Wipe Count</t>
  </si>
  <si>
    <t>Glove Count</t>
  </si>
  <si>
    <t>Glove Sales</t>
  </si>
  <si>
    <t>Total Sales</t>
  </si>
  <si>
    <t>CASH FLOW STATEMENT (in '000s)</t>
  </si>
  <si>
    <t>Investment</t>
  </si>
  <si>
    <t>Loss in Y1</t>
  </si>
  <si>
    <t>Profit in Y2</t>
  </si>
  <si>
    <t>Organic Sales growth</t>
  </si>
  <si>
    <t>Benchmark</t>
  </si>
  <si>
    <t>Core EPS growth</t>
  </si>
  <si>
    <t>Adjusted FCF Productivity</t>
  </si>
  <si>
    <t>Equipment Royalty</t>
  </si>
  <si>
    <t>Life of the machine</t>
  </si>
  <si>
    <t>Total Output over lifetime</t>
  </si>
  <si>
    <t>Output in pieces</t>
  </si>
  <si>
    <t>pices/min</t>
  </si>
  <si>
    <t>Machines required in Y3</t>
  </si>
  <si>
    <t>Rounded up</t>
  </si>
  <si>
    <t>Revenue</t>
  </si>
  <si>
    <t>Contribution Margin</t>
  </si>
  <si>
    <t>R&amp;D</t>
  </si>
  <si>
    <t>Adv</t>
  </si>
  <si>
    <t>COGS</t>
  </si>
  <si>
    <t>Other SG&amp;A</t>
  </si>
  <si>
    <t>Units</t>
  </si>
  <si>
    <t>Contribution Margin per Unit</t>
  </si>
  <si>
    <t>Break even Units</t>
  </si>
  <si>
    <t>https://tinyurl.com/4m4fay53</t>
  </si>
  <si>
    <t>Euromonitor Channel Data</t>
  </si>
  <si>
    <t>Bizminer</t>
  </si>
  <si>
    <t>Average Space in retail outlet</t>
  </si>
  <si>
    <t>Total Store count</t>
  </si>
  <si>
    <t>Average Space per store</t>
  </si>
  <si>
    <t>https://m.alibaba.com/product/1600443120053/Full-Automatic-12-Lanes-Wet-Tissue.html</t>
  </si>
  <si>
    <t>https://www.droidwipes.com/wet-wipes-machine-products/</t>
  </si>
  <si>
    <t>Assumption from work experience</t>
  </si>
  <si>
    <t>Price of Wipe</t>
  </si>
  <si>
    <t>Swiffer Revenue</t>
  </si>
  <si>
    <t>Price of Glove</t>
  </si>
  <si>
    <t>Retail price</t>
  </si>
  <si>
    <t>Retailer Gross Margin</t>
  </si>
  <si>
    <t>Gloves per wipe</t>
  </si>
  <si>
    <t>P&amp;G selling price</t>
  </si>
  <si>
    <t>Total units sold</t>
  </si>
  <si>
    <t>Average customer purchase/year</t>
  </si>
  <si>
    <t>Total households</t>
  </si>
  <si>
    <t>Expected Sale for Swiff Glove in Y3</t>
  </si>
  <si>
    <t xml:space="preserve">Y3 Sale </t>
  </si>
  <si>
    <t>Rounded off</t>
  </si>
  <si>
    <t>Glove Sales Rounded</t>
  </si>
  <si>
    <t>Expected Sale for Swiff Glove in Y2</t>
  </si>
  <si>
    <t>Y2 Sale</t>
  </si>
  <si>
    <t>Rounded Off</t>
  </si>
  <si>
    <t>Assumption</t>
  </si>
  <si>
    <t>Total Investment (in '000s)</t>
  </si>
  <si>
    <t xml:space="preserve">Total Investment </t>
  </si>
  <si>
    <t>Pieces per pack</t>
  </si>
  <si>
    <t>No. of mins in an hour</t>
  </si>
  <si>
    <t>No. of working days/year</t>
  </si>
  <si>
    <t>Total Output per year</t>
  </si>
  <si>
    <t>Paper Quote</t>
  </si>
  <si>
    <t>Cost per wipe</t>
  </si>
  <si>
    <t>Wipes per pack</t>
  </si>
  <si>
    <t>Equipment Royalty Costs</t>
  </si>
  <si>
    <t>Total area (in sq. cm)</t>
  </si>
  <si>
    <t>One glove area (in sq. cm)</t>
  </si>
  <si>
    <t>Wipe Material Costs</t>
  </si>
  <si>
    <t xml:space="preserve">Equipment Royalty </t>
  </si>
  <si>
    <t>Swiffer wipes</t>
  </si>
  <si>
    <t>Glove</t>
  </si>
  <si>
    <t>Wipe</t>
  </si>
  <si>
    <t>Packaging &amp; Royalty Split</t>
  </si>
  <si>
    <t>Equipment royalty for non-woven attachable fabric</t>
  </si>
  <si>
    <t>Cost per Machine for paper manufactuing</t>
  </si>
  <si>
    <t>Total Royalty</t>
  </si>
  <si>
    <t>Sale Price</t>
  </si>
  <si>
    <t>Salaries Expected</t>
  </si>
  <si>
    <t>Illinois Pop. Proportion</t>
  </si>
  <si>
    <t>Sheet Name</t>
  </si>
  <si>
    <t>Cell Number</t>
  </si>
  <si>
    <t>Revenue Bottom-Up</t>
  </si>
  <si>
    <t>D17</t>
  </si>
  <si>
    <t>Big Box Revenue Share</t>
  </si>
  <si>
    <t>Uncertain Item</t>
  </si>
  <si>
    <t>D18</t>
  </si>
  <si>
    <t>Rev./Sq.M</t>
  </si>
  <si>
    <t>Swiff Glove Revenue/Sq.M</t>
  </si>
  <si>
    <t>Gloves per Wipe</t>
  </si>
  <si>
    <t>D24</t>
  </si>
  <si>
    <t>Cost and Output of Paper Machine</t>
  </si>
  <si>
    <t>Cost Estimation</t>
  </si>
  <si>
    <t>E3, E4</t>
  </si>
  <si>
    <t>K2, K3, K4</t>
  </si>
  <si>
    <t>Estimated Increase for shaped wipes</t>
  </si>
  <si>
    <t>E15</t>
  </si>
  <si>
    <t>E34</t>
  </si>
  <si>
    <t>B10</t>
  </si>
  <si>
    <t>Gross Margin</t>
  </si>
  <si>
    <t>Proportion of Swiffer's Revenue/Sq.M in Y1</t>
  </si>
  <si>
    <t>Proportion of Swiffer's Revenue/Sq.M in Y2</t>
  </si>
  <si>
    <t>Proportion of Swiffer's Revenue/Sq.M in Y3</t>
  </si>
  <si>
    <t>Sheet Number</t>
  </si>
  <si>
    <t>Lower Bound</t>
  </si>
  <si>
    <t>Upper Bound</t>
  </si>
  <si>
    <t>Proportion of Swiffer's Revenue/Sq.M</t>
  </si>
  <si>
    <t>Expected Value</t>
  </si>
  <si>
    <t>D25</t>
  </si>
  <si>
    <t>D26</t>
  </si>
  <si>
    <t>E3</t>
  </si>
  <si>
    <t>E4</t>
  </si>
  <si>
    <t>E11</t>
  </si>
  <si>
    <t>Wipe Material Total Area</t>
  </si>
  <si>
    <t>Equipment Cost</t>
  </si>
  <si>
    <t>Output in Pieces</t>
  </si>
  <si>
    <t>Life of the Machine</t>
  </si>
  <si>
    <t>E28</t>
  </si>
  <si>
    <t>E19, E3</t>
  </si>
  <si>
    <t>E20, E4</t>
  </si>
  <si>
    <t>FY 4</t>
  </si>
  <si>
    <t>FY 5</t>
  </si>
  <si>
    <t>Year 4</t>
  </si>
  <si>
    <t>Year 5</t>
  </si>
  <si>
    <t>Proportion of Swiffer's Revenue/Sq.M in Y4</t>
  </si>
  <si>
    <t>Proportion of Swiffer's Revenue/Sq.M in Y5</t>
  </si>
  <si>
    <t>4% of Y5*</t>
  </si>
  <si>
    <t>Same as Y5</t>
  </si>
  <si>
    <t>4% of Y5 + 900**</t>
  </si>
  <si>
    <t>NPV</t>
  </si>
  <si>
    <t>COST/ REVENUE/ UNITS</t>
  </si>
  <si>
    <t>Fixed vs. variable costs</t>
  </si>
  <si>
    <t>One time vs Recurring</t>
  </si>
  <si>
    <t>Type of Expense as per Cash Flow Statement</t>
  </si>
  <si>
    <t>Cost factors to be considered</t>
  </si>
  <si>
    <t>Remarks</t>
  </si>
  <si>
    <t>Per Unit Cost</t>
  </si>
  <si>
    <t>Cummulative Value</t>
  </si>
  <si>
    <t>TOTAL 2023</t>
  </si>
  <si>
    <t>TOTAL 2024</t>
  </si>
  <si>
    <t>TOTAL 2025</t>
  </si>
  <si>
    <t>TOTAL 2026</t>
  </si>
  <si>
    <t>TOTAL 2027</t>
  </si>
  <si>
    <t>Units Sold (Glove)</t>
  </si>
  <si>
    <t>Nos</t>
  </si>
  <si>
    <t>Cost</t>
  </si>
  <si>
    <t>Recurring</t>
  </si>
  <si>
    <t>Cost of Raw materials</t>
  </si>
  <si>
    <t>$</t>
  </si>
  <si>
    <t xml:space="preserve">Cost of </t>
  </si>
  <si>
    <t>Paper</t>
  </si>
  <si>
    <t>Kg</t>
  </si>
  <si>
    <t>Chemicals + Water</t>
  </si>
  <si>
    <t>Non woven fabric</t>
  </si>
  <si>
    <t>Main glove</t>
  </si>
  <si>
    <t>Outsourcing</t>
  </si>
  <si>
    <t>Cardboard</t>
  </si>
  <si>
    <t>Packing</t>
  </si>
  <si>
    <t>Cost of onboarding of Suppliers</t>
  </si>
  <si>
    <t>NIL</t>
  </si>
  <si>
    <t>R&amp;D Expenses</t>
  </si>
  <si>
    <t>One Time</t>
  </si>
  <si>
    <t>Adv. &amp; Promo</t>
  </si>
  <si>
    <t>Cost of free samples for Trial Runs</t>
  </si>
  <si>
    <t>From Marketing</t>
  </si>
  <si>
    <t>Leasing of land</t>
  </si>
  <si>
    <t>Setting up contracts</t>
  </si>
  <si>
    <t>Incorporation fees for setting up the Business</t>
  </si>
  <si>
    <t>Cost of Government paper work for facility</t>
  </si>
  <si>
    <t>license or permit fees</t>
  </si>
  <si>
    <t>Other Administration expenses</t>
  </si>
  <si>
    <t>CAPEX</t>
  </si>
  <si>
    <t>Purchase of Machinery</t>
  </si>
  <si>
    <t>Setting up and expansion of facility</t>
  </si>
  <si>
    <t>Payroll</t>
  </si>
  <si>
    <t>Training for Employees</t>
  </si>
  <si>
    <t>Advertising &amp; Promotion Expenses</t>
  </si>
  <si>
    <t>Setting up the office space</t>
  </si>
  <si>
    <t>Expansion of the office space</t>
  </si>
  <si>
    <t>Purchase of Hybrid vehicles</t>
  </si>
  <si>
    <t>Purchase of molds</t>
  </si>
  <si>
    <t>Reconfiguration of machinery</t>
  </si>
  <si>
    <t>Major Equipments for loading &amp; unloading</t>
  </si>
  <si>
    <t>Maintenance of facility</t>
  </si>
  <si>
    <t>Maintenance of Machinery</t>
  </si>
  <si>
    <t>Taxes</t>
  </si>
  <si>
    <t>Insurance for Equipment</t>
  </si>
  <si>
    <t>Insurance for Vehicle</t>
  </si>
  <si>
    <t>Workers compensation Insurance</t>
  </si>
  <si>
    <t>General liability Insurance</t>
  </si>
  <si>
    <t>Commercial property Insurance</t>
  </si>
  <si>
    <t>Errors and omissions Insurance</t>
  </si>
  <si>
    <t>External Audits</t>
  </si>
  <si>
    <t>Setting up a website for the company</t>
  </si>
  <si>
    <t>Maintenance of the website</t>
  </si>
  <si>
    <t>Cost of Securing a loan or investment</t>
  </si>
  <si>
    <t>Interest paid on loan</t>
  </si>
  <si>
    <t>Royalty paid on Investment</t>
  </si>
  <si>
    <t>Cost of Setting up Technology</t>
  </si>
  <si>
    <t>Accounting and POS software</t>
  </si>
  <si>
    <t xml:space="preserve">Revenue from sale of Glove </t>
  </si>
  <si>
    <t>Revenue from sale of Wipe</t>
  </si>
  <si>
    <t>MP</t>
  </si>
  <si>
    <t>Indirect Manpower Onboarding</t>
  </si>
  <si>
    <t>Direct Manpower Onboarding</t>
  </si>
  <si>
    <t>Project start date:</t>
  </si>
  <si>
    <t>TYPE</t>
  </si>
  <si>
    <t>Activities</t>
  </si>
  <si>
    <t>Start Date</t>
  </si>
  <si>
    <t>End Date</t>
  </si>
  <si>
    <t>No of Days</t>
  </si>
  <si>
    <t>R&amp;D Activities</t>
  </si>
  <si>
    <t>Marketing Activities</t>
  </si>
  <si>
    <t>Operations Activities</t>
  </si>
  <si>
    <t>Procurement of Raw Materials</t>
  </si>
  <si>
    <t>Distribution of free samples for Trial Runs</t>
  </si>
  <si>
    <t>Administration Activities</t>
  </si>
  <si>
    <t>Onboarding of Suppliers</t>
  </si>
  <si>
    <t>Incorporation of the Business</t>
  </si>
  <si>
    <t>Filing of license and Permits</t>
  </si>
  <si>
    <t>Total Weight (in gms)</t>
  </si>
  <si>
    <t>Total Weight (in kgs)</t>
  </si>
  <si>
    <t>Density of Wipe (in gm/cu. cm)</t>
  </si>
  <si>
    <t>Total Weight (cu. cm)</t>
  </si>
  <si>
    <t>Thickness required</t>
  </si>
  <si>
    <t>Number of Wipes</t>
  </si>
  <si>
    <t>2.8/kg</t>
  </si>
  <si>
    <t>US Pop</t>
  </si>
  <si>
    <t>Parents</t>
  </si>
  <si>
    <t>Segment Market</t>
  </si>
  <si>
    <t>Proportion targeted</t>
  </si>
  <si>
    <t>Target</t>
  </si>
  <si>
    <t>Usage</t>
  </si>
  <si>
    <t>Sales</t>
  </si>
  <si>
    <t>US Pop between 20 &amp; 40</t>
  </si>
  <si>
    <t>Unemployment rate</t>
  </si>
  <si>
    <t>Bamboo based paper</t>
  </si>
  <si>
    <t>Units Sold (Wet Wipe + Sustainable dry Wipe)</t>
  </si>
  <si>
    <t>Campaign</t>
  </si>
  <si>
    <t>Instore Promotion</t>
  </si>
  <si>
    <t>Setting up the 2000 Sq office space</t>
  </si>
  <si>
    <t>Adv. &amp; Promo Total</t>
  </si>
  <si>
    <t>Other SG&amp;A Total</t>
  </si>
  <si>
    <t>CAPEX total</t>
  </si>
  <si>
    <t>% Distribution</t>
  </si>
  <si>
    <t>x</t>
  </si>
  <si>
    <t>R&amp;D Expenses Ditribution</t>
  </si>
  <si>
    <t>Cost of Government paperwork for facility</t>
  </si>
  <si>
    <t>Annual fee Paid every anniversery Month</t>
  </si>
  <si>
    <t>Setting up and Expansion of the office space</t>
  </si>
  <si>
    <t>$/ Sq ft</t>
  </si>
  <si>
    <t>Dip in R&amp;D in June Every yr</t>
  </si>
  <si>
    <t>External Audits &amp; Consulting</t>
  </si>
  <si>
    <t>Cost of Setting up and running Technology</t>
  </si>
  <si>
    <t>After Asking Potter</t>
  </si>
  <si>
    <t>Payroll + Bonuses</t>
  </si>
  <si>
    <t>Other SG&amp;A Expenses Ditribution</t>
  </si>
  <si>
    <t>Adv. &amp; Promo Expenses Ditribution</t>
  </si>
  <si>
    <t>50% of annual budget</t>
  </si>
  <si>
    <t>Amt</t>
  </si>
  <si>
    <t>TOTAL</t>
  </si>
  <si>
    <t>A/R</t>
  </si>
  <si>
    <t>A/P</t>
  </si>
  <si>
    <t>Net Sales</t>
  </si>
  <si>
    <t>A/R Days</t>
  </si>
  <si>
    <t>A/P Days</t>
  </si>
  <si>
    <t>Year End 2023</t>
  </si>
  <si>
    <t>Year End 2024</t>
  </si>
  <si>
    <t>Year End 2025</t>
  </si>
  <si>
    <t>Year End 2026</t>
  </si>
  <si>
    <t>Year End 2027</t>
  </si>
  <si>
    <t>A/R Months</t>
  </si>
  <si>
    <t>A/P Months</t>
  </si>
  <si>
    <t>Inventory Months</t>
  </si>
  <si>
    <t>Op. Profit</t>
  </si>
  <si>
    <t>Op. Profit before Taxes</t>
  </si>
  <si>
    <t>EAR</t>
  </si>
  <si>
    <t>Op. Income before taxes(2022)</t>
  </si>
  <si>
    <t>Taxes Paid</t>
  </si>
  <si>
    <t>NWC</t>
  </si>
  <si>
    <t>A/R Changes</t>
  </si>
  <si>
    <t>A/P Changes</t>
  </si>
  <si>
    <t>Inventory Changes</t>
  </si>
  <si>
    <t>Chemical Costs</t>
  </si>
  <si>
    <t>Multi-purpose cleaner (cost 55 Gallon)</t>
  </si>
  <si>
    <t>Mililiters of 1 gallon</t>
  </si>
  <si>
    <t>Mililiters of 55 gallon</t>
  </si>
  <si>
    <t>Milliliters needed per wipe</t>
  </si>
  <si>
    <t>Cost of liquid per mililiter</t>
  </si>
  <si>
    <t>Cost of liquid per wipe</t>
  </si>
  <si>
    <t>Cost of liquid per box 24 units</t>
  </si>
  <si>
    <t>1.48/kg</t>
  </si>
  <si>
    <t>Dry Wipe Material Costs</t>
  </si>
  <si>
    <t>Wet Wipe Material Costs</t>
  </si>
  <si>
    <t>Polypropylene/Polyster/Bamboo</t>
  </si>
  <si>
    <t>Mold</t>
  </si>
  <si>
    <t>CFs</t>
  </si>
  <si>
    <t>WACC</t>
  </si>
  <si>
    <t>Chemicals</t>
  </si>
  <si>
    <t>COGS (Summation)</t>
  </si>
  <si>
    <t>Packaging + Royalty</t>
  </si>
  <si>
    <t>ITEMS</t>
  </si>
  <si>
    <t>Inventory (Glove)</t>
  </si>
  <si>
    <t>Inventory (Wet Wipe + Sustainable dry Wipe)</t>
  </si>
  <si>
    <t>Supply (Wet Wipe + Sustainable dry Wipe)</t>
  </si>
  <si>
    <t>Growth Percentage</t>
  </si>
  <si>
    <t>Units Sold Box (Wet Wipe + Sustainable dry Wipe)</t>
  </si>
  <si>
    <t>Bamboo paper (in tons)</t>
  </si>
  <si>
    <t>Polyster (in tons)</t>
  </si>
  <si>
    <t>Months 6-12</t>
  </si>
  <si>
    <t>Local Small Scale supplier for gloves in test market</t>
  </si>
  <si>
    <t>Dec-23, Feb-24, Aug-24, Aug-25, Jul-26, Feb-27</t>
  </si>
  <si>
    <t>New Supplier to be onboarded for Polyster</t>
  </si>
  <si>
    <t>New Supplier to be onboarded for Bamboo Paper</t>
  </si>
  <si>
    <t>Jan-24, Jun-24, Feb-25, Jun-26, Dec-26</t>
  </si>
  <si>
    <t>Manpower and logistics increased by year end of 2023</t>
  </si>
  <si>
    <t>Raw Material and packing material procurement scaled up in 2023 year end</t>
  </si>
  <si>
    <t>Number of Wipe Boxes per min order of Polyster</t>
  </si>
  <si>
    <t>Number of Wipe Boxes per min order of Bamboo paper</t>
  </si>
  <si>
    <t>Number of Wipe Boxes per machinery per month</t>
  </si>
  <si>
    <t xml:space="preserve">New Machinery required </t>
  </si>
  <si>
    <t>Utilization</t>
  </si>
  <si>
    <t>Year</t>
  </si>
  <si>
    <t xml:space="preserve">Swiffglove - Assumptions </t>
  </si>
  <si>
    <t>Assumptions/Parameters</t>
  </si>
  <si>
    <t>Probability Distributions</t>
  </si>
  <si>
    <t>Yr 1</t>
  </si>
  <si>
    <t>Yr 2</t>
  </si>
  <si>
    <t>Yr 3</t>
  </si>
  <si>
    <t>Yr 4</t>
  </si>
  <si>
    <t>Yr 5</t>
  </si>
  <si>
    <t>First Model: Triangular Dist</t>
  </si>
  <si>
    <t>Lower Bound = 90% of Most Likely</t>
  </si>
  <si>
    <t>Upper Bound = 110% of Most Likely</t>
  </si>
  <si>
    <t>Price / wipe</t>
  </si>
  <si>
    <t>Price / glove</t>
  </si>
  <si>
    <t>Lower</t>
  </si>
  <si>
    <t>Var Costs (COGS | % of Net Revenue)</t>
  </si>
  <si>
    <t>Upper</t>
  </si>
  <si>
    <t>SG&amp;A Expenses</t>
  </si>
  <si>
    <t>Advertising &amp; Promotion:</t>
  </si>
  <si>
    <t>*Equipment and Factory is not considered as we will use the P&amp;G installations paying a Royalty fee (considered already in COGS)</t>
  </si>
  <si>
    <t xml:space="preserve">Inventory </t>
  </si>
  <si>
    <t xml:space="preserve">A/P </t>
  </si>
  <si>
    <t>Tax Rate:</t>
  </si>
  <si>
    <t>Advertising &amp; Promotion Yr 1</t>
  </si>
  <si>
    <t>Advertising &amp; Promotion Yr 2</t>
  </si>
  <si>
    <t>Advertising &amp; Promotion Yr 3</t>
  </si>
  <si>
    <t>Advertising &amp; Promotion Yr 4</t>
  </si>
  <si>
    <t>Advertising &amp; Promotion Yr 5</t>
  </si>
  <si>
    <t>A/R Yr 1</t>
  </si>
  <si>
    <t>A/R Yr 2</t>
  </si>
  <si>
    <t>A/R Yr 3</t>
  </si>
  <si>
    <t>A/R Yr 4</t>
  </si>
  <si>
    <t>A/R Yr 5</t>
  </si>
  <si>
    <t>Yr 0</t>
  </si>
  <si>
    <t>Inventory Yr 1</t>
  </si>
  <si>
    <t>Inventory Yr 2</t>
  </si>
  <si>
    <t>Variable Costs</t>
  </si>
  <si>
    <t>Inventory Yr 3</t>
  </si>
  <si>
    <t>Inventory Yr 4</t>
  </si>
  <si>
    <t>Inventory Yr 5</t>
  </si>
  <si>
    <t>Op. Profit before Taxes (EBIT)</t>
  </si>
  <si>
    <t>A/P  Yr 1</t>
  </si>
  <si>
    <t>A/P  Yr 2</t>
  </si>
  <si>
    <t>Op. Profit (NOPAT)</t>
  </si>
  <si>
    <t>A/P  Yr 3</t>
  </si>
  <si>
    <t>A/P  Yr 4</t>
  </si>
  <si>
    <t>A/P  Yr 5</t>
  </si>
  <si>
    <t>Y5</t>
  </si>
  <si>
    <t>Cleaning Enthusiasts</t>
  </si>
  <si>
    <t>Y4</t>
  </si>
  <si>
    <t>Y3</t>
  </si>
  <si>
    <t>Y2</t>
  </si>
  <si>
    <t>Y1</t>
  </si>
  <si>
    <t>Illinois Pop</t>
  </si>
  <si>
    <t>Illinois proportion</t>
  </si>
  <si>
    <t>Capacity per Machine per month</t>
  </si>
  <si>
    <t>Projected Rev./Sq.M</t>
  </si>
  <si>
    <t xml:space="preserve">Sourcing </t>
  </si>
  <si>
    <t>Activity</t>
  </si>
  <si>
    <t>Inbound Logistics</t>
  </si>
  <si>
    <t>Production</t>
  </si>
  <si>
    <t>Outbound Logistics</t>
  </si>
  <si>
    <t>Total Time to market</t>
  </si>
  <si>
    <t>Expected Customer Repurchase time</t>
  </si>
  <si>
    <t>Time Taken (in days)</t>
  </si>
  <si>
    <t>Yr 1 Sales (thousands of wipes sold)</t>
  </si>
  <si>
    <t>Yr 2 Sales (thousands of wipes sold)</t>
  </si>
  <si>
    <t>Yr 3 Sales (thousands of wipes sold)</t>
  </si>
  <si>
    <t>Yr 4 Sales (thousands of wipes sold)</t>
  </si>
  <si>
    <t>Yr 5 Sales (thousands of wipes sold)</t>
  </si>
  <si>
    <t>Yr 1 Sales (thousands of gloves sold)</t>
  </si>
  <si>
    <t>Yr 2 Sales (thousands of gloves sold)</t>
  </si>
  <si>
    <t>Yr 3 Sales (thousands of gloves sold)</t>
  </si>
  <si>
    <t>Yr 4 Sales (thousands of gloves sold)</t>
  </si>
  <si>
    <t>Yr 5 Sales (thousands of gloves sold)</t>
  </si>
  <si>
    <t>R&amp;D Yr 1</t>
  </si>
  <si>
    <t>R&amp;D Yr 2</t>
  </si>
  <si>
    <t>R&amp;D Yr 3</t>
  </si>
  <si>
    <t>R&amp;D Yr 4</t>
  </si>
  <si>
    <t>R&amp;D Yr 5</t>
  </si>
  <si>
    <t>CAPEX - Mold</t>
  </si>
  <si>
    <t>Change in NWC A/R</t>
  </si>
  <si>
    <t>Change in NWC A/P</t>
  </si>
  <si>
    <t>Change in NWC Inventory</t>
  </si>
  <si>
    <t>Projected Net Cash Flows</t>
  </si>
  <si>
    <t>Cumulative Net Cash Flows</t>
  </si>
  <si>
    <t>Min Value</t>
  </si>
  <si>
    <t>Max</t>
  </si>
  <si>
    <t>SG&amp;A Expenses Y1</t>
  </si>
  <si>
    <t>SG&amp;A Expenses Y2</t>
  </si>
  <si>
    <t>SG&amp;A Expenses Y3</t>
  </si>
  <si>
    <t>SG&amp;A Expenses Y4</t>
  </si>
  <si>
    <t>SG&amp;A Expenses Y5</t>
  </si>
  <si>
    <t>Written By Version</t>
  </si>
  <si>
    <t>8.2.2</t>
  </si>
  <si>
    <t>Serialization Major Version</t>
  </si>
  <si>
    <t>Serialization Minor Version</t>
  </si>
  <si>
    <t>Browse Record</t>
  </si>
  <si>
    <t>Display Mode</t>
  </si>
  <si>
    <t>Sens Graph Type</t>
  </si>
  <si>
    <t>Cond Sens Settings</t>
  </si>
  <si>
    <t>Scenario Settings</t>
  </si>
  <si>
    <t>Selected Scenario</t>
  </si>
  <si>
    <t>Distribution Options</t>
  </si>
  <si>
    <t>Distribution GS</t>
  </si>
  <si>
    <t>Distribution Curves</t>
  </si>
  <si>
    <t>Sens Tornado Options</t>
  </si>
  <si>
    <t>Sens Tornado GS</t>
  </si>
  <si>
    <t>Sens Tornado Curves</t>
  </si>
  <si>
    <t>Scen Tornado Options</t>
  </si>
  <si>
    <t>Scen Tornado GS</t>
  </si>
  <si>
    <t>Scen Tornado Curves</t>
  </si>
  <si>
    <t>Sens Spider Option</t>
  </si>
  <si>
    <t>Sens Spider GS</t>
  </si>
  <si>
    <t>Sens Spider Curves</t>
  </si>
  <si>
    <t>3,10,2,.95,5,16,FALSE,0,TRUE,TRUE,TRUE</t>
  </si>
  <si>
    <t>GF1_4VKXXwEAEwBSAQwjACcAWgCJAJkAmgCoALYAAAAAAEoBKAD//wAAAQEEAAAAAChfLSogIywjIzBfLTstKiAjLCMjMF8tO18tKiAiLSI/P18tO18tQF8tAAAAAQNOUFYBJklucHV0cyBSYW5rZWQgYnkgRWZmZWN0IG9uIE91dHB1dCBNZWFuAQEMAAEAAQZMZWdlbmQDAAEA/wEBAQEBAAEBAQAEAAAAAQEBAQEAAQEBAAQAAAAK1QAI5wAI8gAI/QAICAEIEwEIHgEIKQEINAEIPwEIEAADTlBWAAAA/9wUPAEAAAIACQAAAAElAQAAAgAJAAAAAk8BAAACAAkAAAADjAEAAAIACQAAAARMAQAAAgAJAAAABTkBAAACAAkAAAAGTgEAAAIACQAAAAcjAQAAAgAJAAAACCkBAAACAAkAAAAJYAEAAAIABQABAQEAAAE=</t>
  </si>
  <si>
    <t>Sales ('000s of gloves sold)</t>
  </si>
  <si>
    <t>Sales ('000s of wipes sold)</t>
  </si>
  <si>
    <t>($ 000s)</t>
  </si>
  <si>
    <t>Swiffglove - Projected Project Cash Flow Statements ($ 000s)</t>
  </si>
  <si>
    <t>GF1_rK0qDwEAEwBrAQwjACcAZwC1AMkAygDYAOYARQFnAWEBKwD//wAAAAAAAAEEAAAAADJfKCIkIiogIywjIzBfKTtfKCIkIiogKCMsIyMwKTtfKCIkIiogIi0iPz9fKTtfKEBfKQAAAAEKQS9QIC8gWXIgMgE+Q29tcGFyaXNvbiB3aXRoIFJpc2tUcmlhbmcoNzU5OC45MTQ5MzgsODQ0My4yMzg4Miw5Mjg3LjU2MjcwMikBARAAAgABClN0YXRpc3RpY3MDAQEA/wEBAQEBAAEBAQAEAAAAAQEBAQEAAQEBAAQAAAAC7QACCAEAFwAKQS9QIC8gWXIgMgAAAP8AAP8BAAACAAIAOwAuUmlza1RyaWFuZyg3NTk4LjkxNDkzOCw4NDQzLjIzODgyLDkyODcuNTYyNzAyKQABAP8AAAABAAACAE0BVwEBAQMBmpmZmZmZqT8AAGZmZmZmZu4/AAAFAAEBAQABAQEA</t>
  </si>
  <si>
    <t>GF1_rK0qDwEAEwDTAAwjACcAXQBmAHoAewCJAJcArwDPAMkAKwD//wAAAQAAAAEEAAAAAChfLSogIywjIzBfLTstKiAjLCMjMF8tO18tKiAiLSI/P18tO18tQF8tAAAAAQNOUFYBAAEBEAACAAEKU3RhdGlzdGljcwMBAQD/AQEBAQEAAQEBAAQAAAABAQEBAQABAQEABAAAAAGbAAIQAANOUFYAAAD/3BQ8AQAAAgACALcAwAABAQMBAAAAAAAAAAABAAAAAAAA8H8BBQABAQEAAQEBAA==</t>
  </si>
  <si>
    <t>2;TRUE,.9,1</t>
  </si>
  <si>
    <t>GF1_4VKXXwEAEwBLAQwjACcANQByAIAAgQChAK8AAAAAAEMBKAD//wAAAQEEAAAAAAMwLjAAAAABA05QVgE0U2lnbmlmaWNhbmNlIG9mIEtleSBJbnB1dHMgV2hlcmUgOTAlIDwgT3V0cHV0IDwgMTAwJQEBCgACAAEETm9uZQMAAQD/AQEBAQESSW5wdXQgU2lnbmlmaWNhbmNlAQEBAAQAAAABAQEBAQABAQEABAAAAArOAAjgAAjrAAj2AAgBAQgMAQgXAQgiAQgtAQg4AQgQAANOUFYAAAD/3BQ8AQAAAgAJAAAAASUBAAACAAkAAAACTwEAAAIACQAAAAOMAQAAAgAJAAAABEwBAAACAAkAAAAFOQEAAAIACQAAAAZOAQAAAgAJAAAAByMBAAACAAkAAAAIKQEAAAIACQAAAAlgAQAAAgAFAAEBAQAAAQ==</t>
  </si>
  <si>
    <t>COGS %</t>
  </si>
  <si>
    <t>GF1_rK0qDwEAEwB3AQwjACcAZwC7AM8A0ADeAOwAUQFzAW0BKwD//wAAAAAAAAEEAAAAADJfKCIkIiogIywjIzBfKTtfKCIkIiogKCMsIyMwKTtfKCIkIiogIi0iPz9fKTtfKEBfKQAAAAEQSW52ZW50b3J5IC8gWXIgNQE+Q29tcGFyaXNvbiB3aXRoIFJpc2tUcmlhbmcoNzUwOC4wODY0Miw4ODMzLjA0Mjg0NywxMDE1Ny45OTkyNykBARAAAgABClN0YXRpc3RpY3MDAQEA/wEBAQEBAAEBAQAEAAAAAQEBAQEAAQEBAAQAAAAC8wACFAEAHQAQSW52ZW50b3J5IC8gWXIgNQAAAP8AAP8BAAACAAIAOwAuUmlza1RyaWFuZyg3NTA4LjA4NjQyLDg4MzMuMDQyODQ3LDEwMTU3Ljk5OTI3KQABAP8AAAABAAACAFkBYwEBAQMBmpmZmZmZqT8AAGZmZmZmZu4/AAAFAAEBAQABAQEA</t>
  </si>
  <si>
    <t>Equipment Capacity</t>
  </si>
  <si>
    <t>95% Service Level</t>
  </si>
  <si>
    <t>Available Stock</t>
  </si>
  <si>
    <t>Expected Demand</t>
  </si>
  <si>
    <t>Std. Dev of Demand</t>
  </si>
  <si>
    <t>Demand Unmet (Count)</t>
  </si>
  <si>
    <t>Distribution Record</t>
  </si>
  <si>
    <t>Reserved</t>
  </si>
  <si>
    <t>Record Count</t>
  </si>
  <si>
    <t>Inputs</t>
  </si>
  <si>
    <t>GF1_rK0qDwEAEwDkAAwjACcAOQB0AIgAiQCXAKUAvgDgANoAKwD//wAAAAAAAAEEAAAAAAQwLjAwAAAAATVVbml0cyBTb2xkIChXZXQgV2lwZSArIFN1c3RhaW5hYmxlIGRyeSBXaXBlKSAvIEp1bC0yMwEAAQEQAAIAAQpTdGF0aXN0aWNzAwEBAP8BAQEBAQABAQEABAAAAAEBAQEBAAEBAQAEAAAAAakAABMABk5vcm1hbAAAAP8AAP8BAAACAMYA0AABAQMBmpmZmZmZqT8AAGZmZmZmZu4/AAAFAAEBAQABAQEA</t>
  </si>
  <si>
    <t>Supply of Glove</t>
  </si>
  <si>
    <t>Nov-23, Dec-23, Jun-24, Jan-25, Jan-26, Jun-26</t>
  </si>
  <si>
    <t>Demand Wipe</t>
  </si>
  <si>
    <t>Demand Glove</t>
  </si>
  <si>
    <t>Supply of Wipe</t>
  </si>
  <si>
    <t>Inventory Wipe</t>
  </si>
  <si>
    <t>Supply Glove</t>
  </si>
  <si>
    <t>Inventory Glove</t>
  </si>
  <si>
    <t>Theoretical Capacity Wipe</t>
  </si>
  <si>
    <t>2_x0001_19_x0001_0_x0001_RiskNormal(I14,I15)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</si>
</sst>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_ * #,##0.00_ ;_ * \-#,##0.00_ ;_ * &quot;-&quot;??_ ;_ @_ "/>
    <numFmt numFmtId="165" formatCode="_-* #,##0.00_-;\-* #,##0.00_-;_-* &quot;-&quot;??_-;_-@_-"/>
    <numFmt numFmtId="166" formatCode="0.0%"/>
    <numFmt numFmtId="167" formatCode="_-* #,##0_-;\-* #,##0_-;_-* &quot;-&quot;??_-;_-@_-"/>
    <numFmt numFmtId="168" formatCode="_-[$$-540A]* #,##0.00_ ;_-[$$-540A]* \-#,##0.00\ ;_-[$$-540A]* &quot;-&quot;??_ ;_-@_ "/>
    <numFmt numFmtId="169" formatCode="0.000"/>
    <numFmt numFmtId="170" formatCode="_-[$$-540A]* #,##0.000_ ;_-[$$-540A]* \-#,##0.000\ ;_-[$$-540A]* &quot;-&quot;??_ ;_-@_ "/>
    <numFmt numFmtId="171" formatCode="0.0"/>
    <numFmt numFmtId="172" formatCode="[$$-C09]#,##0;[Red]\-[$$-C09]#,##0"/>
    <numFmt numFmtId="173" formatCode="[$-409]dd\-mmm\-yy;@"/>
    <numFmt numFmtId="174" formatCode="[$-409]d\-mmm\-yy;@"/>
    <numFmt numFmtId="175" formatCode="0.000%"/>
    <numFmt numFmtId="176" formatCode="_-&quot;S/&quot;\ * #,##0.00_-;\-&quot;S/&quot;\ * #,##0.00_-;_-&quot;S/&quot;\ * &quot;-&quot;??_-;_-@_-"/>
    <numFmt numFmtId="177" formatCode="_(&quot;$&quot;* #,##0_);_(&quot;$&quot;* \(#,##0\);_(&quot;$&quot;* &quot;-&quot;??_);_(@_)"/>
    <numFmt numFmtId="178" formatCode="_(&quot;$&quot;* #,##0.0_);_(&quot;$&quot;* \(#,##0.0\);_(&quot;$&quot;* &quot;-&quot;??_);_(@_)"/>
  </numFmts>
  <fonts count="53">
    <font>
      <sz val="12"/>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sz val="12"/>
      <color rgb="FF009051"/>
      <name val="Calibri"/>
      <family val="2"/>
      <scheme val="minor"/>
    </font>
    <font>
      <sz val="12"/>
      <color theme="1"/>
      <name val="Calibri (Body)"/>
    </font>
    <font>
      <b/>
      <sz val="12"/>
      <color rgb="FF011893"/>
      <name val="Calibri (Body)"/>
    </font>
    <font>
      <sz val="9"/>
      <color rgb="FF011893"/>
      <name val="Calibri (Body)"/>
    </font>
    <font>
      <sz val="12"/>
      <color rgb="FF011893"/>
      <name val="Calibri (Body)"/>
    </font>
    <font>
      <b/>
      <sz val="12"/>
      <color rgb="FF000000"/>
      <name val="Calibri"/>
      <family val="2"/>
      <scheme val="minor"/>
    </font>
    <font>
      <b/>
      <sz val="18"/>
      <color theme="1"/>
      <name val="Calibri"/>
      <family val="2"/>
      <scheme val="minor"/>
    </font>
    <font>
      <b/>
      <i/>
      <sz val="12"/>
      <color rgb="FF009051"/>
      <name val="Calibri"/>
      <family val="2"/>
      <scheme val="minor"/>
    </font>
    <font>
      <i/>
      <u/>
      <sz val="12"/>
      <color theme="1"/>
      <name val="Calibri (Body)"/>
    </font>
    <font>
      <sz val="12"/>
      <color theme="1" tint="0.499984740745262"/>
      <name val="Calibri"/>
      <family val="2"/>
      <scheme val="minor"/>
    </font>
    <font>
      <b/>
      <sz val="12"/>
      <color theme="1" tint="0.499984740745262"/>
      <name val="Calibri"/>
      <family val="2"/>
      <scheme val="minor"/>
    </font>
    <font>
      <b/>
      <sz val="12"/>
      <color theme="1" tint="0.499984740745262"/>
      <name val="Calibri (Body)"/>
    </font>
    <font>
      <sz val="12"/>
      <color theme="1" tint="0.499984740745262"/>
      <name val="Calibri (Body)"/>
    </font>
    <font>
      <b/>
      <u/>
      <sz val="12"/>
      <color theme="1"/>
      <name val="Calibri (Body)"/>
    </font>
    <font>
      <sz val="12"/>
      <color rgb="FF000000"/>
      <name val="Calibri"/>
      <family val="2"/>
      <scheme val="minor"/>
    </font>
    <font>
      <b/>
      <sz val="12"/>
      <color rgb="FF4472C4"/>
      <name val="Calibri"/>
      <family val="2"/>
      <scheme val="minor"/>
    </font>
    <font>
      <sz val="12"/>
      <color rgb="FF4472C4"/>
      <name val="Calibri"/>
      <family val="2"/>
      <scheme val="minor"/>
    </font>
    <font>
      <u/>
      <sz val="12"/>
      <color theme="1"/>
      <name val="Calibri (Body)"/>
    </font>
    <font>
      <sz val="12"/>
      <color rgb="FF011893"/>
      <name val="Calibri"/>
      <family val="2"/>
      <scheme val="minor"/>
    </font>
    <font>
      <b/>
      <sz val="12"/>
      <color rgb="FF009051"/>
      <name val="Calibri (Body)"/>
    </font>
    <font>
      <sz val="9"/>
      <color rgb="FF009051"/>
      <name val="Calibri (Body)"/>
    </font>
    <font>
      <sz val="12"/>
      <color rgb="FF009051"/>
      <name val="Calibri (Body)"/>
    </font>
    <font>
      <sz val="10"/>
      <color rgb="FF011893"/>
      <name val="Calibri (Body)"/>
    </font>
    <font>
      <sz val="10"/>
      <color rgb="FF011893"/>
      <name val="Calibri"/>
      <family val="2"/>
      <scheme val="minor"/>
    </font>
    <font>
      <b/>
      <sz val="12"/>
      <color theme="0" tint="-0.499984740745262"/>
      <name val="Calibri (Body)"/>
    </font>
    <font>
      <sz val="12"/>
      <color theme="0" tint="-0.499984740745262"/>
      <name val="Calibri (Body)"/>
    </font>
    <font>
      <sz val="12"/>
      <color theme="0" tint="-0.499984740745262"/>
      <name val="Calibri"/>
      <family val="2"/>
      <scheme val="minor"/>
    </font>
    <font>
      <i/>
      <sz val="12"/>
      <name val="Calibri"/>
      <family val="2"/>
      <scheme val="minor"/>
    </font>
    <font>
      <sz val="12"/>
      <name val="Calibri"/>
      <family val="2"/>
      <scheme val="minor"/>
    </font>
    <font>
      <sz val="8"/>
      <name val="Calibri"/>
      <family val="2"/>
      <scheme val="minor"/>
    </font>
    <font>
      <b/>
      <sz val="12"/>
      <name val="Calibri"/>
      <family val="2"/>
      <scheme val="minor"/>
    </font>
    <font>
      <b/>
      <sz val="12"/>
      <color rgb="FF011893"/>
      <name val="Calibri"/>
      <family val="2"/>
      <scheme val="minor"/>
    </font>
    <font>
      <b/>
      <sz val="12"/>
      <color rgb="FF009051"/>
      <name val="Calibri"/>
      <family val="2"/>
      <scheme val="minor"/>
    </font>
    <font>
      <i/>
      <sz val="10"/>
      <color theme="1"/>
      <name val="Calibri"/>
      <family val="2"/>
      <scheme val="minor"/>
    </font>
    <font>
      <b/>
      <sz val="14"/>
      <color theme="1"/>
      <name val="Calibri"/>
      <family val="2"/>
      <scheme val="minor"/>
    </font>
    <font>
      <sz val="12"/>
      <color rgb="FFFF0000"/>
      <name val="Calibri"/>
      <family val="2"/>
      <scheme val="minor"/>
    </font>
    <font>
      <u/>
      <sz val="12"/>
      <color theme="10"/>
      <name val="Calibri"/>
      <family val="2"/>
      <scheme val="minor"/>
    </font>
    <font>
      <sz val="12"/>
      <color theme="0"/>
      <name val="Calibri"/>
      <family val="2"/>
      <scheme val="minor"/>
    </font>
    <font>
      <b/>
      <sz val="12"/>
      <color theme="0"/>
      <name val="Calibri"/>
      <family val="2"/>
      <scheme val="minor"/>
    </font>
    <font>
      <b/>
      <sz val="20"/>
      <color theme="1"/>
      <name val="Calibri"/>
      <family val="2"/>
      <scheme val="minor"/>
    </font>
    <font>
      <b/>
      <sz val="14"/>
      <color theme="0"/>
      <name val="Calibri"/>
      <family val="2"/>
      <scheme val="minor"/>
    </font>
    <font>
      <b/>
      <i/>
      <u/>
      <sz val="16"/>
      <name val="Arial"/>
      <family val="2"/>
    </font>
    <font>
      <b/>
      <sz val="11"/>
      <name val="Arial"/>
      <family val="2"/>
    </font>
    <font>
      <sz val="14"/>
      <name val="Arial"/>
      <family val="2"/>
    </font>
    <font>
      <b/>
      <i/>
      <sz val="12"/>
      <color theme="1"/>
      <name val="Calibri"/>
      <family val="2"/>
      <scheme val="minor"/>
    </font>
    <font>
      <b/>
      <sz val="11"/>
      <color rgb="FFFF0000"/>
      <name val="Arial"/>
      <family val="2"/>
    </font>
    <font>
      <i/>
      <sz val="11"/>
      <color theme="1"/>
      <name val="Calibri"/>
      <family val="2"/>
      <scheme val="minor"/>
    </font>
    <font>
      <b/>
      <i/>
      <sz val="14"/>
      <name val="Arial"/>
      <family val="2"/>
    </font>
    <font>
      <sz val="12"/>
      <color rgb="FFC00000"/>
      <name val="Calibri"/>
      <family val="2"/>
      <scheme val="minor"/>
    </font>
  </fonts>
  <fills count="25">
    <fill>
      <patternFill patternType="none"/>
    </fill>
    <fill>
      <patternFill patternType="gray125"/>
    </fill>
    <fill>
      <patternFill patternType="solid">
        <fgColor theme="9" tint="0.79998168889431442"/>
        <bgColor indexed="64"/>
      </patternFill>
    </fill>
    <fill>
      <patternFill patternType="solid">
        <fgColor rgb="FFE2EFDA"/>
        <bgColor rgb="FF000000"/>
      </patternFill>
    </fill>
    <fill>
      <patternFill patternType="solid">
        <fgColor theme="7" tint="0.39997558519241921"/>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39997558519241921"/>
        <bgColor indexed="64"/>
      </patternFill>
    </fill>
    <fill>
      <patternFill patternType="solid">
        <fgColor rgb="FF0070C0"/>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00B0F0"/>
        <bgColor indexed="64"/>
      </patternFill>
    </fill>
    <fill>
      <patternFill patternType="solid">
        <fgColor theme="5" tint="0.39997558519241921"/>
        <bgColor indexed="64"/>
      </patternFill>
    </fill>
    <fill>
      <patternFill patternType="solid">
        <fgColor rgb="FFC8EFF4"/>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009051"/>
        <bgColor indexed="64"/>
      </patternFill>
    </fill>
  </fills>
  <borders count="111">
    <border>
      <left/>
      <right/>
      <top/>
      <bottom/>
      <diagonal/>
    </border>
    <border>
      <left/>
      <right/>
      <top style="hair">
        <color auto="1"/>
      </top>
      <bottom style="hair">
        <color auto="1"/>
      </bottom>
      <diagonal/>
    </border>
    <border>
      <left/>
      <right/>
      <top/>
      <bottom style="thin">
        <color auto="1"/>
      </bottom>
      <diagonal/>
    </border>
    <border>
      <left/>
      <right/>
      <top style="thin">
        <color auto="1"/>
      </top>
      <bottom/>
      <diagonal/>
    </border>
    <border>
      <left style="hair">
        <color auto="1"/>
      </left>
      <right/>
      <top style="thin">
        <color auto="1"/>
      </top>
      <bottom/>
      <diagonal/>
    </border>
    <border>
      <left/>
      <right style="hair">
        <color auto="1"/>
      </right>
      <top style="thin">
        <color auto="1"/>
      </top>
      <bottom/>
      <diagonal/>
    </border>
    <border>
      <left style="hair">
        <color auto="1"/>
      </left>
      <right/>
      <top/>
      <bottom/>
      <diagonal/>
    </border>
    <border>
      <left/>
      <right style="hair">
        <color auto="1"/>
      </right>
      <top/>
      <bottom/>
      <diagonal/>
    </border>
    <border>
      <left style="hair">
        <color auto="1"/>
      </left>
      <right/>
      <top/>
      <bottom style="thin">
        <color auto="1"/>
      </bottom>
      <diagonal/>
    </border>
    <border>
      <left/>
      <right style="hair">
        <color auto="1"/>
      </right>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style="hair">
        <color auto="1"/>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top style="thin">
        <color indexed="64"/>
      </top>
      <bottom style="thin">
        <color indexed="64"/>
      </bottom>
      <diagonal/>
    </border>
    <border>
      <left/>
      <right style="thin">
        <color theme="0" tint="-0.499984740745262"/>
      </right>
      <top style="thin">
        <color auto="1"/>
      </top>
      <bottom/>
      <diagonal/>
    </border>
    <border>
      <left/>
      <right style="thin">
        <color theme="0" tint="-0.499984740745262"/>
      </right>
      <top/>
      <bottom/>
      <diagonal/>
    </border>
    <border>
      <left style="thin">
        <color theme="0" tint="-0.499984740745262"/>
      </left>
      <right/>
      <top/>
      <bottom/>
      <diagonal/>
    </border>
    <border>
      <left style="thin">
        <color theme="0" tint="-0.499984740745262"/>
      </left>
      <right/>
      <top/>
      <bottom style="thin">
        <color auto="1"/>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style="hair">
        <color theme="9" tint="0.39994506668294322"/>
      </top>
      <bottom style="hair">
        <color theme="9" tint="0.39994506668294322"/>
      </bottom>
      <diagonal/>
    </border>
    <border>
      <left style="hair">
        <color theme="0" tint="-0.499984740745262"/>
      </left>
      <right style="hair">
        <color theme="0" tint="-0.499984740745262"/>
      </right>
      <top style="hair">
        <color auto="1"/>
      </top>
      <bottom style="hair">
        <color auto="1"/>
      </bottom>
      <diagonal/>
    </border>
    <border>
      <left style="hair">
        <color theme="0" tint="-0.499984740745262"/>
      </left>
      <right style="hair">
        <color auto="1"/>
      </right>
      <top style="hair">
        <color auto="1"/>
      </top>
      <bottom style="hair">
        <color auto="1"/>
      </bottom>
      <diagonal/>
    </border>
    <border>
      <left style="hair">
        <color theme="0" tint="-0.499984740745262"/>
      </left>
      <right style="hair">
        <color theme="0" tint="-0.499984740745262"/>
      </right>
      <top/>
      <bottom/>
      <diagonal/>
    </border>
    <border>
      <left style="hair">
        <color theme="0" tint="-0.499984740745262"/>
      </left>
      <right style="hair">
        <color auto="1"/>
      </right>
      <top/>
      <bottom/>
      <diagonal/>
    </border>
    <border>
      <left style="thin">
        <color theme="0" tint="-0.499984740745262"/>
      </left>
      <right style="hair">
        <color theme="0" tint="-0.499984740745262"/>
      </right>
      <top style="hair">
        <color auto="1"/>
      </top>
      <bottom style="hair">
        <color auto="1"/>
      </bottom>
      <diagonal/>
    </border>
    <border>
      <left style="thin">
        <color theme="0" tint="-0.499984740745262"/>
      </left>
      <right style="hair">
        <color theme="0" tint="-0.499984740745262"/>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theme="0" tint="-0.499984740745262"/>
      </left>
      <right style="hair">
        <color theme="0" tint="-0.499984740745262"/>
      </right>
      <top/>
      <bottom style="hair">
        <color auto="1"/>
      </bottom>
      <diagonal/>
    </border>
    <border>
      <left style="hair">
        <color theme="0" tint="-0.499984740745262"/>
      </left>
      <right style="hair">
        <color theme="0" tint="-0.499984740745262"/>
      </right>
      <top/>
      <bottom style="hair">
        <color auto="1"/>
      </bottom>
      <diagonal/>
    </border>
    <border>
      <left style="hair">
        <color theme="0" tint="-0.499984740745262"/>
      </left>
      <right style="hair">
        <color auto="1"/>
      </right>
      <top/>
      <bottom style="hair">
        <color auto="1"/>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auto="1"/>
      </left>
      <right style="hair">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style="hair">
        <color auto="1"/>
      </right>
      <top style="medium">
        <color indexed="64"/>
      </top>
      <bottom style="thin">
        <color auto="1"/>
      </bottom>
      <diagonal/>
    </border>
    <border>
      <left style="hair">
        <color auto="1"/>
      </left>
      <right style="hair">
        <color auto="1"/>
      </right>
      <top style="medium">
        <color indexed="64"/>
      </top>
      <bottom style="thin">
        <color auto="1"/>
      </bottom>
      <diagonal/>
    </border>
    <border>
      <left style="hair">
        <color auto="1"/>
      </left>
      <right style="medium">
        <color indexed="64"/>
      </right>
      <top style="medium">
        <color indexed="64"/>
      </top>
      <bottom style="thin">
        <color auto="1"/>
      </bottom>
      <diagonal/>
    </border>
    <border>
      <left style="medium">
        <color indexed="64"/>
      </left>
      <right style="hair">
        <color auto="1"/>
      </right>
      <top style="thin">
        <color auto="1"/>
      </top>
      <bottom style="thin">
        <color auto="1"/>
      </bottom>
      <diagonal/>
    </border>
    <border>
      <left style="hair">
        <color auto="1"/>
      </left>
      <right style="medium">
        <color indexed="64"/>
      </right>
      <top style="thin">
        <color auto="1"/>
      </top>
      <bottom style="thin">
        <color auto="1"/>
      </bottom>
      <diagonal/>
    </border>
    <border>
      <left style="medium">
        <color indexed="64"/>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indexed="64"/>
      </right>
      <top style="thin">
        <color auto="1"/>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style="thin">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indexed="64"/>
      </left>
      <right style="medium">
        <color indexed="64"/>
      </right>
      <top style="hair">
        <color auto="1"/>
      </top>
      <bottom style="hair">
        <color auto="1"/>
      </bottom>
      <diagonal/>
    </border>
    <border>
      <left/>
      <right style="thin">
        <color auto="1"/>
      </right>
      <top style="hair">
        <color auto="1"/>
      </top>
      <bottom style="hair">
        <color auto="1"/>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bottom style="medium">
        <color indexed="64"/>
      </bottom>
      <diagonal/>
    </border>
    <border>
      <left style="thin">
        <color auto="1"/>
      </left>
      <right style="thin">
        <color auto="1"/>
      </right>
      <top style="thin">
        <color auto="1"/>
      </top>
      <bottom style="hair">
        <color auto="1"/>
      </bottom>
      <diagonal/>
    </border>
    <border>
      <left style="medium">
        <color indexed="64"/>
      </left>
      <right style="medium">
        <color indexed="64"/>
      </right>
      <top/>
      <bottom/>
      <diagonal/>
    </border>
    <border>
      <left style="thin">
        <color auto="1"/>
      </left>
      <right style="thin">
        <color auto="1"/>
      </right>
      <top style="hair">
        <color auto="1"/>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hair">
        <color indexed="64"/>
      </bottom>
      <diagonal/>
    </border>
    <border>
      <left style="thin">
        <color auto="1"/>
      </left>
      <right style="thin">
        <color auto="1"/>
      </right>
      <top/>
      <bottom style="hair">
        <color auto="1"/>
      </bottom>
      <diagonal/>
    </border>
    <border>
      <left style="thin">
        <color auto="1"/>
      </left>
      <right/>
      <top/>
      <bottom style="hair">
        <color auto="1"/>
      </bottom>
      <diagonal/>
    </border>
    <border>
      <left/>
      <right style="thin">
        <color auto="1"/>
      </right>
      <top/>
      <bottom style="hair">
        <color auto="1"/>
      </bottom>
      <diagonal/>
    </border>
  </borders>
  <cellStyleXfs count="5">
    <xf numFmtId="0" fontId="0" fillId="0" borderId="0"/>
    <xf numFmtId="9" fontId="1" fillId="0" borderId="0" applyFont="0" applyFill="0" applyBorder="0" applyAlignment="0" applyProtection="0"/>
    <xf numFmtId="165" fontId="1" fillId="0" borderId="0" applyFont="0" applyFill="0" applyBorder="0" applyAlignment="0" applyProtection="0"/>
    <xf numFmtId="0" fontId="40" fillId="0" borderId="0" applyNumberFormat="0" applyFill="0" applyBorder="0" applyAlignment="0" applyProtection="0"/>
    <xf numFmtId="176" fontId="1" fillId="0" borderId="0" applyFont="0" applyFill="0" applyBorder="0" applyAlignment="0" applyProtection="0"/>
  </cellStyleXfs>
  <cellXfs count="503">
    <xf numFmtId="0" fontId="0" fillId="0" borderId="0" xfId="0"/>
    <xf numFmtId="0" fontId="2" fillId="0" borderId="0" xfId="0" applyFont="1"/>
    <xf numFmtId="0" fontId="3" fillId="0" borderId="0" xfId="0" applyFont="1"/>
    <xf numFmtId="0" fontId="5" fillId="0" borderId="6" xfId="0" applyFont="1" applyBorder="1" applyAlignment="1">
      <alignment horizontal="center"/>
    </xf>
    <xf numFmtId="0" fontId="5" fillId="0" borderId="0" xfId="0" applyFont="1" applyAlignment="1">
      <alignment horizontal="center"/>
    </xf>
    <xf numFmtId="166" fontId="5" fillId="0" borderId="0" xfId="1" applyNumberFormat="1" applyFont="1" applyAlignment="1">
      <alignment horizontal="center"/>
    </xf>
    <xf numFmtId="166" fontId="5" fillId="0" borderId="0" xfId="1" applyNumberFormat="1" applyFont="1" applyBorder="1" applyAlignment="1">
      <alignment horizontal="center"/>
    </xf>
    <xf numFmtId="0" fontId="5" fillId="0" borderId="10" xfId="0" applyFont="1" applyBorder="1" applyAlignment="1">
      <alignment horizontal="center"/>
    </xf>
    <xf numFmtId="0" fontId="0" fillId="0" borderId="0" xfId="0" applyAlignment="1">
      <alignment horizontal="center"/>
    </xf>
    <xf numFmtId="0" fontId="6" fillId="0" borderId="3" xfId="0" applyFont="1" applyBorder="1" applyAlignment="1">
      <alignment horizontal="center"/>
    </xf>
    <xf numFmtId="0" fontId="6" fillId="0" borderId="6" xfId="0" applyFont="1" applyBorder="1" applyAlignment="1">
      <alignment horizontal="center"/>
    </xf>
    <xf numFmtId="0" fontId="6" fillId="0" borderId="8" xfId="0" applyFont="1" applyBorder="1" applyAlignment="1">
      <alignment horizontal="center"/>
    </xf>
    <xf numFmtId="0" fontId="6" fillId="0" borderId="2" xfId="0" applyFont="1" applyBorder="1" applyAlignment="1">
      <alignment horizontal="center"/>
    </xf>
    <xf numFmtId="0" fontId="8" fillId="0" borderId="6" xfId="0" applyFont="1" applyBorder="1" applyAlignment="1">
      <alignment horizontal="center"/>
    </xf>
    <xf numFmtId="166" fontId="6" fillId="0" borderId="1" xfId="1" applyNumberFormat="1" applyFont="1" applyBorder="1" applyAlignment="1">
      <alignment horizontal="center"/>
    </xf>
    <xf numFmtId="166" fontId="8" fillId="0" borderId="0" xfId="1" applyNumberFormat="1" applyFont="1" applyBorder="1" applyAlignment="1">
      <alignment horizontal="center"/>
    </xf>
    <xf numFmtId="166" fontId="8" fillId="0" borderId="0" xfId="1" applyNumberFormat="1" applyFont="1" applyAlignment="1">
      <alignment horizontal="center"/>
    </xf>
    <xf numFmtId="0" fontId="0" fillId="0" borderId="12" xfId="0" applyBorder="1"/>
    <xf numFmtId="0" fontId="2" fillId="0" borderId="0" xfId="0" applyFont="1" applyAlignment="1">
      <alignment horizontal="right"/>
    </xf>
    <xf numFmtId="0" fontId="2" fillId="0" borderId="14" xfId="0" applyFont="1" applyBorder="1" applyAlignment="1">
      <alignment horizontal="right"/>
    </xf>
    <xf numFmtId="0" fontId="2" fillId="0" borderId="13" xfId="0" applyFont="1" applyBorder="1" applyAlignment="1">
      <alignment horizontal="right"/>
    </xf>
    <xf numFmtId="0" fontId="2" fillId="0" borderId="12" xfId="0" applyFont="1" applyBorder="1" applyAlignment="1">
      <alignment horizontal="right"/>
    </xf>
    <xf numFmtId="0" fontId="2" fillId="0" borderId="10" xfId="0" applyFont="1" applyBorder="1"/>
    <xf numFmtId="0" fontId="0" fillId="0" borderId="6" xfId="0" applyBorder="1"/>
    <xf numFmtId="0" fontId="3" fillId="0" borderId="6" xfId="0" applyFont="1" applyBorder="1"/>
    <xf numFmtId="0" fontId="0" fillId="0" borderId="6" xfId="0" quotePrefix="1" applyBorder="1"/>
    <xf numFmtId="0" fontId="0" fillId="0" borderId="10" xfId="0" quotePrefix="1" applyBorder="1"/>
    <xf numFmtId="0" fontId="10" fillId="0" borderId="0" xfId="0" applyFont="1"/>
    <xf numFmtId="0" fontId="13" fillId="0" borderId="0" xfId="0" applyFont="1" applyAlignment="1">
      <alignment horizontal="right"/>
    </xf>
    <xf numFmtId="0" fontId="13" fillId="0" borderId="1" xfId="0" applyFont="1" applyBorder="1" applyAlignment="1">
      <alignment horizontal="right"/>
    </xf>
    <xf numFmtId="0" fontId="14" fillId="0" borderId="1" xfId="0" applyFont="1" applyBorder="1" applyAlignment="1">
      <alignment horizontal="right"/>
    </xf>
    <xf numFmtId="0" fontId="13" fillId="0" borderId="12" xfId="0" applyFont="1" applyBorder="1" applyAlignment="1">
      <alignment horizontal="right"/>
    </xf>
    <xf numFmtId="0" fontId="15" fillId="0" borderId="3" xfId="0" applyFont="1" applyBorder="1" applyAlignment="1">
      <alignment horizontal="center"/>
    </xf>
    <xf numFmtId="0" fontId="15" fillId="0" borderId="2" xfId="0" applyFont="1" applyBorder="1" applyAlignment="1">
      <alignment horizontal="center"/>
    </xf>
    <xf numFmtId="166" fontId="15" fillId="0" borderId="1" xfId="1" applyNumberFormat="1" applyFont="1" applyBorder="1" applyAlignment="1">
      <alignment horizontal="center"/>
    </xf>
    <xf numFmtId="166" fontId="16" fillId="0" borderId="0" xfId="1" applyNumberFormat="1" applyFont="1" applyBorder="1" applyAlignment="1">
      <alignment horizontal="center"/>
    </xf>
    <xf numFmtId="166" fontId="16" fillId="0" borderId="0" xfId="1" applyNumberFormat="1" applyFont="1" applyAlignment="1">
      <alignment horizontal="center"/>
    </xf>
    <xf numFmtId="166" fontId="13" fillId="0" borderId="0" xfId="1" applyNumberFormat="1" applyFont="1" applyAlignment="1">
      <alignment horizontal="center"/>
    </xf>
    <xf numFmtId="0" fontId="13" fillId="0" borderId="0" xfId="0" applyFont="1"/>
    <xf numFmtId="0" fontId="0" fillId="2" borderId="0" xfId="0" applyFill="1"/>
    <xf numFmtId="0" fontId="9" fillId="0" borderId="0" xfId="0" applyFont="1"/>
    <xf numFmtId="0" fontId="18" fillId="0" borderId="0" xfId="0" applyFont="1"/>
    <xf numFmtId="0" fontId="9" fillId="3" borderId="0" xfId="0" applyFont="1" applyFill="1"/>
    <xf numFmtId="0" fontId="18" fillId="3" borderId="0" xfId="0" applyFont="1" applyFill="1"/>
    <xf numFmtId="0" fontId="19" fillId="0" borderId="0" xfId="0" applyFont="1"/>
    <xf numFmtId="0" fontId="9" fillId="0" borderId="3" xfId="0" applyFont="1" applyBorder="1"/>
    <xf numFmtId="0" fontId="18" fillId="0" borderId="3" xfId="0" applyFont="1" applyBorder="1"/>
    <xf numFmtId="0" fontId="9" fillId="0" borderId="15" xfId="0" applyFont="1" applyBorder="1"/>
    <xf numFmtId="0" fontId="18" fillId="0" borderId="15" xfId="0" applyFont="1" applyBorder="1"/>
    <xf numFmtId="0" fontId="20" fillId="0" borderId="0" xfId="0" applyFont="1"/>
    <xf numFmtId="0" fontId="22" fillId="0" borderId="0" xfId="0" applyFont="1" applyAlignment="1">
      <alignment horizontal="center"/>
    </xf>
    <xf numFmtId="0" fontId="7" fillId="0" borderId="2" xfId="0" applyFont="1" applyBorder="1" applyAlignment="1">
      <alignment horizontal="center" wrapText="1"/>
    </xf>
    <xf numFmtId="166" fontId="22" fillId="0" borderId="0" xfId="1" applyNumberFormat="1" applyFont="1" applyAlignment="1">
      <alignment horizontal="center"/>
    </xf>
    <xf numFmtId="166" fontId="6" fillId="0" borderId="3" xfId="1" applyNumberFormat="1" applyFont="1" applyBorder="1" applyAlignment="1">
      <alignment horizontal="center"/>
    </xf>
    <xf numFmtId="166" fontId="6" fillId="0" borderId="2" xfId="1" applyNumberFormat="1" applyFont="1" applyBorder="1" applyAlignment="1">
      <alignment horizontal="center"/>
    </xf>
    <xf numFmtId="166" fontId="23" fillId="0" borderId="3" xfId="1" applyNumberFormat="1" applyFont="1" applyBorder="1" applyAlignment="1">
      <alignment horizontal="center"/>
    </xf>
    <xf numFmtId="0" fontId="24" fillId="0" borderId="2" xfId="0" applyFont="1" applyBorder="1" applyAlignment="1">
      <alignment horizontal="center"/>
    </xf>
    <xf numFmtId="166" fontId="23" fillId="0" borderId="1" xfId="1" applyNumberFormat="1" applyFont="1" applyBorder="1" applyAlignment="1">
      <alignment horizontal="center"/>
    </xf>
    <xf numFmtId="166" fontId="25" fillId="0" borderId="0" xfId="1" applyNumberFormat="1" applyFont="1" applyAlignment="1">
      <alignment horizontal="center"/>
    </xf>
    <xf numFmtId="0" fontId="23" fillId="0" borderId="5" xfId="0" applyFont="1" applyBorder="1" applyAlignment="1">
      <alignment horizontal="center"/>
    </xf>
    <xf numFmtId="0" fontId="23" fillId="0" borderId="7" xfId="0" applyFont="1" applyBorder="1" applyAlignment="1">
      <alignment horizontal="center"/>
    </xf>
    <xf numFmtId="0" fontId="24" fillId="0" borderId="9" xfId="0" applyFont="1" applyBorder="1" applyAlignment="1">
      <alignment horizontal="center"/>
    </xf>
    <xf numFmtId="0" fontId="23" fillId="0" borderId="11" xfId="0" applyFont="1" applyBorder="1" applyAlignment="1">
      <alignment horizontal="center"/>
    </xf>
    <xf numFmtId="0" fontId="25" fillId="0" borderId="7" xfId="0" applyFont="1" applyBorder="1" applyAlignment="1">
      <alignment horizontal="center"/>
    </xf>
    <xf numFmtId="0" fontId="25" fillId="0" borderId="11" xfId="0" applyFont="1" applyBorder="1" applyAlignment="1">
      <alignment horizontal="center"/>
    </xf>
    <xf numFmtId="0" fontId="4" fillId="0" borderId="0" xfId="0" applyFont="1" applyAlignment="1">
      <alignment horizontal="center"/>
    </xf>
    <xf numFmtId="0" fontId="23" fillId="0" borderId="3" xfId="0" applyFont="1" applyBorder="1" applyAlignment="1">
      <alignment horizontal="center"/>
    </xf>
    <xf numFmtId="0" fontId="23" fillId="0" borderId="1" xfId="0" applyFont="1" applyBorder="1" applyAlignment="1">
      <alignment horizontal="center"/>
    </xf>
    <xf numFmtId="0" fontId="25" fillId="0" borderId="1" xfId="0" applyFont="1" applyBorder="1" applyAlignment="1">
      <alignment horizontal="center"/>
    </xf>
    <xf numFmtId="0" fontId="4" fillId="0" borderId="0" xfId="0" applyFont="1"/>
    <xf numFmtId="0" fontId="23" fillId="0" borderId="16" xfId="0" applyFont="1" applyBorder="1" applyAlignment="1">
      <alignment horizontal="center"/>
    </xf>
    <xf numFmtId="0" fontId="23" fillId="0" borderId="17" xfId="0" applyFont="1" applyBorder="1" applyAlignment="1">
      <alignment horizontal="center"/>
    </xf>
    <xf numFmtId="0" fontId="5" fillId="0" borderId="3" xfId="0" applyFont="1" applyBorder="1" applyAlignment="1">
      <alignment horizontal="center"/>
    </xf>
    <xf numFmtId="0" fontId="5" fillId="0" borderId="0" xfId="0" applyFont="1"/>
    <xf numFmtId="0" fontId="16" fillId="0" borderId="18" xfId="0" applyFont="1" applyBorder="1" applyAlignment="1">
      <alignment horizontal="center"/>
    </xf>
    <xf numFmtId="0" fontId="15" fillId="0" borderId="19" xfId="0" applyFont="1" applyBorder="1" applyAlignment="1">
      <alignment horizontal="center"/>
    </xf>
    <xf numFmtId="166" fontId="25" fillId="0" borderId="17" xfId="1" applyNumberFormat="1" applyFont="1" applyBorder="1" applyAlignment="1">
      <alignment horizontal="center"/>
    </xf>
    <xf numFmtId="166" fontId="13" fillId="0" borderId="0" xfId="1" applyNumberFormat="1" applyFont="1" applyBorder="1" applyAlignment="1">
      <alignment horizontal="center"/>
    </xf>
    <xf numFmtId="166" fontId="15" fillId="0" borderId="20" xfId="1" applyNumberFormat="1" applyFont="1" applyBorder="1" applyAlignment="1">
      <alignment horizontal="center"/>
    </xf>
    <xf numFmtId="166" fontId="23" fillId="0" borderId="21" xfId="1" applyNumberFormat="1" applyFont="1" applyBorder="1" applyAlignment="1">
      <alignment horizontal="center"/>
    </xf>
    <xf numFmtId="0" fontId="16" fillId="0" borderId="3" xfId="0" applyFont="1" applyBorder="1" applyAlignment="1">
      <alignment horizontal="center"/>
    </xf>
    <xf numFmtId="166" fontId="22" fillId="0" borderId="0" xfId="1" applyNumberFormat="1" applyFont="1" applyBorder="1" applyAlignment="1">
      <alignment horizontal="center"/>
    </xf>
    <xf numFmtId="166" fontId="25" fillId="0" borderId="0" xfId="1" applyNumberFormat="1" applyFont="1" applyBorder="1" applyAlignment="1">
      <alignment horizontal="center"/>
    </xf>
    <xf numFmtId="0" fontId="11" fillId="0" borderId="22" xfId="0" applyFont="1" applyBorder="1"/>
    <xf numFmtId="0" fontId="4" fillId="0" borderId="22" xfId="0" applyFont="1" applyBorder="1"/>
    <xf numFmtId="166" fontId="4" fillId="0" borderId="0" xfId="1" applyNumberFormat="1" applyFont="1" applyBorder="1" applyAlignment="1">
      <alignment horizontal="center"/>
    </xf>
    <xf numFmtId="0" fontId="28" fillId="0" borderId="10" xfId="0" applyFont="1" applyBorder="1" applyAlignment="1">
      <alignment horizontal="center"/>
    </xf>
    <xf numFmtId="0" fontId="29" fillId="0" borderId="6" xfId="0" applyFont="1" applyBorder="1" applyAlignment="1">
      <alignment horizontal="center"/>
    </xf>
    <xf numFmtId="0" fontId="29" fillId="0" borderId="10" xfId="0" applyFont="1" applyBorder="1" applyAlignment="1">
      <alignment horizontal="center"/>
    </xf>
    <xf numFmtId="0" fontId="30" fillId="0" borderId="0" xfId="0" applyFont="1" applyAlignment="1">
      <alignment horizontal="center"/>
    </xf>
    <xf numFmtId="0" fontId="30" fillId="0" borderId="0" xfId="0" applyFont="1"/>
    <xf numFmtId="0" fontId="2" fillId="0" borderId="6" xfId="0" applyFont="1" applyBorder="1"/>
    <xf numFmtId="0" fontId="14" fillId="0" borderId="0" xfId="0" applyFont="1" applyAlignment="1">
      <alignment horizontal="right"/>
    </xf>
    <xf numFmtId="166" fontId="5" fillId="0" borderId="25" xfId="1" applyNumberFormat="1" applyFont="1" applyBorder="1" applyAlignment="1">
      <alignment horizontal="center"/>
    </xf>
    <xf numFmtId="166" fontId="5" fillId="0" borderId="26" xfId="1" applyNumberFormat="1" applyFont="1" applyBorder="1" applyAlignment="1">
      <alignment horizontal="center"/>
    </xf>
    <xf numFmtId="166" fontId="5" fillId="0" borderId="28" xfId="1" applyNumberFormat="1" applyFont="1" applyBorder="1" applyAlignment="1">
      <alignment horizontal="center"/>
    </xf>
    <xf numFmtId="0" fontId="5" fillId="0" borderId="4" xfId="0" applyFont="1" applyBorder="1" applyAlignment="1">
      <alignment horizontal="center"/>
    </xf>
    <xf numFmtId="0" fontId="5" fillId="0" borderId="6" xfId="0" quotePrefix="1" applyFont="1" applyBorder="1" applyAlignment="1">
      <alignment horizontal="center"/>
    </xf>
    <xf numFmtId="0" fontId="5" fillId="0" borderId="8" xfId="0" applyFont="1" applyBorder="1" applyAlignment="1">
      <alignment horizontal="center"/>
    </xf>
    <xf numFmtId="0" fontId="5" fillId="0" borderId="2" xfId="0" applyFont="1" applyBorder="1" applyAlignment="1">
      <alignment horizontal="center"/>
    </xf>
    <xf numFmtId="166" fontId="5" fillId="0" borderId="1" xfId="1" applyNumberFormat="1" applyFont="1" applyBorder="1" applyAlignment="1">
      <alignment horizontal="center"/>
    </xf>
    <xf numFmtId="166" fontId="5" fillId="0" borderId="27" xfId="1" applyNumberFormat="1" applyFont="1" applyBorder="1" applyAlignment="1">
      <alignment horizontal="center"/>
    </xf>
    <xf numFmtId="166" fontId="5" fillId="0" borderId="23" xfId="1" applyNumberFormat="1" applyFont="1" applyBorder="1" applyAlignment="1">
      <alignment horizontal="center"/>
    </xf>
    <xf numFmtId="166" fontId="5" fillId="0" borderId="24" xfId="1" applyNumberFormat="1" applyFont="1" applyBorder="1" applyAlignment="1">
      <alignment horizontal="center"/>
    </xf>
    <xf numFmtId="166" fontId="1" fillId="0" borderId="0" xfId="1" applyNumberFormat="1" applyFont="1" applyAlignment="1">
      <alignment horizontal="center"/>
    </xf>
    <xf numFmtId="0" fontId="2" fillId="2" borderId="10" xfId="0" applyFont="1" applyFill="1" applyBorder="1"/>
    <xf numFmtId="0" fontId="13" fillId="2" borderId="1" xfId="0" applyFont="1" applyFill="1" applyBorder="1" applyAlignment="1">
      <alignment horizontal="right"/>
    </xf>
    <xf numFmtId="0" fontId="9" fillId="2" borderId="13" xfId="0" applyFont="1" applyFill="1" applyBorder="1" applyAlignment="1">
      <alignment horizontal="right"/>
    </xf>
    <xf numFmtId="167" fontId="0" fillId="0" borderId="0" xfId="2" applyNumberFormat="1" applyFont="1"/>
    <xf numFmtId="0" fontId="22" fillId="0" borderId="29" xfId="0" applyFont="1" applyBorder="1" applyAlignment="1">
      <alignment horizontal="center"/>
    </xf>
    <xf numFmtId="0" fontId="0" fillId="0" borderId="29" xfId="0" applyBorder="1"/>
    <xf numFmtId="0" fontId="31" fillId="0" borderId="0" xfId="0" applyFont="1" applyAlignment="1">
      <alignment horizontal="left"/>
    </xf>
    <xf numFmtId="0" fontId="32" fillId="4" borderId="30" xfId="0" applyFont="1" applyFill="1" applyBorder="1" applyAlignment="1">
      <alignment horizontal="center"/>
    </xf>
    <xf numFmtId="168" fontId="22" fillId="0" borderId="29" xfId="0" applyNumberFormat="1" applyFont="1" applyBorder="1" applyAlignment="1">
      <alignment horizontal="center"/>
    </xf>
    <xf numFmtId="169" fontId="22" fillId="0" borderId="0" xfId="0" applyNumberFormat="1" applyFont="1" applyAlignment="1">
      <alignment horizontal="center"/>
    </xf>
    <xf numFmtId="168" fontId="22" fillId="0" borderId="0" xfId="0" applyNumberFormat="1" applyFont="1" applyAlignment="1">
      <alignment horizontal="center"/>
    </xf>
    <xf numFmtId="170" fontId="22" fillId="0" borderId="0" xfId="0" applyNumberFormat="1" applyFont="1" applyAlignment="1">
      <alignment horizontal="center"/>
    </xf>
    <xf numFmtId="0" fontId="32" fillId="4" borderId="29" xfId="0" applyFont="1" applyFill="1" applyBorder="1" applyAlignment="1">
      <alignment horizontal="center"/>
    </xf>
    <xf numFmtId="0" fontId="32" fillId="0" borderId="0" xfId="0" applyFont="1" applyAlignment="1">
      <alignment horizontal="left"/>
    </xf>
    <xf numFmtId="0" fontId="32" fillId="0" borderId="29" xfId="0" applyFont="1" applyBorder="1" applyAlignment="1">
      <alignment horizontal="left"/>
    </xf>
    <xf numFmtId="168" fontId="0" fillId="0" borderId="29" xfId="0" applyNumberFormat="1" applyBorder="1" applyAlignment="1">
      <alignment horizontal="center"/>
    </xf>
    <xf numFmtId="9" fontId="0" fillId="0" borderId="29" xfId="1" applyFont="1" applyBorder="1" applyAlignment="1">
      <alignment horizontal="center"/>
    </xf>
    <xf numFmtId="9" fontId="0" fillId="0" borderId="29" xfId="0" applyNumberFormat="1" applyBorder="1" applyAlignment="1">
      <alignment horizontal="center"/>
    </xf>
    <xf numFmtId="165" fontId="22" fillId="0" borderId="29" xfId="0" applyNumberFormat="1" applyFont="1" applyBorder="1" applyAlignment="1">
      <alignment horizontal="center"/>
    </xf>
    <xf numFmtId="170" fontId="32" fillId="4" borderId="29" xfId="0" applyNumberFormat="1" applyFont="1" applyFill="1" applyBorder="1" applyAlignment="1">
      <alignment horizontal="left"/>
    </xf>
    <xf numFmtId="0" fontId="0" fillId="4" borderId="0" xfId="0" applyFill="1"/>
    <xf numFmtId="0" fontId="2" fillId="4" borderId="0" xfId="0" applyFont="1" applyFill="1"/>
    <xf numFmtId="0" fontId="35" fillId="4" borderId="0" xfId="0" applyFont="1" applyFill="1" applyAlignment="1">
      <alignment horizontal="center"/>
    </xf>
    <xf numFmtId="0" fontId="36" fillId="4" borderId="0" xfId="0" applyFont="1" applyFill="1" applyAlignment="1">
      <alignment horizontal="center"/>
    </xf>
    <xf numFmtId="166" fontId="35" fillId="4" borderId="0" xfId="1" applyNumberFormat="1" applyFont="1" applyFill="1" applyAlignment="1">
      <alignment horizontal="center"/>
    </xf>
    <xf numFmtId="166" fontId="23" fillId="4" borderId="0" xfId="1" applyNumberFormat="1" applyFont="1" applyFill="1" applyAlignment="1">
      <alignment horizontal="center"/>
    </xf>
    <xf numFmtId="0" fontId="2" fillId="4" borderId="0" xfId="0" applyFont="1" applyFill="1" applyAlignment="1">
      <alignment horizontal="center"/>
    </xf>
    <xf numFmtId="0" fontId="5" fillId="4" borderId="0" xfId="0" applyFont="1" applyFill="1" applyAlignment="1">
      <alignment horizontal="center"/>
    </xf>
    <xf numFmtId="0" fontId="13" fillId="4" borderId="0" xfId="0" applyFont="1" applyFill="1"/>
    <xf numFmtId="0" fontId="4" fillId="4" borderId="0" xfId="0" applyFont="1" applyFill="1"/>
    <xf numFmtId="0" fontId="22" fillId="5" borderId="29" xfId="0" applyFont="1" applyFill="1" applyBorder="1" applyAlignment="1">
      <alignment horizontal="left"/>
    </xf>
    <xf numFmtId="0" fontId="22" fillId="5" borderId="29" xfId="0" applyFont="1" applyFill="1" applyBorder="1"/>
    <xf numFmtId="0" fontId="37" fillId="0" borderId="0" xfId="0" applyFont="1" applyAlignment="1">
      <alignment horizontal="right"/>
    </xf>
    <xf numFmtId="168" fontId="22" fillId="6" borderId="0" xfId="0" applyNumberFormat="1" applyFont="1" applyFill="1" applyAlignment="1">
      <alignment horizontal="center"/>
    </xf>
    <xf numFmtId="170" fontId="22" fillId="6" borderId="0" xfId="0" applyNumberFormat="1" applyFont="1" applyFill="1" applyAlignment="1">
      <alignment horizontal="center"/>
    </xf>
    <xf numFmtId="2" fontId="6" fillId="0" borderId="10" xfId="0" applyNumberFormat="1" applyFont="1" applyBorder="1" applyAlignment="1">
      <alignment horizontal="center"/>
    </xf>
    <xf numFmtId="165" fontId="6" fillId="0" borderId="10" xfId="0" applyNumberFormat="1" applyFont="1" applyBorder="1" applyAlignment="1">
      <alignment horizontal="right"/>
    </xf>
    <xf numFmtId="2" fontId="6" fillId="0" borderId="10" xfId="0" applyNumberFormat="1" applyFont="1" applyBorder="1" applyAlignment="1">
      <alignment horizontal="right"/>
    </xf>
    <xf numFmtId="0" fontId="22" fillId="0" borderId="0" xfId="0" applyFont="1" applyAlignment="1">
      <alignment horizontal="left"/>
    </xf>
    <xf numFmtId="0" fontId="22" fillId="0" borderId="29" xfId="0" applyFont="1" applyBorder="1" applyAlignment="1">
      <alignment horizontal="left"/>
    </xf>
    <xf numFmtId="9" fontId="22" fillId="0" borderId="29" xfId="1" applyFont="1" applyBorder="1" applyAlignment="1">
      <alignment horizontal="center"/>
    </xf>
    <xf numFmtId="9" fontId="22" fillId="0" borderId="29" xfId="0" applyNumberFormat="1" applyFont="1" applyBorder="1" applyAlignment="1">
      <alignment horizontal="center"/>
    </xf>
    <xf numFmtId="0" fontId="34" fillId="0" borderId="0" xfId="0" applyFont="1" applyAlignment="1">
      <alignment horizontal="left"/>
    </xf>
    <xf numFmtId="166" fontId="6" fillId="0" borderId="12" xfId="1" applyNumberFormat="1" applyFont="1" applyBorder="1" applyAlignment="1">
      <alignment horizontal="center"/>
    </xf>
    <xf numFmtId="166" fontId="6" fillId="7" borderId="31" xfId="1" applyNumberFormat="1" applyFont="1" applyFill="1" applyBorder="1" applyAlignment="1">
      <alignment horizontal="center"/>
    </xf>
    <xf numFmtId="0" fontId="2" fillId="0" borderId="32" xfId="0" applyFont="1" applyBorder="1"/>
    <xf numFmtId="165" fontId="6" fillId="0" borderId="32" xfId="0" applyNumberFormat="1" applyFont="1" applyBorder="1" applyAlignment="1">
      <alignment horizontal="right"/>
    </xf>
    <xf numFmtId="166" fontId="6" fillId="0" borderId="33" xfId="1" applyNumberFormat="1" applyFont="1" applyBorder="1" applyAlignment="1">
      <alignment horizontal="center"/>
    </xf>
    <xf numFmtId="0" fontId="23" fillId="0" borderId="33" xfId="0" applyFont="1" applyBorder="1" applyAlignment="1">
      <alignment horizontal="center"/>
    </xf>
    <xf numFmtId="0" fontId="23" fillId="0" borderId="34" xfId="0" applyFont="1" applyBorder="1" applyAlignment="1">
      <alignment horizontal="center"/>
    </xf>
    <xf numFmtId="166" fontId="23" fillId="0" borderId="33" xfId="1" applyNumberFormat="1" applyFont="1" applyBorder="1" applyAlignment="1">
      <alignment horizontal="center"/>
    </xf>
    <xf numFmtId="0" fontId="5" fillId="0" borderId="32" xfId="0" applyFont="1" applyBorder="1" applyAlignment="1">
      <alignment horizontal="center"/>
    </xf>
    <xf numFmtId="166" fontId="5" fillId="0" borderId="33" xfId="1" applyNumberFormat="1" applyFont="1" applyBorder="1" applyAlignment="1">
      <alignment horizontal="center"/>
    </xf>
    <xf numFmtId="166" fontId="5" fillId="0" borderId="35" xfId="1" applyNumberFormat="1" applyFont="1" applyBorder="1" applyAlignment="1">
      <alignment horizontal="center"/>
    </xf>
    <xf numFmtId="166" fontId="5" fillId="0" borderId="36" xfId="1" applyNumberFormat="1" applyFont="1" applyBorder="1" applyAlignment="1">
      <alignment horizontal="center"/>
    </xf>
    <xf numFmtId="166" fontId="5" fillId="0" borderId="37" xfId="1" applyNumberFormat="1" applyFont="1" applyBorder="1" applyAlignment="1">
      <alignment horizontal="center"/>
    </xf>
    <xf numFmtId="0" fontId="28" fillId="0" borderId="32" xfId="0" applyFont="1" applyBorder="1" applyAlignment="1">
      <alignment horizontal="center"/>
    </xf>
    <xf numFmtId="166" fontId="15" fillId="0" borderId="33" xfId="1" applyNumberFormat="1" applyFont="1" applyBorder="1" applyAlignment="1">
      <alignment horizontal="center"/>
    </xf>
    <xf numFmtId="166" fontId="15" fillId="0" borderId="38" xfId="1" applyNumberFormat="1" applyFont="1" applyBorder="1" applyAlignment="1">
      <alignment horizontal="center"/>
    </xf>
    <xf numFmtId="166" fontId="23" fillId="0" borderId="39" xfId="1" applyNumberFormat="1" applyFont="1" applyBorder="1" applyAlignment="1">
      <alignment horizontal="center"/>
    </xf>
    <xf numFmtId="0" fontId="2" fillId="0" borderId="40" xfId="0" applyFont="1" applyBorder="1"/>
    <xf numFmtId="0" fontId="26" fillId="0" borderId="3" xfId="0" applyFont="1" applyBorder="1" applyAlignment="1">
      <alignment horizontal="center"/>
    </xf>
    <xf numFmtId="0" fontId="14" fillId="0" borderId="41" xfId="0" applyFont="1" applyBorder="1" applyAlignment="1">
      <alignment horizontal="center"/>
    </xf>
    <xf numFmtId="0" fontId="0" fillId="0" borderId="42" xfId="0" applyBorder="1"/>
    <xf numFmtId="0" fontId="6" fillId="0" borderId="0" xfId="0" applyFont="1" applyAlignment="1">
      <alignment horizontal="center"/>
    </xf>
    <xf numFmtId="0" fontId="26" fillId="0" borderId="0" xfId="0" applyFont="1" applyAlignment="1">
      <alignment horizontal="center"/>
    </xf>
    <xf numFmtId="0" fontId="23" fillId="0" borderId="0" xfId="0" applyFont="1" applyAlignment="1">
      <alignment horizontal="center"/>
    </xf>
    <xf numFmtId="166" fontId="6" fillId="0" borderId="0" xfId="1" applyNumberFormat="1" applyFont="1" applyBorder="1" applyAlignment="1">
      <alignment horizontal="center"/>
    </xf>
    <xf numFmtId="166" fontId="23" fillId="0" borderId="0" xfId="1" applyNumberFormat="1" applyFont="1" applyBorder="1" applyAlignment="1">
      <alignment horizontal="center"/>
    </xf>
    <xf numFmtId="0" fontId="15" fillId="0" borderId="0" xfId="0" applyFont="1" applyAlignment="1">
      <alignment horizontal="center"/>
    </xf>
    <xf numFmtId="0" fontId="16" fillId="0" borderId="0" xfId="0" applyFont="1" applyAlignment="1">
      <alignment horizontal="center"/>
    </xf>
    <xf numFmtId="0" fontId="14" fillId="0" borderId="43" xfId="0" applyFont="1" applyBorder="1" applyAlignment="1">
      <alignment horizontal="center"/>
    </xf>
    <xf numFmtId="0" fontId="27" fillId="0" borderId="0" xfId="0" applyFont="1" applyAlignment="1">
      <alignment horizontal="center"/>
    </xf>
    <xf numFmtId="0" fontId="0" fillId="0" borderId="44" xfId="0" applyBorder="1"/>
    <xf numFmtId="0" fontId="24" fillId="0" borderId="45" xfId="0" applyFont="1" applyBorder="1" applyAlignment="1">
      <alignment horizontal="center"/>
    </xf>
    <xf numFmtId="2" fontId="6" fillId="0" borderId="6" xfId="0" applyNumberFormat="1" applyFont="1" applyBorder="1" applyAlignment="1">
      <alignment horizontal="right"/>
    </xf>
    <xf numFmtId="2" fontId="8" fillId="0" borderId="10" xfId="0" applyNumberFormat="1" applyFont="1" applyBorder="1" applyAlignment="1">
      <alignment horizontal="center"/>
    </xf>
    <xf numFmtId="0" fontId="38" fillId="4" borderId="31" xfId="0" applyFont="1" applyFill="1" applyBorder="1"/>
    <xf numFmtId="0" fontId="35" fillId="0" borderId="0" xfId="0" applyFont="1" applyAlignment="1">
      <alignment horizontal="left"/>
    </xf>
    <xf numFmtId="166" fontId="22" fillId="0" borderId="0" xfId="1" applyNumberFormat="1" applyFont="1" applyAlignment="1">
      <alignment horizontal="left"/>
    </xf>
    <xf numFmtId="0" fontId="39" fillId="0" borderId="0" xfId="0" applyFont="1" applyAlignment="1">
      <alignment horizontal="right"/>
    </xf>
    <xf numFmtId="2" fontId="0" fillId="0" borderId="0" xfId="0" applyNumberFormat="1"/>
    <xf numFmtId="9" fontId="0" fillId="0" borderId="0" xfId="0" applyNumberFormat="1"/>
    <xf numFmtId="167" fontId="22" fillId="5" borderId="29" xfId="2" applyNumberFormat="1" applyFont="1" applyFill="1" applyBorder="1" applyAlignment="1">
      <alignment horizontal="center"/>
    </xf>
    <xf numFmtId="166" fontId="22" fillId="0" borderId="29" xfId="0" applyNumberFormat="1" applyFont="1" applyBorder="1" applyAlignment="1">
      <alignment horizontal="center"/>
    </xf>
    <xf numFmtId="1" fontId="22" fillId="0" borderId="29" xfId="1" applyNumberFormat="1" applyFont="1" applyBorder="1" applyAlignment="1">
      <alignment horizontal="center"/>
    </xf>
    <xf numFmtId="0" fontId="22" fillId="0" borderId="0" xfId="0" applyFont="1"/>
    <xf numFmtId="1" fontId="0" fillId="0" borderId="0" xfId="0" applyNumberFormat="1"/>
    <xf numFmtId="1" fontId="13" fillId="0" borderId="0" xfId="0" applyNumberFormat="1" applyFont="1" applyAlignment="1">
      <alignment horizontal="right"/>
    </xf>
    <xf numFmtId="1" fontId="14" fillId="0" borderId="1" xfId="0" applyNumberFormat="1" applyFont="1" applyBorder="1" applyAlignment="1">
      <alignment horizontal="right"/>
    </xf>
    <xf numFmtId="1" fontId="2" fillId="0" borderId="14" xfId="0" applyNumberFormat="1" applyFont="1" applyBorder="1" applyAlignment="1">
      <alignment horizontal="right"/>
    </xf>
    <xf numFmtId="167" fontId="22" fillId="0" borderId="29" xfId="2" applyNumberFormat="1" applyFont="1" applyBorder="1" applyAlignment="1">
      <alignment horizontal="center"/>
    </xf>
    <xf numFmtId="1" fontId="2" fillId="0" borderId="13" xfId="0" applyNumberFormat="1" applyFont="1" applyBorder="1" applyAlignment="1">
      <alignment horizontal="right"/>
    </xf>
    <xf numFmtId="0" fontId="40" fillId="0" borderId="0" xfId="3"/>
    <xf numFmtId="1" fontId="0" fillId="0" borderId="46" xfId="0" applyNumberFormat="1" applyBorder="1"/>
    <xf numFmtId="0" fontId="2" fillId="8" borderId="46" xfId="0" applyFont="1" applyFill="1" applyBorder="1" applyAlignment="1">
      <alignment horizontal="center"/>
    </xf>
    <xf numFmtId="0" fontId="2" fillId="0" borderId="46" xfId="0" quotePrefix="1" applyFont="1" applyBorder="1"/>
    <xf numFmtId="0" fontId="2" fillId="8" borderId="49" xfId="0" applyFont="1" applyFill="1" applyBorder="1"/>
    <xf numFmtId="0" fontId="2" fillId="8" borderId="52" xfId="0" applyFont="1" applyFill="1" applyBorder="1" applyAlignment="1">
      <alignment horizontal="center"/>
    </xf>
    <xf numFmtId="0" fontId="2" fillId="8" borderId="53" xfId="0" applyFont="1" applyFill="1" applyBorder="1" applyAlignment="1">
      <alignment horizontal="center"/>
    </xf>
    <xf numFmtId="0" fontId="2" fillId="0" borderId="52" xfId="0" applyFont="1" applyBorder="1"/>
    <xf numFmtId="1" fontId="0" fillId="0" borderId="53" xfId="0" applyNumberFormat="1" applyBorder="1"/>
    <xf numFmtId="0" fontId="2" fillId="0" borderId="54" xfId="0" applyFont="1" applyBorder="1"/>
    <xf numFmtId="0" fontId="2" fillId="0" borderId="55" xfId="0" quotePrefix="1" applyFont="1" applyBorder="1"/>
    <xf numFmtId="1" fontId="0" fillId="0" borderId="55" xfId="0" applyNumberFormat="1" applyBorder="1"/>
    <xf numFmtId="1" fontId="0" fillId="0" borderId="56" xfId="0" applyNumberFormat="1" applyBorder="1"/>
    <xf numFmtId="1" fontId="2" fillId="0" borderId="59" xfId="2" applyNumberFormat="1" applyFont="1" applyBorder="1"/>
    <xf numFmtId="9" fontId="2" fillId="0" borderId="61" xfId="0" applyNumberFormat="1" applyFont="1" applyBorder="1"/>
    <xf numFmtId="0" fontId="2" fillId="0" borderId="61" xfId="0" applyFont="1" applyBorder="1"/>
    <xf numFmtId="1" fontId="2" fillId="0" borderId="61" xfId="0" applyNumberFormat="1" applyFont="1" applyBorder="1"/>
    <xf numFmtId="2" fontId="2" fillId="0" borderId="61" xfId="0" applyNumberFormat="1" applyFont="1" applyBorder="1"/>
    <xf numFmtId="171" fontId="2" fillId="0" borderId="64" xfId="0" applyNumberFormat="1" applyFont="1" applyBorder="1"/>
    <xf numFmtId="0" fontId="0" fillId="0" borderId="66" xfId="0" applyBorder="1"/>
    <xf numFmtId="0" fontId="2" fillId="0" borderId="65" xfId="0" applyFont="1" applyBorder="1"/>
    <xf numFmtId="2" fontId="0" fillId="0" borderId="66" xfId="0" applyNumberFormat="1" applyBorder="1"/>
    <xf numFmtId="0" fontId="2" fillId="0" borderId="67" xfId="0" applyFont="1" applyBorder="1"/>
    <xf numFmtId="0" fontId="0" fillId="0" borderId="68" xfId="0" applyBorder="1"/>
    <xf numFmtId="0" fontId="0" fillId="0" borderId="66" xfId="0" applyBorder="1" applyAlignment="1">
      <alignment horizontal="right"/>
    </xf>
    <xf numFmtId="0" fontId="2" fillId="0" borderId="29" xfId="0" applyFont="1" applyBorder="1"/>
    <xf numFmtId="2" fontId="0" fillId="0" borderId="29" xfId="0" applyNumberFormat="1" applyBorder="1"/>
    <xf numFmtId="1" fontId="0" fillId="0" borderId="29" xfId="0" applyNumberFormat="1" applyBorder="1"/>
    <xf numFmtId="9" fontId="0" fillId="0" borderId="29" xfId="0" applyNumberFormat="1" applyBorder="1"/>
    <xf numFmtId="0" fontId="0" fillId="0" borderId="48" xfId="0" applyBorder="1"/>
    <xf numFmtId="9" fontId="0" fillId="0" borderId="29" xfId="1" applyFont="1" applyBorder="1"/>
    <xf numFmtId="0" fontId="2" fillId="8" borderId="29" xfId="0" applyFont="1" applyFill="1" applyBorder="1"/>
    <xf numFmtId="0" fontId="2" fillId="8" borderId="29" xfId="0" applyFont="1" applyFill="1" applyBorder="1" applyAlignment="1">
      <alignment horizontal="center"/>
    </xf>
    <xf numFmtId="12" fontId="0" fillId="0" borderId="0" xfId="0" applyNumberFormat="1"/>
    <xf numFmtId="1" fontId="0" fillId="0" borderId="66" xfId="0" applyNumberFormat="1" applyBorder="1" applyAlignment="1">
      <alignment horizontal="right"/>
    </xf>
    <xf numFmtId="171" fontId="0" fillId="0" borderId="66" xfId="0" applyNumberFormat="1" applyBorder="1"/>
    <xf numFmtId="2" fontId="0" fillId="0" borderId="68" xfId="0" applyNumberFormat="1" applyBorder="1"/>
    <xf numFmtId="171" fontId="0" fillId="0" borderId="68" xfId="0" applyNumberFormat="1" applyBorder="1"/>
    <xf numFmtId="9" fontId="22" fillId="0" borderId="0" xfId="0" applyNumberFormat="1" applyFont="1" applyAlignment="1">
      <alignment horizontal="center"/>
    </xf>
    <xf numFmtId="0" fontId="2" fillId="0" borderId="47" xfId="0" applyFont="1" applyBorder="1"/>
    <xf numFmtId="0" fontId="22" fillId="0" borderId="78" xfId="0" applyFont="1" applyBorder="1" applyAlignment="1">
      <alignment horizontal="center"/>
    </xf>
    <xf numFmtId="0" fontId="22" fillId="0" borderId="68" xfId="0" applyFont="1" applyBorder="1" applyAlignment="1">
      <alignment horizontal="center"/>
    </xf>
    <xf numFmtId="0" fontId="32" fillId="4" borderId="73" xfId="0" applyFont="1" applyFill="1" applyBorder="1" applyAlignment="1">
      <alignment horizontal="center"/>
    </xf>
    <xf numFmtId="0" fontId="32" fillId="4" borderId="77" xfId="0" applyFont="1" applyFill="1" applyBorder="1" applyAlignment="1">
      <alignment horizontal="center"/>
    </xf>
    <xf numFmtId="0" fontId="32" fillId="4" borderId="74" xfId="0" applyFont="1" applyFill="1" applyBorder="1" applyAlignment="1">
      <alignment horizontal="center"/>
    </xf>
    <xf numFmtId="0" fontId="32" fillId="4" borderId="67" xfId="0" applyFont="1" applyFill="1" applyBorder="1" applyAlignment="1">
      <alignment horizontal="center"/>
    </xf>
    <xf numFmtId="0" fontId="0" fillId="0" borderId="78" xfId="0" applyBorder="1"/>
    <xf numFmtId="0" fontId="0" fillId="8" borderId="73" xfId="0" applyFill="1" applyBorder="1"/>
    <xf numFmtId="0" fontId="0" fillId="8" borderId="77" xfId="0" applyFill="1" applyBorder="1"/>
    <xf numFmtId="0" fontId="0" fillId="8" borderId="74" xfId="0" applyFill="1" applyBorder="1"/>
    <xf numFmtId="0" fontId="0" fillId="8" borderId="67" xfId="0" applyFill="1" applyBorder="1"/>
    <xf numFmtId="0" fontId="2" fillId="8" borderId="77" xfId="0" applyFont="1" applyFill="1" applyBorder="1"/>
    <xf numFmtId="0" fontId="2" fillId="8" borderId="74" xfId="0" applyFont="1" applyFill="1" applyBorder="1"/>
    <xf numFmtId="0" fontId="2" fillId="8" borderId="65" xfId="0" applyFont="1" applyFill="1" applyBorder="1"/>
    <xf numFmtId="1" fontId="0" fillId="0" borderId="66" xfId="0" applyNumberFormat="1" applyBorder="1"/>
    <xf numFmtId="0" fontId="2" fillId="8" borderId="67" xfId="0" applyFont="1" applyFill="1" applyBorder="1"/>
    <xf numFmtId="2" fontId="0" fillId="0" borderId="78" xfId="0" applyNumberFormat="1" applyBorder="1"/>
    <xf numFmtId="1" fontId="0" fillId="0" borderId="78" xfId="0" applyNumberFormat="1" applyBorder="1"/>
    <xf numFmtId="1" fontId="0" fillId="0" borderId="68" xfId="0" applyNumberFormat="1" applyBorder="1"/>
    <xf numFmtId="2" fontId="2" fillId="0" borderId="79" xfId="0" applyNumberFormat="1" applyFont="1" applyBorder="1"/>
    <xf numFmtId="0" fontId="41" fillId="9" borderId="65" xfId="0" applyFont="1" applyFill="1" applyBorder="1"/>
    <xf numFmtId="0" fontId="41" fillId="9" borderId="67" xfId="0" applyFont="1" applyFill="1" applyBorder="1"/>
    <xf numFmtId="0" fontId="42" fillId="9" borderId="73" xfId="0" applyFont="1" applyFill="1" applyBorder="1"/>
    <xf numFmtId="0" fontId="42" fillId="9" borderId="77" xfId="0" applyFont="1" applyFill="1" applyBorder="1"/>
    <xf numFmtId="0" fontId="42" fillId="9" borderId="74" xfId="0" applyFont="1" applyFill="1" applyBorder="1"/>
    <xf numFmtId="9" fontId="0" fillId="0" borderId="0" xfId="1" applyFont="1"/>
    <xf numFmtId="9" fontId="2" fillId="0" borderId="79" xfId="1" applyFont="1" applyBorder="1"/>
    <xf numFmtId="172" fontId="22" fillId="0" borderId="0" xfId="0" applyNumberFormat="1" applyFont="1" applyAlignment="1">
      <alignment horizontal="center"/>
    </xf>
    <xf numFmtId="0" fontId="2" fillId="10" borderId="80" xfId="0" applyFont="1" applyFill="1" applyBorder="1" applyAlignment="1">
      <alignment horizontal="center" vertical="center" wrapText="1"/>
    </xf>
    <xf numFmtId="0" fontId="2" fillId="10" borderId="81" xfId="0" applyFont="1" applyFill="1" applyBorder="1" applyAlignment="1">
      <alignment horizontal="center" vertical="center" wrapText="1"/>
    </xf>
    <xf numFmtId="0" fontId="2" fillId="10" borderId="82" xfId="0" applyFont="1" applyFill="1" applyBorder="1" applyAlignment="1">
      <alignment horizontal="center" vertical="center" wrapText="1"/>
    </xf>
    <xf numFmtId="0" fontId="2" fillId="10" borderId="83" xfId="0" applyFont="1" applyFill="1" applyBorder="1" applyAlignment="1">
      <alignment horizontal="center" vertical="center" wrapText="1"/>
    </xf>
    <xf numFmtId="0" fontId="43" fillId="11" borderId="31" xfId="0" applyFont="1" applyFill="1" applyBorder="1" applyAlignment="1">
      <alignment horizontal="center" vertical="center" wrapText="1"/>
    </xf>
    <xf numFmtId="0" fontId="0" fillId="0" borderId="0" xfId="0" applyAlignment="1">
      <alignment horizontal="center" vertical="center" wrapText="1"/>
    </xf>
    <xf numFmtId="0" fontId="0" fillId="0" borderId="47" xfId="0" applyBorder="1"/>
    <xf numFmtId="17" fontId="2" fillId="12" borderId="80" xfId="0" applyNumberFormat="1" applyFont="1" applyFill="1" applyBorder="1"/>
    <xf numFmtId="17" fontId="2" fillId="12" borderId="81" xfId="0" applyNumberFormat="1" applyFont="1" applyFill="1" applyBorder="1"/>
    <xf numFmtId="17" fontId="2" fillId="12" borderId="84" xfId="0" applyNumberFormat="1" applyFont="1" applyFill="1" applyBorder="1"/>
    <xf numFmtId="17" fontId="2" fillId="11" borderId="31" xfId="0" applyNumberFormat="1" applyFont="1" applyFill="1" applyBorder="1"/>
    <xf numFmtId="17" fontId="2" fillId="12" borderId="85" xfId="0" applyNumberFormat="1" applyFont="1" applyFill="1" applyBorder="1"/>
    <xf numFmtId="2" fontId="2" fillId="12" borderId="62" xfId="0" applyNumberFormat="1" applyFont="1" applyFill="1" applyBorder="1"/>
    <xf numFmtId="2" fontId="2" fillId="12" borderId="63" xfId="0" applyNumberFormat="1" applyFont="1" applyFill="1" applyBorder="1"/>
    <xf numFmtId="0" fontId="0" fillId="2" borderId="88" xfId="0" applyFill="1" applyBorder="1"/>
    <xf numFmtId="0" fontId="0" fillId="2" borderId="89" xfId="0" applyFill="1" applyBorder="1"/>
    <xf numFmtId="2" fontId="0" fillId="2" borderId="89" xfId="0" applyNumberFormat="1" applyFill="1" applyBorder="1"/>
    <xf numFmtId="0" fontId="0" fillId="2" borderId="92" xfId="0" applyFill="1" applyBorder="1"/>
    <xf numFmtId="0" fontId="0" fillId="2" borderId="93" xfId="0" applyFill="1" applyBorder="1"/>
    <xf numFmtId="2" fontId="0" fillId="2" borderId="93" xfId="0" applyNumberFormat="1" applyFill="1" applyBorder="1"/>
    <xf numFmtId="0" fontId="0" fillId="13" borderId="92" xfId="0" applyFill="1" applyBorder="1"/>
    <xf numFmtId="0" fontId="0" fillId="13" borderId="93" xfId="0" applyFill="1" applyBorder="1"/>
    <xf numFmtId="2" fontId="0" fillId="13" borderId="93" xfId="0" applyNumberFormat="1" applyFill="1" applyBorder="1"/>
    <xf numFmtId="0" fontId="0" fillId="13" borderId="94" xfId="0" applyFill="1" applyBorder="1"/>
    <xf numFmtId="0" fontId="0" fillId="13" borderId="95" xfId="0" applyFill="1" applyBorder="1"/>
    <xf numFmtId="0" fontId="0" fillId="13" borderId="96" xfId="0" applyFill="1" applyBorder="1"/>
    <xf numFmtId="0" fontId="0" fillId="13" borderId="0" xfId="0" applyFill="1"/>
    <xf numFmtId="0" fontId="0" fillId="12" borderId="93" xfId="0" applyFill="1" applyBorder="1"/>
    <xf numFmtId="0" fontId="0" fillId="14" borderId="93" xfId="0" applyFill="1" applyBorder="1"/>
    <xf numFmtId="0" fontId="0" fillId="13" borderId="93" xfId="0" applyFill="1" applyBorder="1" applyAlignment="1">
      <alignment wrapText="1"/>
    </xf>
    <xf numFmtId="0" fontId="32" fillId="15" borderId="92" xfId="0" applyFont="1" applyFill="1" applyBorder="1"/>
    <xf numFmtId="0" fontId="32" fillId="15" borderId="93" xfId="0" applyFont="1" applyFill="1" applyBorder="1"/>
    <xf numFmtId="0" fontId="32" fillId="15" borderId="94" xfId="0" applyFont="1" applyFill="1" applyBorder="1"/>
    <xf numFmtId="0" fontId="32" fillId="15" borderId="95" xfId="0" applyFont="1" applyFill="1" applyBorder="1"/>
    <xf numFmtId="0" fontId="32" fillId="15" borderId="96" xfId="0" applyFont="1" applyFill="1" applyBorder="1"/>
    <xf numFmtId="0" fontId="32" fillId="15" borderId="0" xfId="0" applyFont="1" applyFill="1"/>
    <xf numFmtId="0" fontId="0" fillId="16" borderId="92" xfId="0" applyFill="1" applyBorder="1"/>
    <xf numFmtId="0" fontId="0" fillId="16" borderId="93" xfId="0" applyFill="1" applyBorder="1"/>
    <xf numFmtId="0" fontId="0" fillId="16" borderId="94" xfId="0" applyFill="1" applyBorder="1"/>
    <xf numFmtId="0" fontId="0" fillId="16" borderId="95" xfId="0" applyFill="1" applyBorder="1"/>
    <xf numFmtId="0" fontId="0" fillId="16" borderId="96" xfId="0" applyFill="1" applyBorder="1"/>
    <xf numFmtId="0" fontId="0" fillId="16" borderId="0" xfId="0" applyFill="1"/>
    <xf numFmtId="0" fontId="0" fillId="16" borderId="97" xfId="0" applyFill="1" applyBorder="1"/>
    <xf numFmtId="0" fontId="0" fillId="16" borderId="98" xfId="0" applyFill="1" applyBorder="1"/>
    <xf numFmtId="0" fontId="0" fillId="16" borderId="99" xfId="0" applyFill="1" applyBorder="1"/>
    <xf numFmtId="0" fontId="0" fillId="16" borderId="100" xfId="0" applyFill="1" applyBorder="1"/>
    <xf numFmtId="0" fontId="0" fillId="16" borderId="101" xfId="0" applyFill="1" applyBorder="1"/>
    <xf numFmtId="0" fontId="0" fillId="0" borderId="87" xfId="0" applyBorder="1"/>
    <xf numFmtId="0" fontId="0" fillId="0" borderId="63" xfId="0" applyBorder="1"/>
    <xf numFmtId="173" fontId="0" fillId="10" borderId="93" xfId="0" applyNumberFormat="1" applyFill="1" applyBorder="1"/>
    <xf numFmtId="0" fontId="0" fillId="0" borderId="102" xfId="0" applyBorder="1"/>
    <xf numFmtId="0" fontId="0" fillId="0" borderId="86" xfId="0" applyBorder="1"/>
    <xf numFmtId="0" fontId="0" fillId="0" borderId="103" xfId="0" applyBorder="1"/>
    <xf numFmtId="0" fontId="44" fillId="17" borderId="93" xfId="0" applyFont="1" applyFill="1" applyBorder="1" applyAlignment="1">
      <alignment horizontal="center"/>
    </xf>
    <xf numFmtId="0" fontId="44" fillId="17" borderId="93" xfId="0" applyFont="1" applyFill="1" applyBorder="1" applyAlignment="1">
      <alignment horizontal="center" vertical="center"/>
    </xf>
    <xf numFmtId="0" fontId="2" fillId="0" borderId="93" xfId="0" applyFont="1" applyBorder="1" applyAlignment="1">
      <alignment horizontal="center"/>
    </xf>
    <xf numFmtId="0" fontId="2" fillId="0" borderId="0" xfId="0" applyFont="1" applyAlignment="1">
      <alignment horizontal="center"/>
    </xf>
    <xf numFmtId="0" fontId="2" fillId="11" borderId="104" xfId="0" applyFont="1" applyFill="1" applyBorder="1" applyAlignment="1">
      <alignment horizontal="center"/>
    </xf>
    <xf numFmtId="0" fontId="0" fillId="11" borderId="93" xfId="0" applyFill="1" applyBorder="1"/>
    <xf numFmtId="173" fontId="0" fillId="11" borderId="93" xfId="0" applyNumberFormat="1" applyFill="1" applyBorder="1"/>
    <xf numFmtId="0" fontId="0" fillId="0" borderId="93" xfId="0" applyBorder="1"/>
    <xf numFmtId="0" fontId="0" fillId="11" borderId="104" xfId="0" applyFill="1" applyBorder="1"/>
    <xf numFmtId="0" fontId="0" fillId="10" borderId="93" xfId="0" applyFill="1" applyBorder="1"/>
    <xf numFmtId="0" fontId="0" fillId="5" borderId="93" xfId="0" applyFill="1" applyBorder="1"/>
    <xf numFmtId="173" fontId="0" fillId="5" borderId="93" xfId="0" applyNumberFormat="1" applyFill="1" applyBorder="1"/>
    <xf numFmtId="174" fontId="0" fillId="5" borderId="93" xfId="0" applyNumberFormat="1" applyFill="1" applyBorder="1"/>
    <xf numFmtId="0" fontId="0" fillId="18" borderId="93" xfId="0" applyFill="1" applyBorder="1"/>
    <xf numFmtId="174" fontId="0" fillId="18" borderId="93" xfId="0" applyNumberFormat="1" applyFill="1" applyBorder="1"/>
    <xf numFmtId="0" fontId="0" fillId="18" borderId="105" xfId="0" applyFill="1" applyBorder="1"/>
    <xf numFmtId="174" fontId="0" fillId="18" borderId="105" xfId="0" applyNumberFormat="1" applyFill="1" applyBorder="1"/>
    <xf numFmtId="0" fontId="0" fillId="0" borderId="105" xfId="0" applyBorder="1"/>
    <xf numFmtId="10" fontId="0" fillId="0" borderId="0" xfId="0" applyNumberFormat="1"/>
    <xf numFmtId="0" fontId="0" fillId="19" borderId="93" xfId="0" applyFill="1" applyBorder="1"/>
    <xf numFmtId="2" fontId="0" fillId="13" borderId="95" xfId="0" applyNumberFormat="1" applyFill="1" applyBorder="1"/>
    <xf numFmtId="1" fontId="0" fillId="13" borderId="95" xfId="0" applyNumberFormat="1" applyFill="1" applyBorder="1"/>
    <xf numFmtId="1" fontId="0" fillId="13" borderId="96" xfId="0" applyNumberFormat="1" applyFill="1" applyBorder="1"/>
    <xf numFmtId="1" fontId="0" fillId="13" borderId="93" xfId="0" applyNumberFormat="1" applyFill="1" applyBorder="1"/>
    <xf numFmtId="2" fontId="0" fillId="2" borderId="107" xfId="0" applyNumberFormat="1" applyFill="1" applyBorder="1"/>
    <xf numFmtId="2" fontId="0" fillId="2" borderId="106" xfId="0" applyNumberFormat="1" applyFill="1" applyBorder="1"/>
    <xf numFmtId="2" fontId="2" fillId="2" borderId="89" xfId="0" applyNumberFormat="1" applyFont="1" applyFill="1" applyBorder="1"/>
    <xf numFmtId="1" fontId="2" fillId="2" borderId="89" xfId="0" applyNumberFormat="1" applyFont="1" applyFill="1" applyBorder="1"/>
    <xf numFmtId="9" fontId="2" fillId="12" borderId="63" xfId="1" applyFont="1" applyFill="1" applyBorder="1"/>
    <xf numFmtId="9" fontId="2" fillId="11" borderId="86" xfId="1" applyFont="1" applyFill="1" applyBorder="1"/>
    <xf numFmtId="9" fontId="2" fillId="12" borderId="87" xfId="1" applyFont="1" applyFill="1" applyBorder="1"/>
    <xf numFmtId="10" fontId="2" fillId="11" borderId="86" xfId="1" applyNumberFormat="1" applyFont="1" applyFill="1" applyBorder="1"/>
    <xf numFmtId="1" fontId="0" fillId="2" borderId="0" xfId="0" applyNumberFormat="1" applyFill="1"/>
    <xf numFmtId="2" fontId="0" fillId="2" borderId="108" xfId="0" applyNumberFormat="1" applyFill="1" applyBorder="1"/>
    <xf numFmtId="0" fontId="0" fillId="0" borderId="43" xfId="0" applyBorder="1"/>
    <xf numFmtId="2" fontId="0" fillId="12" borderId="93" xfId="0" applyNumberFormat="1" applyFill="1" applyBorder="1"/>
    <xf numFmtId="0" fontId="0" fillId="12" borderId="94" xfId="0" applyFill="1" applyBorder="1"/>
    <xf numFmtId="0" fontId="0" fillId="12" borderId="95" xfId="0" applyFill="1" applyBorder="1"/>
    <xf numFmtId="0" fontId="0" fillId="12" borderId="96" xfId="0" applyFill="1" applyBorder="1"/>
    <xf numFmtId="175" fontId="22" fillId="12" borderId="0" xfId="0" applyNumberFormat="1" applyFont="1" applyFill="1" applyAlignment="1">
      <alignment horizontal="center"/>
    </xf>
    <xf numFmtId="0" fontId="0" fillId="12" borderId="92" xfId="0" applyFill="1" applyBorder="1"/>
    <xf numFmtId="0" fontId="0" fillId="12" borderId="0" xfId="0" applyFill="1"/>
    <xf numFmtId="9" fontId="0" fillId="12" borderId="93" xfId="0" applyNumberFormat="1" applyFill="1" applyBorder="1"/>
    <xf numFmtId="10" fontId="0" fillId="12" borderId="95" xfId="0" applyNumberFormat="1" applyFill="1" applyBorder="1"/>
    <xf numFmtId="9" fontId="0" fillId="12" borderId="96" xfId="1" applyFont="1" applyFill="1" applyBorder="1"/>
    <xf numFmtId="166" fontId="0" fillId="14" borderId="93" xfId="0" applyNumberFormat="1" applyFill="1" applyBorder="1"/>
    <xf numFmtId="1" fontId="2" fillId="2" borderId="91" xfId="0" applyNumberFormat="1" applyFont="1" applyFill="1" applyBorder="1"/>
    <xf numFmtId="9" fontId="0" fillId="12" borderId="96" xfId="0" applyNumberFormat="1" applyFill="1" applyBorder="1"/>
    <xf numFmtId="10" fontId="31" fillId="0" borderId="0" xfId="1" applyNumberFormat="1" applyFont="1" applyAlignment="1">
      <alignment horizontal="left"/>
    </xf>
    <xf numFmtId="1" fontId="0" fillId="13" borderId="96" xfId="1" applyNumberFormat="1" applyFont="1" applyFill="1" applyBorder="1"/>
    <xf numFmtId="2" fontId="0" fillId="2" borderId="90" xfId="0" applyNumberFormat="1" applyFill="1" applyBorder="1"/>
    <xf numFmtId="2" fontId="0" fillId="2" borderId="109" xfId="0" applyNumberFormat="1" applyFill="1" applyBorder="1"/>
    <xf numFmtId="10" fontId="0" fillId="13" borderId="94" xfId="1" applyNumberFormat="1" applyFont="1" applyFill="1" applyBorder="1"/>
    <xf numFmtId="10" fontId="0" fillId="14" borderId="94" xfId="1" applyNumberFormat="1" applyFont="1" applyFill="1" applyBorder="1"/>
    <xf numFmtId="2" fontId="0" fillId="12" borderId="94" xfId="0" applyNumberFormat="1" applyFill="1" applyBorder="1"/>
    <xf numFmtId="2" fontId="0" fillId="13" borderId="94" xfId="0" applyNumberFormat="1" applyFill="1" applyBorder="1"/>
    <xf numFmtId="9" fontId="0" fillId="18" borderId="94" xfId="1" applyFont="1" applyFill="1" applyBorder="1"/>
    <xf numFmtId="9" fontId="0" fillId="13" borderId="94" xfId="1" applyFont="1" applyFill="1" applyBorder="1"/>
    <xf numFmtId="0" fontId="2" fillId="10" borderId="78" xfId="0" applyFont="1" applyFill="1" applyBorder="1" applyAlignment="1">
      <alignment horizontal="center" vertical="center" wrapText="1"/>
    </xf>
    <xf numFmtId="10" fontId="0" fillId="13" borderId="93" xfId="1" applyNumberFormat="1" applyFont="1" applyFill="1" applyBorder="1"/>
    <xf numFmtId="10" fontId="0" fillId="14" borderId="93" xfId="1" applyNumberFormat="1" applyFont="1" applyFill="1" applyBorder="1"/>
    <xf numFmtId="9" fontId="0" fillId="18" borderId="93" xfId="1" applyFont="1" applyFill="1" applyBorder="1"/>
    <xf numFmtId="9" fontId="0" fillId="13" borderId="93" xfId="1" applyFont="1" applyFill="1" applyBorder="1"/>
    <xf numFmtId="2" fontId="0" fillId="12" borderId="47" xfId="0" applyNumberFormat="1" applyFill="1" applyBorder="1"/>
    <xf numFmtId="0" fontId="2" fillId="0" borderId="47" xfId="0" applyFont="1" applyBorder="1" applyAlignment="1">
      <alignment horizontal="center"/>
    </xf>
    <xf numFmtId="2" fontId="2" fillId="11" borderId="106" xfId="0" applyNumberFormat="1" applyFont="1" applyFill="1" applyBorder="1"/>
    <xf numFmtId="2" fontId="2" fillId="11" borderId="107" xfId="0" applyNumberFormat="1" applyFont="1" applyFill="1" applyBorder="1"/>
    <xf numFmtId="1" fontId="2" fillId="11" borderId="95" xfId="0" applyNumberFormat="1" applyFont="1" applyFill="1" applyBorder="1"/>
    <xf numFmtId="1" fontId="2" fillId="11" borderId="96" xfId="0" applyNumberFormat="1" applyFont="1" applyFill="1" applyBorder="1"/>
    <xf numFmtId="0" fontId="2" fillId="11" borderId="95" xfId="0" applyFont="1" applyFill="1" applyBorder="1"/>
    <xf numFmtId="10" fontId="2" fillId="11" borderId="95" xfId="0" applyNumberFormat="1" applyFont="1" applyFill="1" applyBorder="1"/>
    <xf numFmtId="0" fontId="2" fillId="11" borderId="100" xfId="0" applyFont="1" applyFill="1" applyBorder="1"/>
    <xf numFmtId="0" fontId="2" fillId="11" borderId="86" xfId="0" applyFont="1" applyFill="1" applyBorder="1"/>
    <xf numFmtId="0" fontId="2" fillId="11" borderId="104" xfId="0" applyFont="1" applyFill="1" applyBorder="1"/>
    <xf numFmtId="2" fontId="2" fillId="11" borderId="95" xfId="0" applyNumberFormat="1" applyFont="1" applyFill="1" applyBorder="1"/>
    <xf numFmtId="1" fontId="0" fillId="12" borderId="93" xfId="0" applyNumberFormat="1" applyFill="1" applyBorder="1"/>
    <xf numFmtId="0" fontId="0" fillId="20" borderId="96" xfId="0" applyFill="1" applyBorder="1"/>
    <xf numFmtId="1" fontId="32" fillId="15" borderId="93" xfId="0" applyNumberFormat="1" applyFont="1" applyFill="1" applyBorder="1"/>
    <xf numFmtId="1" fontId="34" fillId="11" borderId="95" xfId="0" applyNumberFormat="1" applyFont="1" applyFill="1" applyBorder="1"/>
    <xf numFmtId="2" fontId="0" fillId="19" borderId="93" xfId="0" applyNumberFormat="1" applyFill="1" applyBorder="1"/>
    <xf numFmtId="167" fontId="0" fillId="0" borderId="29" xfId="2" applyNumberFormat="1" applyFont="1" applyBorder="1"/>
    <xf numFmtId="0" fontId="0" fillId="0" borderId="0" xfId="1" applyNumberFormat="1" applyFont="1"/>
    <xf numFmtId="1" fontId="0" fillId="0" borderId="0" xfId="1" applyNumberFormat="1" applyFont="1"/>
    <xf numFmtId="0" fontId="2" fillId="0" borderId="75" xfId="0" applyFont="1" applyBorder="1"/>
    <xf numFmtId="0" fontId="0" fillId="0" borderId="65" xfId="0" applyBorder="1"/>
    <xf numFmtId="0" fontId="0" fillId="0" borderId="67" xfId="0" applyBorder="1"/>
    <xf numFmtId="0" fontId="47" fillId="13" borderId="0" xfId="0" applyFont="1" applyFill="1"/>
    <xf numFmtId="0" fontId="48" fillId="13" borderId="0" xfId="0" applyFont="1" applyFill="1" applyAlignment="1">
      <alignment horizontal="center"/>
    </xf>
    <xf numFmtId="0" fontId="0" fillId="0" borderId="29" xfId="0" applyBorder="1" applyAlignment="1">
      <alignment horizontal="center"/>
    </xf>
    <xf numFmtId="0" fontId="45" fillId="0" borderId="0" xfId="0" applyFont="1"/>
    <xf numFmtId="0" fontId="46" fillId="0" borderId="0" xfId="0" quotePrefix="1" applyFont="1" applyAlignment="1">
      <alignment horizontal="left"/>
    </xf>
    <xf numFmtId="0" fontId="2" fillId="5" borderId="29" xfId="0" applyFont="1" applyFill="1" applyBorder="1" applyAlignment="1">
      <alignment horizontal="center"/>
    </xf>
    <xf numFmtId="0" fontId="0" fillId="13" borderId="29" xfId="0" applyFill="1" applyBorder="1"/>
    <xf numFmtId="0" fontId="49" fillId="0" borderId="0" xfId="0" quotePrefix="1" applyFont="1" applyAlignment="1">
      <alignment horizontal="left"/>
    </xf>
    <xf numFmtId="0" fontId="2" fillId="5" borderId="30" xfId="0" applyFont="1" applyFill="1" applyBorder="1" applyAlignment="1">
      <alignment horizontal="center"/>
    </xf>
    <xf numFmtId="167" fontId="0" fillId="13" borderId="29" xfId="2" applyNumberFormat="1" applyFont="1" applyFill="1" applyBorder="1"/>
    <xf numFmtId="0" fontId="2" fillId="13" borderId="29" xfId="0" applyFont="1" applyFill="1" applyBorder="1"/>
    <xf numFmtId="9" fontId="0" fillId="13" borderId="29" xfId="0" applyNumberFormat="1" applyFill="1" applyBorder="1"/>
    <xf numFmtId="0" fontId="47" fillId="0" borderId="42" xfId="0" applyFont="1" applyBorder="1"/>
    <xf numFmtId="0" fontId="47" fillId="0" borderId="0" xfId="0" applyFont="1"/>
    <xf numFmtId="0" fontId="47" fillId="0" borderId="43" xfId="0" applyFont="1" applyBorder="1"/>
    <xf numFmtId="0" fontId="32" fillId="0" borderId="43" xfId="0" applyFont="1" applyBorder="1"/>
    <xf numFmtId="0" fontId="32" fillId="0" borderId="42" xfId="0" applyFont="1" applyBorder="1"/>
    <xf numFmtId="0" fontId="32" fillId="0" borderId="0" xfId="0" applyFont="1"/>
    <xf numFmtId="9" fontId="32" fillId="0" borderId="0" xfId="0" applyNumberFormat="1" applyFont="1"/>
    <xf numFmtId="0" fontId="32" fillId="0" borderId="44" xfId="0" applyFont="1" applyBorder="1"/>
    <xf numFmtId="0" fontId="32" fillId="0" borderId="2" xfId="0" applyFont="1" applyBorder="1"/>
    <xf numFmtId="9" fontId="32" fillId="0" borderId="2" xfId="0" applyNumberFormat="1" applyFont="1" applyBorder="1"/>
    <xf numFmtId="0" fontId="32" fillId="0" borderId="45" xfId="0" applyFont="1" applyBorder="1"/>
    <xf numFmtId="167" fontId="32" fillId="13" borderId="0" xfId="2" applyNumberFormat="1" applyFont="1" applyFill="1" applyAlignment="1">
      <alignment horizontal="center"/>
    </xf>
    <xf numFmtId="0" fontId="32" fillId="13" borderId="0" xfId="0" applyFont="1" applyFill="1"/>
    <xf numFmtId="9" fontId="0" fillId="13" borderId="0" xfId="0" applyNumberFormat="1" applyFill="1"/>
    <xf numFmtId="167" fontId="0" fillId="13" borderId="0" xfId="2" applyNumberFormat="1" applyFont="1" applyFill="1"/>
    <xf numFmtId="9" fontId="1" fillId="13" borderId="0" xfId="1" applyFont="1" applyFill="1" applyBorder="1" applyAlignment="1">
      <alignment horizontal="right"/>
    </xf>
    <xf numFmtId="0" fontId="0" fillId="22" borderId="29" xfId="0" applyFill="1" applyBorder="1"/>
    <xf numFmtId="177" fontId="32" fillId="13" borderId="0" xfId="4" applyNumberFormat="1" applyFont="1" applyFill="1" applyBorder="1" applyAlignment="1">
      <alignment horizontal="right"/>
    </xf>
    <xf numFmtId="0" fontId="32" fillId="13" borderId="29" xfId="0" applyFont="1" applyFill="1" applyBorder="1"/>
    <xf numFmtId="177" fontId="32" fillId="13" borderId="29" xfId="4" applyNumberFormat="1" applyFont="1" applyFill="1" applyBorder="1" applyAlignment="1">
      <alignment horizontal="right"/>
    </xf>
    <xf numFmtId="177" fontId="39" fillId="13" borderId="29" xfId="4" applyNumberFormat="1" applyFont="1" applyFill="1" applyBorder="1" applyAlignment="1">
      <alignment horizontal="right"/>
    </xf>
    <xf numFmtId="0" fontId="2" fillId="22" borderId="29" xfId="0" applyFont="1" applyFill="1" applyBorder="1"/>
    <xf numFmtId="177" fontId="0" fillId="22" borderId="29" xfId="0" applyNumberFormat="1" applyFill="1" applyBorder="1"/>
    <xf numFmtId="177" fontId="52" fillId="22" borderId="29" xfId="0" applyNumberFormat="1" applyFont="1" applyFill="1" applyBorder="1"/>
    <xf numFmtId="167" fontId="0" fillId="22" borderId="29" xfId="2" applyNumberFormat="1" applyFont="1" applyFill="1" applyBorder="1"/>
    <xf numFmtId="177" fontId="39" fillId="22" borderId="29" xfId="4" applyNumberFormat="1" applyFont="1" applyFill="1" applyBorder="1" applyAlignment="1">
      <alignment horizontal="right"/>
    </xf>
    <xf numFmtId="177" fontId="32" fillId="22" borderId="29" xfId="4" applyNumberFormat="1" applyFont="1" applyFill="1" applyBorder="1" applyAlignment="1">
      <alignment horizontal="right"/>
    </xf>
    <xf numFmtId="178" fontId="32" fillId="13" borderId="0" xfId="4" applyNumberFormat="1" applyFont="1" applyFill="1" applyBorder="1" applyAlignment="1">
      <alignment horizontal="right"/>
    </xf>
    <xf numFmtId="164" fontId="0" fillId="13" borderId="0" xfId="0" applyNumberFormat="1" applyFill="1"/>
    <xf numFmtId="1" fontId="0" fillId="13" borderId="0" xfId="0" applyNumberFormat="1" applyFill="1"/>
    <xf numFmtId="1" fontId="1" fillId="13" borderId="0" xfId="1" applyNumberFormat="1" applyFont="1" applyFill="1" applyBorder="1" applyAlignment="1">
      <alignment horizontal="right"/>
    </xf>
    <xf numFmtId="1" fontId="0" fillId="13" borderId="0" xfId="1" applyNumberFormat="1" applyFont="1" applyFill="1"/>
    <xf numFmtId="9" fontId="0" fillId="13" borderId="0" xfId="1" applyFont="1" applyFill="1"/>
    <xf numFmtId="2" fontId="2" fillId="12" borderId="89" xfId="0" applyNumberFormat="1" applyFont="1" applyFill="1" applyBorder="1"/>
    <xf numFmtId="1" fontId="0" fillId="12" borderId="0" xfId="0" applyNumberFormat="1" applyFill="1"/>
    <xf numFmtId="167" fontId="0" fillId="12" borderId="29" xfId="2" applyNumberFormat="1" applyFont="1" applyFill="1" applyBorder="1"/>
    <xf numFmtId="1" fontId="2" fillId="2" borderId="0" xfId="0" applyNumberFormat="1" applyFont="1" applyFill="1"/>
    <xf numFmtId="2" fontId="2" fillId="2" borderId="0" xfId="0" applyNumberFormat="1" applyFont="1" applyFill="1"/>
    <xf numFmtId="2" fontId="2" fillId="11" borderId="0" xfId="0" applyNumberFormat="1" applyFont="1" applyFill="1"/>
    <xf numFmtId="0" fontId="2" fillId="8" borderId="0" xfId="0" applyFont="1" applyFill="1"/>
    <xf numFmtId="2" fontId="0" fillId="0" borderId="0" xfId="1" applyNumberFormat="1" applyFont="1"/>
    <xf numFmtId="0" fontId="0" fillId="2" borderId="110" xfId="0" applyFill="1" applyBorder="1"/>
    <xf numFmtId="0" fontId="0" fillId="2" borderId="91" xfId="0" applyFill="1" applyBorder="1"/>
    <xf numFmtId="0" fontId="0" fillId="23" borderId="0" xfId="0" applyFill="1"/>
    <xf numFmtId="2" fontId="0" fillId="12" borderId="0" xfId="0" applyNumberFormat="1" applyFill="1"/>
    <xf numFmtId="1" fontId="0" fillId="24" borderId="0" xfId="0" applyNumberFormat="1" applyFill="1"/>
    <xf numFmtId="2" fontId="2" fillId="24" borderId="0" xfId="0" applyNumberFormat="1" applyFont="1" applyFill="1"/>
    <xf numFmtId="0" fontId="0" fillId="0" borderId="62" xfId="0" applyBorder="1" applyAlignment="1">
      <alignment horizontal="left"/>
    </xf>
    <xf numFmtId="0" fontId="0" fillId="0" borderId="63" xfId="0" applyBorder="1" applyAlignment="1">
      <alignment horizontal="left"/>
    </xf>
    <xf numFmtId="0" fontId="2" fillId="8" borderId="50" xfId="0" applyFont="1" applyFill="1" applyBorder="1" applyAlignment="1">
      <alignment horizontal="center"/>
    </xf>
    <xf numFmtId="0" fontId="2" fillId="8" borderId="51" xfId="0" applyFont="1" applyFill="1" applyBorder="1" applyAlignment="1">
      <alignment horizontal="center"/>
    </xf>
    <xf numFmtId="0" fontId="0" fillId="0" borderId="57" xfId="0" applyBorder="1" applyAlignment="1">
      <alignment horizontal="left"/>
    </xf>
    <xf numFmtId="0" fontId="0" fillId="0" borderId="58" xfId="0" applyBorder="1" applyAlignment="1">
      <alignment horizontal="left"/>
    </xf>
    <xf numFmtId="0" fontId="0" fillId="0" borderId="60" xfId="0" applyBorder="1" applyAlignment="1">
      <alignment horizontal="left"/>
    </xf>
    <xf numFmtId="0" fontId="0" fillId="0" borderId="47" xfId="0" applyBorder="1" applyAlignment="1">
      <alignment horizontal="left"/>
    </xf>
    <xf numFmtId="0" fontId="0" fillId="0" borderId="0" xfId="0" applyAlignment="1">
      <alignment horizontal="left"/>
    </xf>
    <xf numFmtId="0" fontId="0" fillId="0" borderId="43" xfId="0" applyBorder="1" applyAlignment="1">
      <alignment horizontal="left"/>
    </xf>
    <xf numFmtId="2" fontId="0" fillId="0" borderId="29" xfId="0" applyNumberFormat="1" applyBorder="1" applyAlignment="1">
      <alignment horizontal="center"/>
    </xf>
    <xf numFmtId="0" fontId="2" fillId="8" borderId="29" xfId="0" applyFont="1" applyFill="1" applyBorder="1" applyAlignment="1">
      <alignment horizontal="center"/>
    </xf>
    <xf numFmtId="0" fontId="43" fillId="10" borderId="71" xfId="0" applyFont="1" applyFill="1" applyBorder="1" applyAlignment="1">
      <alignment horizontal="center" vertical="center" wrapText="1"/>
    </xf>
    <xf numFmtId="0" fontId="43" fillId="10" borderId="83" xfId="0" applyFont="1" applyFill="1" applyBorder="1" applyAlignment="1">
      <alignment horizontal="center" vertical="center" wrapText="1"/>
    </xf>
    <xf numFmtId="0" fontId="2" fillId="8" borderId="73" xfId="0" applyFont="1" applyFill="1" applyBorder="1" applyAlignment="1">
      <alignment horizontal="center"/>
    </xf>
    <xf numFmtId="0" fontId="2" fillId="8" borderId="74" xfId="0" applyFont="1" applyFill="1" applyBorder="1" applyAlignment="1">
      <alignment horizontal="center"/>
    </xf>
    <xf numFmtId="0" fontId="2" fillId="8" borderId="71" xfId="0" applyFont="1" applyFill="1" applyBorder="1" applyAlignment="1">
      <alignment horizontal="center"/>
    </xf>
    <xf numFmtId="0" fontId="2" fillId="8" borderId="72" xfId="0" applyFont="1" applyFill="1" applyBorder="1" applyAlignment="1">
      <alignment horizontal="center"/>
    </xf>
    <xf numFmtId="0" fontId="2" fillId="8" borderId="69" xfId="0" applyFont="1" applyFill="1" applyBorder="1" applyAlignment="1">
      <alignment horizontal="center"/>
    </xf>
    <xf numFmtId="0" fontId="2" fillId="8" borderId="70" xfId="0" applyFont="1" applyFill="1" applyBorder="1" applyAlignment="1">
      <alignment horizontal="center"/>
    </xf>
    <xf numFmtId="0" fontId="0" fillId="0" borderId="29" xfId="0" applyBorder="1" applyAlignment="1">
      <alignment horizontal="center" vertical="center"/>
    </xf>
    <xf numFmtId="0" fontId="32" fillId="4" borderId="75" xfId="0" applyFont="1" applyFill="1" applyBorder="1" applyAlignment="1">
      <alignment horizontal="center"/>
    </xf>
    <xf numFmtId="0" fontId="32" fillId="4" borderId="76" xfId="0" applyFont="1" applyFill="1" applyBorder="1" applyAlignment="1">
      <alignment horizontal="center"/>
    </xf>
    <xf numFmtId="0" fontId="22" fillId="0" borderId="0" xfId="0" applyFont="1" applyAlignment="1">
      <alignment horizontal="center"/>
    </xf>
    <xf numFmtId="0" fontId="51" fillId="0" borderId="15" xfId="0" quotePrefix="1" applyFont="1" applyBorder="1" applyAlignment="1">
      <alignment horizontal="center"/>
    </xf>
    <xf numFmtId="0" fontId="2" fillId="0" borderId="30" xfId="0" applyFont="1" applyBorder="1" applyAlignment="1">
      <alignment horizontal="center" vertical="center"/>
    </xf>
    <xf numFmtId="0" fontId="2" fillId="0" borderId="47" xfId="0" applyFont="1" applyBorder="1" applyAlignment="1">
      <alignment horizontal="center" vertical="center"/>
    </xf>
    <xf numFmtId="0" fontId="2" fillId="0" borderId="48" xfId="0" applyFont="1" applyBorder="1" applyAlignment="1">
      <alignment horizontal="center" vertical="center"/>
    </xf>
    <xf numFmtId="0" fontId="2" fillId="21" borderId="29" xfId="0" applyFont="1" applyFill="1" applyBorder="1" applyAlignment="1">
      <alignment horizontal="center" vertical="center"/>
    </xf>
    <xf numFmtId="0" fontId="34" fillId="21" borderId="75" xfId="0" applyFont="1" applyFill="1" applyBorder="1" applyAlignment="1">
      <alignment horizontal="center"/>
    </xf>
    <xf numFmtId="0" fontId="34" fillId="21" borderId="15" xfId="0" applyFont="1" applyFill="1" applyBorder="1" applyAlignment="1">
      <alignment horizontal="center"/>
    </xf>
    <xf numFmtId="0" fontId="34" fillId="21" borderId="76" xfId="0" applyFont="1" applyFill="1" applyBorder="1" applyAlignment="1">
      <alignment horizontal="center"/>
    </xf>
    <xf numFmtId="0" fontId="34" fillId="0" borderId="42" xfId="0" applyFont="1" applyBorder="1" applyAlignment="1">
      <alignment horizontal="center" wrapText="1"/>
    </xf>
    <xf numFmtId="0" fontId="34" fillId="0" borderId="0" xfId="0" applyFont="1" applyAlignment="1">
      <alignment horizontal="center" wrapText="1"/>
    </xf>
    <xf numFmtId="0" fontId="34" fillId="0" borderId="43" xfId="0" applyFont="1" applyBorder="1" applyAlignment="1">
      <alignment horizontal="center" wrapText="1"/>
    </xf>
    <xf numFmtId="0" fontId="31" fillId="0" borderId="42" xfId="0" applyFont="1" applyBorder="1" applyAlignment="1">
      <alignment horizontal="center"/>
    </xf>
    <xf numFmtId="0" fontId="31" fillId="0" borderId="0" xfId="0" applyFont="1" applyAlignment="1">
      <alignment horizontal="center"/>
    </xf>
    <xf numFmtId="0" fontId="31" fillId="0" borderId="43" xfId="0" applyFont="1" applyBorder="1" applyAlignment="1">
      <alignment horizontal="center"/>
    </xf>
    <xf numFmtId="0" fontId="50" fillId="0" borderId="0" xfId="0" applyFont="1" applyAlignment="1">
      <alignment horizontal="center" vertical="center" wrapText="1"/>
    </xf>
  </cellXfs>
  <cellStyles count="5">
    <cellStyle name="Comma" xfId="2" builtinId="3"/>
    <cellStyle name="Currency 2" xfId="4" xr:uid="{7C843264-FDD1-41F9-889A-877DBB3257F2}"/>
    <cellStyle name="Hyperlink" xfId="3" builtinId="8"/>
    <cellStyle name="Normal" xfId="0" builtinId="0"/>
    <cellStyle name="Percent" xfId="1" builtinId="5"/>
  </cellStyles>
  <dxfs count="0"/>
  <tableStyles count="0" defaultTableStyle="TableStyleMedium2" defaultPivotStyle="PivotStyleLight16"/>
  <colors>
    <mruColors>
      <color rgb="FF009051"/>
      <color rgb="FF011893"/>
      <color rgb="FF942093"/>
      <color rgb="FF945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Capacity Planning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'Supply Planning'!$A$34</c:f>
              <c:strCache>
                <c:ptCount val="1"/>
                <c:pt idx="0">
                  <c:v>Demand Wipe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'Supply Planning'!$C$33:$BI$33</c:f>
              <c:numCache>
                <c:formatCode>mmm\-yy</c:formatCode>
                <c:ptCount val="59"/>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46082</c:v>
                </c:pt>
                <c:pt idx="39">
                  <c:v>46113</c:v>
                </c:pt>
                <c:pt idx="40">
                  <c:v>46143</c:v>
                </c:pt>
                <c:pt idx="41">
                  <c:v>46174</c:v>
                </c:pt>
                <c:pt idx="42">
                  <c:v>46204</c:v>
                </c:pt>
                <c:pt idx="43">
                  <c:v>46235</c:v>
                </c:pt>
                <c:pt idx="44">
                  <c:v>46266</c:v>
                </c:pt>
                <c:pt idx="45">
                  <c:v>46296</c:v>
                </c:pt>
                <c:pt idx="46">
                  <c:v>46327</c:v>
                </c:pt>
                <c:pt idx="47">
                  <c:v>46357</c:v>
                </c:pt>
                <c:pt idx="48">
                  <c:v>46388</c:v>
                </c:pt>
                <c:pt idx="49">
                  <c:v>46419</c:v>
                </c:pt>
                <c:pt idx="50">
                  <c:v>46447</c:v>
                </c:pt>
                <c:pt idx="51">
                  <c:v>46478</c:v>
                </c:pt>
                <c:pt idx="52">
                  <c:v>46508</c:v>
                </c:pt>
                <c:pt idx="53">
                  <c:v>46539</c:v>
                </c:pt>
                <c:pt idx="54">
                  <c:v>46569</c:v>
                </c:pt>
                <c:pt idx="55">
                  <c:v>46600</c:v>
                </c:pt>
                <c:pt idx="56">
                  <c:v>46631</c:v>
                </c:pt>
                <c:pt idx="57">
                  <c:v>46661</c:v>
                </c:pt>
                <c:pt idx="58">
                  <c:v>46692</c:v>
                </c:pt>
              </c:numCache>
            </c:numRef>
          </c:cat>
          <c:val>
            <c:numRef>
              <c:f>'Supply Planning'!$C$34:$BI$34</c:f>
              <c:numCache>
                <c:formatCode>0.00</c:formatCode>
                <c:ptCount val="59"/>
                <c:pt idx="0">
                  <c:v>0</c:v>
                </c:pt>
                <c:pt idx="1">
                  <c:v>0</c:v>
                </c:pt>
                <c:pt idx="2">
                  <c:v>0</c:v>
                </c:pt>
                <c:pt idx="3">
                  <c:v>0</c:v>
                </c:pt>
                <c:pt idx="4">
                  <c:v>0</c:v>
                </c:pt>
                <c:pt idx="5">
                  <c:v>0</c:v>
                </c:pt>
                <c:pt idx="6">
                  <c:v>3.5279419181212432</c:v>
                </c:pt>
                <c:pt idx="7">
                  <c:v>5.6447070689939896</c:v>
                </c:pt>
                <c:pt idx="8">
                  <c:v>9.8782373707394822</c:v>
                </c:pt>
                <c:pt idx="9">
                  <c:v>13.406179288860724</c:v>
                </c:pt>
                <c:pt idx="10">
                  <c:v>16.228532823357721</c:v>
                </c:pt>
                <c:pt idx="11">
                  <c:v>21.873239892351709</c:v>
                </c:pt>
                <c:pt idx="12">
                  <c:v>519.00067666741859</c:v>
                </c:pt>
                <c:pt idx="13">
                  <c:v>564.00068666742925</c:v>
                </c:pt>
                <c:pt idx="14">
                  <c:v>770.40085600095142</c:v>
                </c:pt>
                <c:pt idx="15">
                  <c:v>675.00078000086694</c:v>
                </c:pt>
                <c:pt idx="16">
                  <c:v>679.50007800008677</c:v>
                </c:pt>
                <c:pt idx="17">
                  <c:v>684.00078000086705</c:v>
                </c:pt>
                <c:pt idx="18">
                  <c:v>744.00084666760768</c:v>
                </c:pt>
                <c:pt idx="19">
                  <c:v>762.00084666760745</c:v>
                </c:pt>
                <c:pt idx="20">
                  <c:v>997.20110800123098</c:v>
                </c:pt>
                <c:pt idx="21">
                  <c:v>848.69999999999993</c:v>
                </c:pt>
                <c:pt idx="22">
                  <c:v>854.00094888994317</c:v>
                </c:pt>
                <c:pt idx="23">
                  <c:v>902.00100222333583</c:v>
                </c:pt>
                <c:pt idx="24">
                  <c:v>905.18399999999974</c:v>
                </c:pt>
                <c:pt idx="25">
                  <c:v>909.2249999999998</c:v>
                </c:pt>
                <c:pt idx="26">
                  <c:v>1233.5999999999997</c:v>
                </c:pt>
                <c:pt idx="27">
                  <c:v>1018.7877858419835</c:v>
                </c:pt>
                <c:pt idx="28">
                  <c:v>1064.1299999999997</c:v>
                </c:pt>
                <c:pt idx="29">
                  <c:v>1116.6629999999998</c:v>
                </c:pt>
                <c:pt idx="30">
                  <c:v>1145</c:v>
                </c:pt>
                <c:pt idx="31">
                  <c:v>1153</c:v>
                </c:pt>
                <c:pt idx="32">
                  <c:v>1438.8000000000006</c:v>
                </c:pt>
                <c:pt idx="33">
                  <c:v>1126.0599999999995</c:v>
                </c:pt>
                <c:pt idx="34">
                  <c:v>1153</c:v>
                </c:pt>
                <c:pt idx="35">
                  <c:v>1206.9948333275922</c:v>
                </c:pt>
                <c:pt idx="36">
                  <c:v>1213.2</c:v>
                </c:pt>
                <c:pt idx="37">
                  <c:v>1218.0013733348585</c:v>
                </c:pt>
                <c:pt idx="38">
                  <c:v>1540.8017120019028</c:v>
                </c:pt>
                <c:pt idx="39">
                  <c:v>1224</c:v>
                </c:pt>
                <c:pt idx="40">
                  <c:v>1278.0015600017339</c:v>
                </c:pt>
                <c:pt idx="41">
                  <c:v>1296.0015600017339</c:v>
                </c:pt>
                <c:pt idx="42">
                  <c:v>1524.0016933352149</c:v>
                </c:pt>
                <c:pt idx="43">
                  <c:v>1547.9999999999998</c:v>
                </c:pt>
                <c:pt idx="44">
                  <c:v>1994.402216002462</c:v>
                </c:pt>
                <c:pt idx="45">
                  <c:v>1636.1999999999998</c:v>
                </c:pt>
                <c:pt idx="46">
                  <c:v>1724.001915557684</c:v>
                </c:pt>
                <c:pt idx="47">
                  <c:v>1804.0020044466717</c:v>
                </c:pt>
                <c:pt idx="48">
                  <c:v>1806.5000000000002</c:v>
                </c:pt>
                <c:pt idx="49">
                  <c:v>1814.8219499999993</c:v>
                </c:pt>
                <c:pt idx="50">
                  <c:v>1997.0276695920452</c:v>
                </c:pt>
                <c:pt idx="51">
                  <c:v>1826.9999999999998</c:v>
                </c:pt>
                <c:pt idx="52">
                  <c:v>1828.7656791595764</c:v>
                </c:pt>
                <c:pt idx="53">
                  <c:v>1848.4901254997528</c:v>
                </c:pt>
                <c:pt idx="54">
                  <c:v>1852.8750000000002</c:v>
                </c:pt>
                <c:pt idx="55">
                  <c:v>1860.75</c:v>
                </c:pt>
                <c:pt idx="56">
                  <c:v>2027.5140603161387</c:v>
                </c:pt>
                <c:pt idx="57">
                  <c:v>1867.5</c:v>
                </c:pt>
                <c:pt idx="58">
                  <c:v>1878.75</c:v>
                </c:pt>
              </c:numCache>
            </c:numRef>
          </c:val>
          <c:extLst>
            <c:ext xmlns:c16="http://schemas.microsoft.com/office/drawing/2014/chart" uri="{C3380CC4-5D6E-409C-BE32-E72D297353CC}">
              <c16:uniqueId val="{00000000-A17A-45C9-983C-F772589598AF}"/>
            </c:ext>
          </c:extLst>
        </c:ser>
        <c:dLbls>
          <c:showLegendKey val="0"/>
          <c:showVal val="0"/>
          <c:showCatName val="0"/>
          <c:showSerName val="0"/>
          <c:showPercent val="0"/>
          <c:showBubbleSize val="0"/>
        </c:dLbls>
        <c:gapWidth val="219"/>
        <c:overlap val="-27"/>
        <c:axId val="1322190976"/>
        <c:axId val="1322191392"/>
      </c:barChart>
      <c:lineChart>
        <c:grouping val="standard"/>
        <c:varyColors val="0"/>
        <c:ser>
          <c:idx val="1"/>
          <c:order val="1"/>
          <c:tx>
            <c:strRef>
              <c:f>'Supply Planning'!$A$35</c:f>
              <c:strCache>
                <c:ptCount val="1"/>
                <c:pt idx="0">
                  <c:v>Theoretical Capacity Wipe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'Supply Planning'!$C$33:$BI$33</c:f>
              <c:numCache>
                <c:formatCode>mmm\-yy</c:formatCode>
                <c:ptCount val="59"/>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46082</c:v>
                </c:pt>
                <c:pt idx="39">
                  <c:v>46113</c:v>
                </c:pt>
                <c:pt idx="40">
                  <c:v>46143</c:v>
                </c:pt>
                <c:pt idx="41">
                  <c:v>46174</c:v>
                </c:pt>
                <c:pt idx="42">
                  <c:v>46204</c:v>
                </c:pt>
                <c:pt idx="43">
                  <c:v>46235</c:v>
                </c:pt>
                <c:pt idx="44">
                  <c:v>46266</c:v>
                </c:pt>
                <c:pt idx="45">
                  <c:v>46296</c:v>
                </c:pt>
                <c:pt idx="46">
                  <c:v>46327</c:v>
                </c:pt>
                <c:pt idx="47">
                  <c:v>46357</c:v>
                </c:pt>
                <c:pt idx="48">
                  <c:v>46388</c:v>
                </c:pt>
                <c:pt idx="49">
                  <c:v>46419</c:v>
                </c:pt>
                <c:pt idx="50">
                  <c:v>46447</c:v>
                </c:pt>
                <c:pt idx="51">
                  <c:v>46478</c:v>
                </c:pt>
                <c:pt idx="52">
                  <c:v>46508</c:v>
                </c:pt>
                <c:pt idx="53">
                  <c:v>46539</c:v>
                </c:pt>
                <c:pt idx="54">
                  <c:v>46569</c:v>
                </c:pt>
                <c:pt idx="55">
                  <c:v>46600</c:v>
                </c:pt>
                <c:pt idx="56">
                  <c:v>46631</c:v>
                </c:pt>
                <c:pt idx="57">
                  <c:v>46661</c:v>
                </c:pt>
                <c:pt idx="58">
                  <c:v>46692</c:v>
                </c:pt>
              </c:numCache>
            </c:numRef>
          </c:cat>
          <c:val>
            <c:numRef>
              <c:f>'Supply Planning'!$C$35:$BI$35</c:f>
              <c:numCache>
                <c:formatCode>0.00</c:formatCode>
                <c:ptCount val="59"/>
                <c:pt idx="0">
                  <c:v>50</c:v>
                </c:pt>
                <c:pt idx="1">
                  <c:v>50</c:v>
                </c:pt>
                <c:pt idx="2">
                  <c:v>50</c:v>
                </c:pt>
                <c:pt idx="3">
                  <c:v>50</c:v>
                </c:pt>
                <c:pt idx="4">
                  <c:v>50</c:v>
                </c:pt>
                <c:pt idx="5">
                  <c:v>50</c:v>
                </c:pt>
                <c:pt idx="6">
                  <c:v>50</c:v>
                </c:pt>
                <c:pt idx="7">
                  <c:v>50</c:v>
                </c:pt>
                <c:pt idx="8">
                  <c:v>50</c:v>
                </c:pt>
                <c:pt idx="9">
                  <c:v>50</c:v>
                </c:pt>
                <c:pt idx="10">
                  <c:v>50</c:v>
                </c:pt>
                <c:pt idx="11">
                  <c:v>750</c:v>
                </c:pt>
                <c:pt idx="12">
                  <c:v>750</c:v>
                </c:pt>
                <c:pt idx="13">
                  <c:v>750</c:v>
                </c:pt>
                <c:pt idx="14">
                  <c:v>750</c:v>
                </c:pt>
                <c:pt idx="15">
                  <c:v>750</c:v>
                </c:pt>
                <c:pt idx="16">
                  <c:v>750</c:v>
                </c:pt>
                <c:pt idx="17">
                  <c:v>1500</c:v>
                </c:pt>
                <c:pt idx="18">
                  <c:v>1500</c:v>
                </c:pt>
                <c:pt idx="19">
                  <c:v>1500</c:v>
                </c:pt>
                <c:pt idx="20">
                  <c:v>1500</c:v>
                </c:pt>
                <c:pt idx="21">
                  <c:v>1500</c:v>
                </c:pt>
                <c:pt idx="22">
                  <c:v>1500</c:v>
                </c:pt>
                <c:pt idx="23">
                  <c:v>1500</c:v>
                </c:pt>
                <c:pt idx="24">
                  <c:v>1500</c:v>
                </c:pt>
                <c:pt idx="25">
                  <c:v>1500</c:v>
                </c:pt>
                <c:pt idx="26">
                  <c:v>1500</c:v>
                </c:pt>
                <c:pt idx="27">
                  <c:v>1500</c:v>
                </c:pt>
                <c:pt idx="28">
                  <c:v>1500</c:v>
                </c:pt>
                <c:pt idx="29">
                  <c:v>1500</c:v>
                </c:pt>
                <c:pt idx="30">
                  <c:v>1500</c:v>
                </c:pt>
                <c:pt idx="31">
                  <c:v>1500</c:v>
                </c:pt>
                <c:pt idx="32">
                  <c:v>1500</c:v>
                </c:pt>
                <c:pt idx="33">
                  <c:v>1500</c:v>
                </c:pt>
                <c:pt idx="34">
                  <c:v>1500</c:v>
                </c:pt>
                <c:pt idx="35">
                  <c:v>1500</c:v>
                </c:pt>
                <c:pt idx="36">
                  <c:v>1500</c:v>
                </c:pt>
                <c:pt idx="37">
                  <c:v>1500</c:v>
                </c:pt>
                <c:pt idx="38">
                  <c:v>1500</c:v>
                </c:pt>
                <c:pt idx="39">
                  <c:v>1500</c:v>
                </c:pt>
                <c:pt idx="40">
                  <c:v>1500</c:v>
                </c:pt>
                <c:pt idx="41">
                  <c:v>2250</c:v>
                </c:pt>
                <c:pt idx="42">
                  <c:v>2250</c:v>
                </c:pt>
                <c:pt idx="43">
                  <c:v>2250</c:v>
                </c:pt>
                <c:pt idx="44">
                  <c:v>2250</c:v>
                </c:pt>
                <c:pt idx="45">
                  <c:v>2250</c:v>
                </c:pt>
                <c:pt idx="46">
                  <c:v>2250</c:v>
                </c:pt>
                <c:pt idx="47">
                  <c:v>2250</c:v>
                </c:pt>
                <c:pt idx="48">
                  <c:v>2250</c:v>
                </c:pt>
                <c:pt idx="49">
                  <c:v>2250</c:v>
                </c:pt>
                <c:pt idx="50">
                  <c:v>2250</c:v>
                </c:pt>
                <c:pt idx="51">
                  <c:v>2250</c:v>
                </c:pt>
                <c:pt idx="52">
                  <c:v>2250</c:v>
                </c:pt>
                <c:pt idx="53">
                  <c:v>2250</c:v>
                </c:pt>
                <c:pt idx="54">
                  <c:v>2250</c:v>
                </c:pt>
                <c:pt idx="55">
                  <c:v>2250</c:v>
                </c:pt>
                <c:pt idx="56">
                  <c:v>2250</c:v>
                </c:pt>
                <c:pt idx="57">
                  <c:v>2250</c:v>
                </c:pt>
                <c:pt idx="58">
                  <c:v>2250</c:v>
                </c:pt>
              </c:numCache>
            </c:numRef>
          </c:val>
          <c:smooth val="0"/>
          <c:extLst>
            <c:ext xmlns:c16="http://schemas.microsoft.com/office/drawing/2014/chart" uri="{C3380CC4-5D6E-409C-BE32-E72D297353CC}">
              <c16:uniqueId val="{00000001-A17A-45C9-983C-F772589598AF}"/>
            </c:ext>
          </c:extLst>
        </c:ser>
        <c:dLbls>
          <c:showLegendKey val="0"/>
          <c:showVal val="0"/>
          <c:showCatName val="0"/>
          <c:showSerName val="0"/>
          <c:showPercent val="0"/>
          <c:showBubbleSize val="0"/>
        </c:dLbls>
        <c:marker val="1"/>
        <c:smooth val="0"/>
        <c:axId val="1322190976"/>
        <c:axId val="1322191392"/>
      </c:lineChart>
      <c:dateAx>
        <c:axId val="1322190976"/>
        <c:scaling>
          <c:orientation val="minMax"/>
        </c:scaling>
        <c:delete val="0"/>
        <c:axPos val="b"/>
        <c:numFmt formatCode="mmm\-yy"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2191392"/>
        <c:crosses val="autoZero"/>
        <c:auto val="1"/>
        <c:lblOffset val="100"/>
        <c:baseTimeUnit val="months"/>
      </c:dateAx>
      <c:valAx>
        <c:axId val="132219139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2190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Demand, Supply &amp; Inventory - Wipe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'Supply Planning'!$A$38</c:f>
              <c:strCache>
                <c:ptCount val="1"/>
                <c:pt idx="0">
                  <c:v>Demand Wipe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'Supply Planning'!$C$37:$BJ$37</c:f>
              <c:numCache>
                <c:formatCode>mmm\-yy</c:formatCode>
                <c:ptCount val="60"/>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46082</c:v>
                </c:pt>
                <c:pt idx="39">
                  <c:v>46113</c:v>
                </c:pt>
                <c:pt idx="40">
                  <c:v>46143</c:v>
                </c:pt>
                <c:pt idx="41">
                  <c:v>46174</c:v>
                </c:pt>
                <c:pt idx="42">
                  <c:v>46204</c:v>
                </c:pt>
                <c:pt idx="43">
                  <c:v>46235</c:v>
                </c:pt>
                <c:pt idx="44">
                  <c:v>46266</c:v>
                </c:pt>
                <c:pt idx="45">
                  <c:v>46296</c:v>
                </c:pt>
                <c:pt idx="46">
                  <c:v>46327</c:v>
                </c:pt>
                <c:pt idx="47">
                  <c:v>46357</c:v>
                </c:pt>
                <c:pt idx="48">
                  <c:v>46388</c:v>
                </c:pt>
                <c:pt idx="49">
                  <c:v>46419</c:v>
                </c:pt>
                <c:pt idx="50">
                  <c:v>46447</c:v>
                </c:pt>
                <c:pt idx="51">
                  <c:v>46478</c:v>
                </c:pt>
                <c:pt idx="52">
                  <c:v>46508</c:v>
                </c:pt>
                <c:pt idx="53">
                  <c:v>46539</c:v>
                </c:pt>
                <c:pt idx="54">
                  <c:v>46569</c:v>
                </c:pt>
                <c:pt idx="55">
                  <c:v>46600</c:v>
                </c:pt>
                <c:pt idx="56">
                  <c:v>46631</c:v>
                </c:pt>
                <c:pt idx="57">
                  <c:v>46661</c:v>
                </c:pt>
                <c:pt idx="58">
                  <c:v>46692</c:v>
                </c:pt>
                <c:pt idx="59">
                  <c:v>46722</c:v>
                </c:pt>
              </c:numCache>
            </c:numRef>
          </c:cat>
          <c:val>
            <c:numRef>
              <c:f>'Supply Planning'!$C$38:$BJ$38</c:f>
              <c:numCache>
                <c:formatCode>0.00</c:formatCode>
                <c:ptCount val="60"/>
                <c:pt idx="0">
                  <c:v>0</c:v>
                </c:pt>
                <c:pt idx="1">
                  <c:v>0</c:v>
                </c:pt>
                <c:pt idx="2">
                  <c:v>0</c:v>
                </c:pt>
                <c:pt idx="3">
                  <c:v>0</c:v>
                </c:pt>
                <c:pt idx="4">
                  <c:v>0</c:v>
                </c:pt>
                <c:pt idx="5">
                  <c:v>0</c:v>
                </c:pt>
                <c:pt idx="6">
                  <c:v>3.5279419181212432</c:v>
                </c:pt>
                <c:pt idx="7">
                  <c:v>5.6447070689939896</c:v>
                </c:pt>
                <c:pt idx="8">
                  <c:v>9.8782373707394822</c:v>
                </c:pt>
                <c:pt idx="9">
                  <c:v>13.406179288860724</c:v>
                </c:pt>
                <c:pt idx="10">
                  <c:v>16.228532823357721</c:v>
                </c:pt>
                <c:pt idx="11">
                  <c:v>21.873239892351709</c:v>
                </c:pt>
                <c:pt idx="12">
                  <c:v>519.00067666741859</c:v>
                </c:pt>
                <c:pt idx="13">
                  <c:v>564.00068666742925</c:v>
                </c:pt>
                <c:pt idx="14">
                  <c:v>770.40085600095142</c:v>
                </c:pt>
                <c:pt idx="15">
                  <c:v>675.00078000086694</c:v>
                </c:pt>
                <c:pt idx="16">
                  <c:v>679.50007800008677</c:v>
                </c:pt>
                <c:pt idx="17">
                  <c:v>684.00078000086705</c:v>
                </c:pt>
                <c:pt idx="18">
                  <c:v>744.00084666760768</c:v>
                </c:pt>
                <c:pt idx="19">
                  <c:v>762.00084666760745</c:v>
                </c:pt>
                <c:pt idx="20">
                  <c:v>997.20110800123098</c:v>
                </c:pt>
                <c:pt idx="21">
                  <c:v>848.69999999999993</c:v>
                </c:pt>
                <c:pt idx="22">
                  <c:v>854.00094888994317</c:v>
                </c:pt>
                <c:pt idx="23">
                  <c:v>902.00100222333583</c:v>
                </c:pt>
                <c:pt idx="24">
                  <c:v>905.18399999999974</c:v>
                </c:pt>
                <c:pt idx="25">
                  <c:v>909.2249999999998</c:v>
                </c:pt>
                <c:pt idx="26">
                  <c:v>1233.5999999999997</c:v>
                </c:pt>
                <c:pt idx="27">
                  <c:v>1018.7877858419835</c:v>
                </c:pt>
                <c:pt idx="28">
                  <c:v>1064.1299999999997</c:v>
                </c:pt>
                <c:pt idx="29">
                  <c:v>1116.6629999999998</c:v>
                </c:pt>
                <c:pt idx="30">
                  <c:v>1145</c:v>
                </c:pt>
                <c:pt idx="31">
                  <c:v>1153</c:v>
                </c:pt>
                <c:pt idx="32">
                  <c:v>1438.8000000000006</c:v>
                </c:pt>
                <c:pt idx="33">
                  <c:v>1126.0599999999995</c:v>
                </c:pt>
                <c:pt idx="34">
                  <c:v>1153</c:v>
                </c:pt>
                <c:pt idx="35">
                  <c:v>1206.9948333275922</c:v>
                </c:pt>
                <c:pt idx="36">
                  <c:v>1213.2</c:v>
                </c:pt>
                <c:pt idx="37">
                  <c:v>1218.0013733348585</c:v>
                </c:pt>
                <c:pt idx="38">
                  <c:v>1540.8017120019028</c:v>
                </c:pt>
                <c:pt idx="39">
                  <c:v>1224</c:v>
                </c:pt>
                <c:pt idx="40">
                  <c:v>1278.0015600017339</c:v>
                </c:pt>
                <c:pt idx="41">
                  <c:v>1296.0015600017339</c:v>
                </c:pt>
                <c:pt idx="42">
                  <c:v>1524.0016933352149</c:v>
                </c:pt>
                <c:pt idx="43">
                  <c:v>1547.9999999999998</c:v>
                </c:pt>
                <c:pt idx="44">
                  <c:v>1994.402216002462</c:v>
                </c:pt>
                <c:pt idx="45">
                  <c:v>1636.1999999999998</c:v>
                </c:pt>
                <c:pt idx="46">
                  <c:v>1724.001915557684</c:v>
                </c:pt>
                <c:pt idx="47">
                  <c:v>1804.0020044466717</c:v>
                </c:pt>
                <c:pt idx="48">
                  <c:v>1806.5000000000002</c:v>
                </c:pt>
                <c:pt idx="49">
                  <c:v>1814.8219499999993</c:v>
                </c:pt>
                <c:pt idx="50">
                  <c:v>1997.0276695920452</c:v>
                </c:pt>
                <c:pt idx="51">
                  <c:v>1826.9999999999998</c:v>
                </c:pt>
                <c:pt idx="52">
                  <c:v>1828.7656791595764</c:v>
                </c:pt>
                <c:pt idx="53">
                  <c:v>1848.4901254997528</c:v>
                </c:pt>
                <c:pt idx="54">
                  <c:v>1852.8750000000002</c:v>
                </c:pt>
                <c:pt idx="55">
                  <c:v>1860.75</c:v>
                </c:pt>
                <c:pt idx="56">
                  <c:v>2027.5140603161387</c:v>
                </c:pt>
                <c:pt idx="57">
                  <c:v>1867.5</c:v>
                </c:pt>
                <c:pt idx="58">
                  <c:v>1878.75</c:v>
                </c:pt>
                <c:pt idx="59">
                  <c:v>1889.4442590036001</c:v>
                </c:pt>
              </c:numCache>
            </c:numRef>
          </c:val>
          <c:extLst>
            <c:ext xmlns:c16="http://schemas.microsoft.com/office/drawing/2014/chart" uri="{C3380CC4-5D6E-409C-BE32-E72D297353CC}">
              <c16:uniqueId val="{00000000-BBEF-464E-8F66-D6D28A82AC15}"/>
            </c:ext>
          </c:extLst>
        </c:ser>
        <c:ser>
          <c:idx val="1"/>
          <c:order val="1"/>
          <c:tx>
            <c:strRef>
              <c:f>'Supply Planning'!$A$39</c:f>
              <c:strCache>
                <c:ptCount val="1"/>
                <c:pt idx="0">
                  <c:v>Supply of Wipe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'Supply Planning'!$C$37:$BJ$37</c:f>
              <c:numCache>
                <c:formatCode>mmm\-yy</c:formatCode>
                <c:ptCount val="60"/>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46082</c:v>
                </c:pt>
                <c:pt idx="39">
                  <c:v>46113</c:v>
                </c:pt>
                <c:pt idx="40">
                  <c:v>46143</c:v>
                </c:pt>
                <c:pt idx="41">
                  <c:v>46174</c:v>
                </c:pt>
                <c:pt idx="42">
                  <c:v>46204</c:v>
                </c:pt>
                <c:pt idx="43">
                  <c:v>46235</c:v>
                </c:pt>
                <c:pt idx="44">
                  <c:v>46266</c:v>
                </c:pt>
                <c:pt idx="45">
                  <c:v>46296</c:v>
                </c:pt>
                <c:pt idx="46">
                  <c:v>46327</c:v>
                </c:pt>
                <c:pt idx="47">
                  <c:v>46357</c:v>
                </c:pt>
                <c:pt idx="48">
                  <c:v>46388</c:v>
                </c:pt>
                <c:pt idx="49">
                  <c:v>46419</c:v>
                </c:pt>
                <c:pt idx="50">
                  <c:v>46447</c:v>
                </c:pt>
                <c:pt idx="51">
                  <c:v>46478</c:v>
                </c:pt>
                <c:pt idx="52">
                  <c:v>46508</c:v>
                </c:pt>
                <c:pt idx="53">
                  <c:v>46539</c:v>
                </c:pt>
                <c:pt idx="54">
                  <c:v>46569</c:v>
                </c:pt>
                <c:pt idx="55">
                  <c:v>46600</c:v>
                </c:pt>
                <c:pt idx="56">
                  <c:v>46631</c:v>
                </c:pt>
                <c:pt idx="57">
                  <c:v>46661</c:v>
                </c:pt>
                <c:pt idx="58">
                  <c:v>46692</c:v>
                </c:pt>
                <c:pt idx="59">
                  <c:v>46722</c:v>
                </c:pt>
              </c:numCache>
            </c:numRef>
          </c:cat>
          <c:val>
            <c:numRef>
              <c:f>'Supply Planning'!$C$39:$BJ$39</c:f>
              <c:numCache>
                <c:formatCode>0.00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numCache>
            </c:numRef>
          </c:val>
          <c:extLst>
            <c:ext xmlns:c16="http://schemas.microsoft.com/office/drawing/2014/chart" uri="{C3380CC4-5D6E-409C-BE32-E72D297353CC}">
              <c16:uniqueId val="{00000001-BBEF-464E-8F66-D6D28A82AC15}"/>
            </c:ext>
          </c:extLst>
        </c:ser>
        <c:dLbls>
          <c:showLegendKey val="0"/>
          <c:showVal val="0"/>
          <c:showCatName val="0"/>
          <c:showSerName val="0"/>
          <c:showPercent val="0"/>
          <c:showBubbleSize val="0"/>
        </c:dLbls>
        <c:gapWidth val="219"/>
        <c:axId val="1135158096"/>
        <c:axId val="1135158928"/>
      </c:barChart>
      <c:lineChart>
        <c:grouping val="standard"/>
        <c:varyColors val="0"/>
        <c:ser>
          <c:idx val="2"/>
          <c:order val="2"/>
          <c:tx>
            <c:strRef>
              <c:f>'Supply Planning'!$A$40</c:f>
              <c:strCache>
                <c:ptCount val="1"/>
                <c:pt idx="0">
                  <c:v>Inventory Wipe</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'Supply Planning'!$C$37:$BJ$37</c:f>
              <c:numCache>
                <c:formatCode>mmm\-yy</c:formatCode>
                <c:ptCount val="60"/>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46082</c:v>
                </c:pt>
                <c:pt idx="39">
                  <c:v>46113</c:v>
                </c:pt>
                <c:pt idx="40">
                  <c:v>46143</c:v>
                </c:pt>
                <c:pt idx="41">
                  <c:v>46174</c:v>
                </c:pt>
                <c:pt idx="42">
                  <c:v>46204</c:v>
                </c:pt>
                <c:pt idx="43">
                  <c:v>46235</c:v>
                </c:pt>
                <c:pt idx="44">
                  <c:v>46266</c:v>
                </c:pt>
                <c:pt idx="45">
                  <c:v>46296</c:v>
                </c:pt>
                <c:pt idx="46">
                  <c:v>46327</c:v>
                </c:pt>
                <c:pt idx="47">
                  <c:v>46357</c:v>
                </c:pt>
                <c:pt idx="48">
                  <c:v>46388</c:v>
                </c:pt>
                <c:pt idx="49">
                  <c:v>46419</c:v>
                </c:pt>
                <c:pt idx="50">
                  <c:v>46447</c:v>
                </c:pt>
                <c:pt idx="51">
                  <c:v>46478</c:v>
                </c:pt>
                <c:pt idx="52">
                  <c:v>46508</c:v>
                </c:pt>
                <c:pt idx="53">
                  <c:v>46539</c:v>
                </c:pt>
                <c:pt idx="54">
                  <c:v>46569</c:v>
                </c:pt>
                <c:pt idx="55">
                  <c:v>46600</c:v>
                </c:pt>
                <c:pt idx="56">
                  <c:v>46631</c:v>
                </c:pt>
                <c:pt idx="57">
                  <c:v>46661</c:v>
                </c:pt>
                <c:pt idx="58">
                  <c:v>46692</c:v>
                </c:pt>
                <c:pt idx="59">
                  <c:v>46722</c:v>
                </c:pt>
              </c:numCache>
            </c:numRef>
          </c:cat>
          <c:val>
            <c:numRef>
              <c:f>'Supply Planning'!$C$40:$BJ$40</c:f>
              <c:numCache>
                <c:formatCode>0.00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numCache>
            </c:numRef>
          </c:val>
          <c:smooth val="0"/>
          <c:extLst>
            <c:ext xmlns:c16="http://schemas.microsoft.com/office/drawing/2014/chart" uri="{C3380CC4-5D6E-409C-BE32-E72D297353CC}">
              <c16:uniqueId val="{00000002-BBEF-464E-8F66-D6D28A82AC15}"/>
            </c:ext>
          </c:extLst>
        </c:ser>
        <c:dLbls>
          <c:showLegendKey val="0"/>
          <c:showVal val="0"/>
          <c:showCatName val="0"/>
          <c:showSerName val="0"/>
          <c:showPercent val="0"/>
          <c:showBubbleSize val="0"/>
        </c:dLbls>
        <c:marker val="1"/>
        <c:smooth val="0"/>
        <c:axId val="1135158096"/>
        <c:axId val="1135158928"/>
      </c:lineChart>
      <c:dateAx>
        <c:axId val="1135158096"/>
        <c:scaling>
          <c:orientation val="minMax"/>
        </c:scaling>
        <c:delete val="0"/>
        <c:axPos val="b"/>
        <c:numFmt formatCode="mmm\-yy"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5158928"/>
        <c:crosses val="autoZero"/>
        <c:auto val="1"/>
        <c:lblOffset val="100"/>
        <c:baseTimeUnit val="months"/>
      </c:dateAx>
      <c:valAx>
        <c:axId val="113515892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5158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Demand, Supply &amp; Inventory - Glove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'Supply Planning'!$A$43</c:f>
              <c:strCache>
                <c:ptCount val="1"/>
                <c:pt idx="0">
                  <c:v>Demand Glove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'Supply Planning'!$C$37:$BJ$37</c:f>
              <c:numCache>
                <c:formatCode>mmm\-yy</c:formatCode>
                <c:ptCount val="60"/>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46082</c:v>
                </c:pt>
                <c:pt idx="39">
                  <c:v>46113</c:v>
                </c:pt>
                <c:pt idx="40">
                  <c:v>46143</c:v>
                </c:pt>
                <c:pt idx="41">
                  <c:v>46174</c:v>
                </c:pt>
                <c:pt idx="42">
                  <c:v>46204</c:v>
                </c:pt>
                <c:pt idx="43">
                  <c:v>46235</c:v>
                </c:pt>
                <c:pt idx="44">
                  <c:v>46266</c:v>
                </c:pt>
                <c:pt idx="45">
                  <c:v>46296</c:v>
                </c:pt>
                <c:pt idx="46">
                  <c:v>46327</c:v>
                </c:pt>
                <c:pt idx="47">
                  <c:v>46357</c:v>
                </c:pt>
                <c:pt idx="48">
                  <c:v>46388</c:v>
                </c:pt>
                <c:pt idx="49">
                  <c:v>46419</c:v>
                </c:pt>
                <c:pt idx="50">
                  <c:v>46447</c:v>
                </c:pt>
                <c:pt idx="51">
                  <c:v>46478</c:v>
                </c:pt>
                <c:pt idx="52">
                  <c:v>46508</c:v>
                </c:pt>
                <c:pt idx="53">
                  <c:v>46539</c:v>
                </c:pt>
                <c:pt idx="54">
                  <c:v>46569</c:v>
                </c:pt>
                <c:pt idx="55">
                  <c:v>46600</c:v>
                </c:pt>
                <c:pt idx="56">
                  <c:v>46631</c:v>
                </c:pt>
                <c:pt idx="57">
                  <c:v>46661</c:v>
                </c:pt>
                <c:pt idx="58">
                  <c:v>46692</c:v>
                </c:pt>
                <c:pt idx="59">
                  <c:v>46722</c:v>
                </c:pt>
              </c:numCache>
            </c:numRef>
          </c:cat>
          <c:val>
            <c:numRef>
              <c:f>'Supply Planning'!$C$43:$BJ$43</c:f>
              <c:numCache>
                <c:formatCode>0.00</c:formatCode>
                <c:ptCount val="60"/>
                <c:pt idx="0">
                  <c:v>0</c:v>
                </c:pt>
                <c:pt idx="1">
                  <c:v>0</c:v>
                </c:pt>
                <c:pt idx="2">
                  <c:v>0</c:v>
                </c:pt>
                <c:pt idx="3">
                  <c:v>0</c:v>
                </c:pt>
                <c:pt idx="4">
                  <c:v>0</c:v>
                </c:pt>
                <c:pt idx="5">
                  <c:v>0</c:v>
                </c:pt>
                <c:pt idx="6">
                  <c:v>1.1759806393737477</c:v>
                </c:pt>
                <c:pt idx="7">
                  <c:v>1.8815690229979964</c:v>
                </c:pt>
                <c:pt idx="8">
                  <c:v>3.2927457902464941</c:v>
                </c:pt>
                <c:pt idx="9">
                  <c:v>4.4687264296202418</c:v>
                </c:pt>
                <c:pt idx="10">
                  <c:v>5.4095109411192395</c:v>
                </c:pt>
                <c:pt idx="11">
                  <c:v>7.2910799641172357</c:v>
                </c:pt>
                <c:pt idx="12">
                  <c:v>173.0002255558062</c:v>
                </c:pt>
                <c:pt idx="13">
                  <c:v>188.00022888914307</c:v>
                </c:pt>
                <c:pt idx="14">
                  <c:v>256.80028533365049</c:v>
                </c:pt>
                <c:pt idx="15">
                  <c:v>225.00026000028899</c:v>
                </c:pt>
                <c:pt idx="16">
                  <c:v>226.50002600002892</c:v>
                </c:pt>
                <c:pt idx="17">
                  <c:v>228.00026000028899</c:v>
                </c:pt>
                <c:pt idx="18">
                  <c:v>248.00028222253587</c:v>
                </c:pt>
                <c:pt idx="19">
                  <c:v>254.00028222253582</c:v>
                </c:pt>
                <c:pt idx="20">
                  <c:v>332.40036933374364</c:v>
                </c:pt>
                <c:pt idx="21">
                  <c:v>282.89999999999998</c:v>
                </c:pt>
                <c:pt idx="22">
                  <c:v>284.66698296331441</c:v>
                </c:pt>
                <c:pt idx="23">
                  <c:v>300.66700074111196</c:v>
                </c:pt>
                <c:pt idx="24">
                  <c:v>302.39999999999986</c:v>
                </c:pt>
                <c:pt idx="25">
                  <c:v>303.74999999999989</c:v>
                </c:pt>
                <c:pt idx="26">
                  <c:v>412.1158129175945</c:v>
                </c:pt>
                <c:pt idx="27">
                  <c:v>340.35226698507239</c:v>
                </c:pt>
                <c:pt idx="28">
                  <c:v>355.49999999999989</c:v>
                </c:pt>
                <c:pt idx="29">
                  <c:v>373.04999999999984</c:v>
                </c:pt>
                <c:pt idx="30">
                  <c:v>382.5167037861915</c:v>
                </c:pt>
                <c:pt idx="31">
                  <c:v>385.18930957683739</c:v>
                </c:pt>
                <c:pt idx="32">
                  <c:v>480.66815144766161</c:v>
                </c:pt>
                <c:pt idx="33">
                  <c:v>376.18930957683716</c:v>
                </c:pt>
                <c:pt idx="34">
                  <c:v>385.18930957683739</c:v>
                </c:pt>
                <c:pt idx="35">
                  <c:v>403.22767260387263</c:v>
                </c:pt>
                <c:pt idx="36">
                  <c:v>404.40000000000003</c:v>
                </c:pt>
                <c:pt idx="37">
                  <c:v>406.0004577782862</c:v>
                </c:pt>
                <c:pt idx="38">
                  <c:v>513.60057066730099</c:v>
                </c:pt>
                <c:pt idx="39">
                  <c:v>408.00000000000006</c:v>
                </c:pt>
                <c:pt idx="40">
                  <c:v>426.00052000057798</c:v>
                </c:pt>
                <c:pt idx="41">
                  <c:v>432.00052000057798</c:v>
                </c:pt>
                <c:pt idx="42">
                  <c:v>508.00056444507163</c:v>
                </c:pt>
                <c:pt idx="43">
                  <c:v>516</c:v>
                </c:pt>
                <c:pt idx="44">
                  <c:v>664.80073866748728</c:v>
                </c:pt>
                <c:pt idx="45">
                  <c:v>545.4</c:v>
                </c:pt>
                <c:pt idx="46">
                  <c:v>574.66730518589463</c:v>
                </c:pt>
                <c:pt idx="47">
                  <c:v>601.33400148222393</c:v>
                </c:pt>
                <c:pt idx="48">
                  <c:v>602.16666666666674</c:v>
                </c:pt>
                <c:pt idx="49">
                  <c:v>604.94064999999978</c:v>
                </c:pt>
                <c:pt idx="50">
                  <c:v>665.67588986401506</c:v>
                </c:pt>
                <c:pt idx="51">
                  <c:v>609</c:v>
                </c:pt>
                <c:pt idx="52">
                  <c:v>609.58855971985884</c:v>
                </c:pt>
                <c:pt idx="53">
                  <c:v>616.16337516658427</c:v>
                </c:pt>
                <c:pt idx="54">
                  <c:v>617.625</c:v>
                </c:pt>
                <c:pt idx="55">
                  <c:v>620.25</c:v>
                </c:pt>
                <c:pt idx="56">
                  <c:v>675.83802010537954</c:v>
                </c:pt>
                <c:pt idx="57">
                  <c:v>622.5</c:v>
                </c:pt>
                <c:pt idx="58">
                  <c:v>626.25</c:v>
                </c:pt>
                <c:pt idx="59">
                  <c:v>629.81475300120007</c:v>
                </c:pt>
              </c:numCache>
            </c:numRef>
          </c:val>
          <c:extLst>
            <c:ext xmlns:c16="http://schemas.microsoft.com/office/drawing/2014/chart" uri="{C3380CC4-5D6E-409C-BE32-E72D297353CC}">
              <c16:uniqueId val="{00000000-B289-4618-B709-9A0E950A2A5D}"/>
            </c:ext>
          </c:extLst>
        </c:ser>
        <c:ser>
          <c:idx val="1"/>
          <c:order val="1"/>
          <c:tx>
            <c:strRef>
              <c:f>'Supply Planning'!$A$44</c:f>
              <c:strCache>
                <c:ptCount val="1"/>
                <c:pt idx="0">
                  <c:v>Supply Glove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'Supply Planning'!$C$37:$BJ$37</c:f>
              <c:numCache>
                <c:formatCode>mmm\-yy</c:formatCode>
                <c:ptCount val="60"/>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46082</c:v>
                </c:pt>
                <c:pt idx="39">
                  <c:v>46113</c:v>
                </c:pt>
                <c:pt idx="40">
                  <c:v>46143</c:v>
                </c:pt>
                <c:pt idx="41">
                  <c:v>46174</c:v>
                </c:pt>
                <c:pt idx="42">
                  <c:v>46204</c:v>
                </c:pt>
                <c:pt idx="43">
                  <c:v>46235</c:v>
                </c:pt>
                <c:pt idx="44">
                  <c:v>46266</c:v>
                </c:pt>
                <c:pt idx="45">
                  <c:v>46296</c:v>
                </c:pt>
                <c:pt idx="46">
                  <c:v>46327</c:v>
                </c:pt>
                <c:pt idx="47">
                  <c:v>46357</c:v>
                </c:pt>
                <c:pt idx="48">
                  <c:v>46388</c:v>
                </c:pt>
                <c:pt idx="49">
                  <c:v>46419</c:v>
                </c:pt>
                <c:pt idx="50">
                  <c:v>46447</c:v>
                </c:pt>
                <c:pt idx="51">
                  <c:v>46478</c:v>
                </c:pt>
                <c:pt idx="52">
                  <c:v>46508</c:v>
                </c:pt>
                <c:pt idx="53">
                  <c:v>46539</c:v>
                </c:pt>
                <c:pt idx="54">
                  <c:v>46569</c:v>
                </c:pt>
                <c:pt idx="55">
                  <c:v>46600</c:v>
                </c:pt>
                <c:pt idx="56">
                  <c:v>46631</c:v>
                </c:pt>
                <c:pt idx="57">
                  <c:v>46661</c:v>
                </c:pt>
                <c:pt idx="58">
                  <c:v>46692</c:v>
                </c:pt>
                <c:pt idx="59">
                  <c:v>46722</c:v>
                </c:pt>
              </c:numCache>
            </c:numRef>
          </c:cat>
          <c:val>
            <c:numRef>
              <c:f>'Supply Planning'!$C$44:$BJ$44</c:f>
              <c:numCache>
                <c:formatCode>0.00</c:formatCode>
                <c:ptCount val="60"/>
                <c:pt idx="0">
                  <c:v>0</c:v>
                </c:pt>
                <c:pt idx="1">
                  <c:v>0</c:v>
                </c:pt>
                <c:pt idx="2">
                  <c:v>0</c:v>
                </c:pt>
                <c:pt idx="3">
                  <c:v>1.6595596443484026</c:v>
                </c:pt>
                <c:pt idx="4">
                  <c:v>2.6552954309574441</c:v>
                </c:pt>
                <c:pt idx="5">
                  <c:v>4.646767004175528</c:v>
                </c:pt>
                <c:pt idx="6">
                  <c:v>0</c:v>
                </c:pt>
                <c:pt idx="7">
                  <c:v>2.5036283548524692</c:v>
                </c:pt>
                <c:pt idx="8">
                  <c:v>6.5283360271735233</c:v>
                </c:pt>
                <c:pt idx="9">
                  <c:v>238.80327331266361</c:v>
                </c:pt>
                <c:pt idx="10">
                  <c:v>26.964579950216631</c:v>
                </c:pt>
                <c:pt idx="11">
                  <c:v>105.15636841088764</c:v>
                </c:pt>
                <c:pt idx="12">
                  <c:v>196.2654257571424</c:v>
                </c:pt>
                <c:pt idx="13">
                  <c:v>196.2849212467265</c:v>
                </c:pt>
                <c:pt idx="14">
                  <c:v>287.20894126236499</c:v>
                </c:pt>
                <c:pt idx="15">
                  <c:v>240.14796274369704</c:v>
                </c:pt>
                <c:pt idx="16">
                  <c:v>235.5840303265187</c:v>
                </c:pt>
                <c:pt idx="17">
                  <c:v>339.25643035519317</c:v>
                </c:pt>
                <c:pt idx="18">
                  <c:v>186.36897465312393</c:v>
                </c:pt>
                <c:pt idx="19">
                  <c:v>258.96115271026974</c:v>
                </c:pt>
                <c:pt idx="20">
                  <c:v>387.21897583936118</c:v>
                </c:pt>
                <c:pt idx="21">
                  <c:v>264.99041627949782</c:v>
                </c:pt>
                <c:pt idx="22">
                  <c:v>287.29872814640288</c:v>
                </c:pt>
                <c:pt idx="23">
                  <c:v>460.17371058074383</c:v>
                </c:pt>
                <c:pt idx="24">
                  <c:v>201.8389543940973</c:v>
                </c:pt>
                <c:pt idx="25">
                  <c:v>325.68182201144748</c:v>
                </c:pt>
                <c:pt idx="26">
                  <c:v>481.44408330960647</c:v>
                </c:pt>
                <c:pt idx="27">
                  <c:v>324.20167408326046</c:v>
                </c:pt>
                <c:pt idx="28">
                  <c:v>365.50056802010863</c:v>
                </c:pt>
                <c:pt idx="29">
                  <c:v>515.00781699616141</c:v>
                </c:pt>
                <c:pt idx="30">
                  <c:v>238.96759693213647</c:v>
                </c:pt>
                <c:pt idx="31">
                  <c:v>398.98924156951745</c:v>
                </c:pt>
                <c:pt idx="32">
                  <c:v>545.38631102410613</c:v>
                </c:pt>
                <c:pt idx="33">
                  <c:v>334.88061321760944</c:v>
                </c:pt>
                <c:pt idx="34">
                  <c:v>391.14881771111374</c:v>
                </c:pt>
                <c:pt idx="35">
                  <c:v>562.49201119167992</c:v>
                </c:pt>
                <c:pt idx="36">
                  <c:v>255.85713565750888</c:v>
                </c:pt>
                <c:pt idx="37">
                  <c:v>432.06116262670412</c:v>
                </c:pt>
                <c:pt idx="38">
                  <c:v>566.31446009419915</c:v>
                </c:pt>
                <c:pt idx="39">
                  <c:v>471.82791121517954</c:v>
                </c:pt>
                <c:pt idx="40">
                  <c:v>444.69148585451916</c:v>
                </c:pt>
                <c:pt idx="41">
                  <c:v>644.45739778106122</c:v>
                </c:pt>
                <c:pt idx="42">
                  <c:v>370.7528784513587</c:v>
                </c:pt>
                <c:pt idx="43">
                  <c:v>560.59188860394534</c:v>
                </c:pt>
                <c:pt idx="44">
                  <c:v>763.62199666684296</c:v>
                </c:pt>
                <c:pt idx="45">
                  <c:v>497.47588375713406</c:v>
                </c:pt>
                <c:pt idx="46">
                  <c:v>590.61709592749037</c:v>
                </c:pt>
                <c:pt idx="47">
                  <c:v>698.01008927021996</c:v>
                </c:pt>
                <c:pt idx="48">
                  <c:v>522.52729413893667</c:v>
                </c:pt>
                <c:pt idx="49">
                  <c:v>606.91193250406423</c:v>
                </c:pt>
                <c:pt idx="50">
                  <c:v>699.92950246278451</c:v>
                </c:pt>
                <c:pt idx="51">
                  <c:v>587.75677880965577</c:v>
                </c:pt>
                <c:pt idx="52">
                  <c:v>613.53501856001742</c:v>
                </c:pt>
                <c:pt idx="53">
                  <c:v>697.31358665183075</c:v>
                </c:pt>
                <c:pt idx="54">
                  <c:v>542.95471066555615</c:v>
                </c:pt>
                <c:pt idx="55">
                  <c:v>626.62148546795379</c:v>
                </c:pt>
                <c:pt idx="56">
                  <c:v>703.72718645372822</c:v>
                </c:pt>
              </c:numCache>
            </c:numRef>
          </c:val>
          <c:extLst>
            <c:ext xmlns:c16="http://schemas.microsoft.com/office/drawing/2014/chart" uri="{C3380CC4-5D6E-409C-BE32-E72D297353CC}">
              <c16:uniqueId val="{00000001-B289-4618-B709-9A0E950A2A5D}"/>
            </c:ext>
          </c:extLst>
        </c:ser>
        <c:dLbls>
          <c:showLegendKey val="0"/>
          <c:showVal val="0"/>
          <c:showCatName val="0"/>
          <c:showSerName val="0"/>
          <c:showPercent val="0"/>
          <c:showBubbleSize val="0"/>
        </c:dLbls>
        <c:gapWidth val="219"/>
        <c:axId val="1135158096"/>
        <c:axId val="1135158928"/>
      </c:barChart>
      <c:lineChart>
        <c:grouping val="standard"/>
        <c:varyColors val="0"/>
        <c:ser>
          <c:idx val="2"/>
          <c:order val="2"/>
          <c:tx>
            <c:strRef>
              <c:f>'Supply Planning'!$A$45</c:f>
              <c:strCache>
                <c:ptCount val="1"/>
                <c:pt idx="0">
                  <c:v>Inventory Glove</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'Supply Planning'!$C$37:$BJ$37</c:f>
              <c:numCache>
                <c:formatCode>mmm\-yy</c:formatCode>
                <c:ptCount val="60"/>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46082</c:v>
                </c:pt>
                <c:pt idx="39">
                  <c:v>46113</c:v>
                </c:pt>
                <c:pt idx="40">
                  <c:v>46143</c:v>
                </c:pt>
                <c:pt idx="41">
                  <c:v>46174</c:v>
                </c:pt>
                <c:pt idx="42">
                  <c:v>46204</c:v>
                </c:pt>
                <c:pt idx="43">
                  <c:v>46235</c:v>
                </c:pt>
                <c:pt idx="44">
                  <c:v>46266</c:v>
                </c:pt>
                <c:pt idx="45">
                  <c:v>46296</c:v>
                </c:pt>
                <c:pt idx="46">
                  <c:v>46327</c:v>
                </c:pt>
                <c:pt idx="47">
                  <c:v>46357</c:v>
                </c:pt>
                <c:pt idx="48">
                  <c:v>46388</c:v>
                </c:pt>
                <c:pt idx="49">
                  <c:v>46419</c:v>
                </c:pt>
                <c:pt idx="50">
                  <c:v>46447</c:v>
                </c:pt>
                <c:pt idx="51">
                  <c:v>46478</c:v>
                </c:pt>
                <c:pt idx="52">
                  <c:v>46508</c:v>
                </c:pt>
                <c:pt idx="53">
                  <c:v>46539</c:v>
                </c:pt>
                <c:pt idx="54">
                  <c:v>46569</c:v>
                </c:pt>
                <c:pt idx="55">
                  <c:v>46600</c:v>
                </c:pt>
                <c:pt idx="56">
                  <c:v>46631</c:v>
                </c:pt>
                <c:pt idx="57">
                  <c:v>46661</c:v>
                </c:pt>
                <c:pt idx="58">
                  <c:v>46692</c:v>
                </c:pt>
                <c:pt idx="59">
                  <c:v>46722</c:v>
                </c:pt>
              </c:numCache>
            </c:numRef>
          </c:cat>
          <c:val>
            <c:numRef>
              <c:f>'Supply Planning'!$C$45:$BJ$45</c:f>
              <c:numCache>
                <c:formatCode>0.00</c:formatCode>
                <c:ptCount val="60"/>
                <c:pt idx="0">
                  <c:v>0</c:v>
                </c:pt>
                <c:pt idx="1">
                  <c:v>0</c:v>
                </c:pt>
                <c:pt idx="2">
                  <c:v>0</c:v>
                </c:pt>
                <c:pt idx="3">
                  <c:v>0</c:v>
                </c:pt>
                <c:pt idx="4">
                  <c:v>1.6595596443484026</c:v>
                </c:pt>
                <c:pt idx="5">
                  <c:v>4.3148550753058466</c:v>
                </c:pt>
                <c:pt idx="6">
                  <c:v>7.7856414401076268</c:v>
                </c:pt>
                <c:pt idx="7">
                  <c:v>5.9040724171096306</c:v>
                </c:pt>
                <c:pt idx="8">
                  <c:v>5.1149549817156057</c:v>
                </c:pt>
                <c:pt idx="9">
                  <c:v>7.1745645792688872</c:v>
                </c:pt>
                <c:pt idx="10">
                  <c:v>240.56832695081326</c:v>
                </c:pt>
                <c:pt idx="11">
                  <c:v>260.24182693691267</c:v>
                </c:pt>
                <c:pt idx="12">
                  <c:v>192.39796979199411</c:v>
                </c:pt>
                <c:pt idx="13">
                  <c:v>200.66316665999344</c:v>
                </c:pt>
                <c:pt idx="14">
                  <c:v>140.14780257306944</c:v>
                </c:pt>
                <c:pt idx="15">
                  <c:v>202.35648383514544</c:v>
                </c:pt>
                <c:pt idx="16">
                  <c:v>216.00442057881355</c:v>
                </c:pt>
                <c:pt idx="17">
                  <c:v>223.58819090504326</c:v>
                </c:pt>
                <c:pt idx="18">
                  <c:v>314.84433903770054</c:v>
                </c:pt>
                <c:pt idx="19">
                  <c:v>247.21303146828865</c:v>
                </c:pt>
                <c:pt idx="20">
                  <c:v>173.77381484481475</c:v>
                </c:pt>
                <c:pt idx="21">
                  <c:v>278.09279068417595</c:v>
                </c:pt>
                <c:pt idx="22">
                  <c:v>258.41622400035936</c:v>
                </c:pt>
                <c:pt idx="23">
                  <c:v>245.04795140565028</c:v>
                </c:pt>
                <c:pt idx="24">
                  <c:v>402.82166198639425</c:v>
                </c:pt>
                <c:pt idx="25">
                  <c:v>300.91061638049166</c:v>
                </c:pt>
                <c:pt idx="26">
                  <c:v>214.47662547434464</c:v>
                </c:pt>
                <c:pt idx="27">
                  <c:v>355.56844179887872</c:v>
                </c:pt>
                <c:pt idx="28">
                  <c:v>324.27011588213929</c:v>
                </c:pt>
                <c:pt idx="29">
                  <c:v>316.72068390224808</c:v>
                </c:pt>
                <c:pt idx="30">
                  <c:v>449.21179711221799</c:v>
                </c:pt>
                <c:pt idx="31">
                  <c:v>302.99008446751708</c:v>
                </c:pt>
                <c:pt idx="32">
                  <c:v>221.31117458937291</c:v>
                </c:pt>
                <c:pt idx="33">
                  <c:v>390.50817603664194</c:v>
                </c:pt>
                <c:pt idx="34">
                  <c:v>340.19947967741399</c:v>
                </c:pt>
                <c:pt idx="35">
                  <c:v>328.12062478465509</c:v>
                </c:pt>
                <c:pt idx="36">
                  <c:v>486.21263597633498</c:v>
                </c:pt>
                <c:pt idx="37">
                  <c:v>336.06931385555765</c:v>
                </c:pt>
                <c:pt idx="38">
                  <c:v>254.52990581496078</c:v>
                </c:pt>
                <c:pt idx="39">
                  <c:v>412.84436590915988</c:v>
                </c:pt>
                <c:pt idx="40">
                  <c:v>458.67175712376144</c:v>
                </c:pt>
                <c:pt idx="41">
                  <c:v>471.36272297770262</c:v>
                </c:pt>
                <c:pt idx="42">
                  <c:v>607.81955631369215</c:v>
                </c:pt>
                <c:pt idx="43">
                  <c:v>462.57243476505084</c:v>
                </c:pt>
                <c:pt idx="44">
                  <c:v>358.3635847015089</c:v>
                </c:pt>
                <c:pt idx="45">
                  <c:v>576.58558136835188</c:v>
                </c:pt>
                <c:pt idx="46">
                  <c:v>499.3941599395913</c:v>
                </c:pt>
                <c:pt idx="47">
                  <c:v>488.67725438485775</c:v>
                </c:pt>
                <c:pt idx="48">
                  <c:v>584.52067698841097</c:v>
                </c:pt>
                <c:pt idx="49">
                  <c:v>502.10732112734786</c:v>
                </c:pt>
                <c:pt idx="50">
                  <c:v>443.34336376739702</c:v>
                </c:pt>
                <c:pt idx="51">
                  <c:v>534.27286623018153</c:v>
                </c:pt>
                <c:pt idx="52">
                  <c:v>512.44108531997847</c:v>
                </c:pt>
                <c:pt idx="53">
                  <c:v>509.81272871341162</c:v>
                </c:pt>
                <c:pt idx="54">
                  <c:v>589.50131536524236</c:v>
                </c:pt>
                <c:pt idx="55">
                  <c:v>512.20602603079851</c:v>
                </c:pt>
                <c:pt idx="56">
                  <c:v>462.98949139337276</c:v>
                </c:pt>
              </c:numCache>
            </c:numRef>
          </c:val>
          <c:smooth val="0"/>
          <c:extLst>
            <c:ext xmlns:c16="http://schemas.microsoft.com/office/drawing/2014/chart" uri="{C3380CC4-5D6E-409C-BE32-E72D297353CC}">
              <c16:uniqueId val="{00000002-B289-4618-B709-9A0E950A2A5D}"/>
            </c:ext>
          </c:extLst>
        </c:ser>
        <c:dLbls>
          <c:showLegendKey val="0"/>
          <c:showVal val="0"/>
          <c:showCatName val="0"/>
          <c:showSerName val="0"/>
          <c:showPercent val="0"/>
          <c:showBubbleSize val="0"/>
        </c:dLbls>
        <c:marker val="1"/>
        <c:smooth val="0"/>
        <c:axId val="1135158096"/>
        <c:axId val="1135158928"/>
      </c:lineChart>
      <c:dateAx>
        <c:axId val="1135158096"/>
        <c:scaling>
          <c:orientation val="minMax"/>
        </c:scaling>
        <c:delete val="0"/>
        <c:axPos val="b"/>
        <c:numFmt formatCode="mmm\-yy"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5158928"/>
        <c:crosses val="autoZero"/>
        <c:auto val="1"/>
        <c:lblOffset val="100"/>
        <c:baseTimeUnit val="months"/>
      </c:dateAx>
      <c:valAx>
        <c:axId val="113515892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5158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46</xdr:row>
      <xdr:rowOff>0</xdr:rowOff>
    </xdr:from>
    <xdr:to>
      <xdr:col>13</xdr:col>
      <xdr:colOff>184786</xdr:colOff>
      <xdr:row>65</xdr:row>
      <xdr:rowOff>7620</xdr:rowOff>
    </xdr:to>
    <xdr:graphicFrame macro="">
      <xdr:nvGraphicFramePr>
        <xdr:cNvPr id="3" name="Chart 2">
          <a:extLst>
            <a:ext uri="{FF2B5EF4-FFF2-40B4-BE49-F238E27FC236}">
              <a16:creationId xmlns:a16="http://schemas.microsoft.com/office/drawing/2014/main" id="{80AE3BC8-62EA-4CDB-B58D-BF8D4F0639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495306</xdr:colOff>
      <xdr:row>45</xdr:row>
      <xdr:rowOff>90487</xdr:rowOff>
    </xdr:from>
    <xdr:to>
      <xdr:col>15</xdr:col>
      <xdr:colOff>38106</xdr:colOff>
      <xdr:row>59</xdr:row>
      <xdr:rowOff>33337</xdr:rowOff>
    </xdr:to>
    <xdr:graphicFrame macro="">
      <xdr:nvGraphicFramePr>
        <xdr:cNvPr id="4" name="Chart 3">
          <a:extLst>
            <a:ext uri="{FF2B5EF4-FFF2-40B4-BE49-F238E27FC236}">
              <a16:creationId xmlns:a16="http://schemas.microsoft.com/office/drawing/2014/main" id="{41B1005A-4C08-BF3A-4DF9-FB6B77DDB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476249</xdr:colOff>
      <xdr:row>67</xdr:row>
      <xdr:rowOff>0</xdr:rowOff>
    </xdr:from>
    <xdr:to>
      <xdr:col>13</xdr:col>
      <xdr:colOff>428624</xdr:colOff>
      <xdr:row>80</xdr:row>
      <xdr:rowOff>142875</xdr:rowOff>
    </xdr:to>
    <xdr:graphicFrame macro="">
      <xdr:nvGraphicFramePr>
        <xdr:cNvPr id="5" name="Chart 4">
          <a:extLst>
            <a:ext uri="{FF2B5EF4-FFF2-40B4-BE49-F238E27FC236}">
              <a16:creationId xmlns:a16="http://schemas.microsoft.com/office/drawing/2014/main" id="{8DBD117A-B7AC-4851-8FDE-40061CBD04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ser\Desktop\Babson\1.%20Curriculam%20+%20Studies\1.%20Subjects%20Mode%202\Beta%20X%20Mod%202\Business%20Model\01.%20Basic%20Gantt%20Chart%20Excel%20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er\Desktop\Babson\1.%20Curriculam%20+%20Studies\1.%20Subjects%20Mode%202\Beta%20X%20Mod%202\Business%20Model\03.%20Monthly%20Gantt%20Chart%20Excel%20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user\Desktop\Babson\1.%20Curriculam%20+%20Studies\1.%20Subjects%20Mode%202\Beta%20X%20Mod%202\Operations\20221214%206.02%20PM%20BETA-X%20Submission%201%20Financials%20Swiffer%20Glove_6%20Updated_Vishnu.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Babson%20Olin\Coursework\Beta-X\BETA-X%20Submission%201%20Financials%20Swiffer%20Glove_6%20Updated%2020221204%2012.02%20PM_B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antt"/>
      <sheetName val="Readme"/>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antt"/>
      <sheetName val="Readme"/>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BSE"/>
      <sheetName val="Cash Flow Statement"/>
      <sheetName val="Break-even Analysis"/>
      <sheetName val="KPIs"/>
      <sheetName val="Revenue Bottom-up"/>
      <sheetName val="Sheet2"/>
      <sheetName val="Revenue Top-Down"/>
      <sheetName val="Margin Split"/>
      <sheetName val="Uncertain Cells"/>
      <sheetName val="Cost Total"/>
      <sheetName val="Revenue with Target Segements"/>
      <sheetName val="Cost Estimation"/>
      <sheetName val="Sheet4"/>
      <sheetName val="Cost (Swiffer Glove)"/>
      <sheetName val="RiskSerializationData8"/>
      <sheetName val="Supply Planning"/>
      <sheetName val="Sheet3"/>
      <sheetName val="NWC Calc"/>
      <sheetName val="Income Statement"/>
      <sheetName val="NPV Analysis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41">
          <cell r="E41">
            <v>23.519612787474955</v>
          </cell>
          <cell r="F41">
            <v>3000</v>
          </cell>
          <cell r="G41">
            <v>4499.9999999999982</v>
          </cell>
          <cell r="H41">
            <v>6000</v>
          </cell>
          <cell r="I41">
            <v>7500</v>
          </cell>
        </row>
      </sheetData>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BSE"/>
      <sheetName val="Cash Flow Statement"/>
      <sheetName val="Break-even Analysis"/>
      <sheetName val="KPIs"/>
      <sheetName val="Revenue Bottom-up"/>
      <sheetName val="Sheet2"/>
      <sheetName val="Revenue Top-Down"/>
      <sheetName val="Margin Split"/>
      <sheetName val="Uncertain Cells"/>
      <sheetName val="Cost Total"/>
      <sheetName val="Revenue with Target Segements"/>
      <sheetName val="Income Statement"/>
      <sheetName val="Cost Estimation"/>
      <sheetName val="Cost (Swiffer Glove)"/>
      <sheetName val="NPV Analysis"/>
      <sheetName val="NWC Calc"/>
      <sheetName val="Supply Planning"/>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6">
          <cell r="O6">
            <v>127.59389937205162</v>
          </cell>
          <cell r="AB6">
            <v>5261.6725129694587</v>
          </cell>
          <cell r="AO6">
            <v>7056.484270567772</v>
          </cell>
          <cell r="BB6">
            <v>10523.345025938917</v>
          </cell>
          <cell r="BO6">
            <v>18894.442590036</v>
          </cell>
        </row>
        <row r="7">
          <cell r="O7">
            <v>143.895670889511</v>
          </cell>
          <cell r="P7">
            <v>1337.3321052573749</v>
          </cell>
          <cell r="Q7">
            <v>2627.9834200494543</v>
          </cell>
          <cell r="R7">
            <v>4395.8425022681995</v>
          </cell>
          <cell r="S7">
            <v>5926.8420074782716</v>
          </cell>
          <cell r="AB7">
            <v>8443.2388204036506</v>
          </cell>
          <cell r="AO7">
            <v>11570.087940542704</v>
          </cell>
          <cell r="BB7">
            <v>16780.524138362438</v>
          </cell>
          <cell r="BO7">
            <v>17963.364618265718</v>
          </cell>
        </row>
        <row r="8">
          <cell r="O8">
            <v>89.314554345213722</v>
          </cell>
          <cell r="P8">
            <v>1267.8652296555422</v>
          </cell>
          <cell r="Q8">
            <v>2538.6688657042405</v>
          </cell>
          <cell r="R8">
            <v>3127.9772726126571</v>
          </cell>
          <cell r="S8">
            <v>3388.1731417740302</v>
          </cell>
          <cell r="AB8">
            <v>4116.2528804950944</v>
          </cell>
          <cell r="AO8">
            <v>5544.3964715559287</v>
          </cell>
          <cell r="BB8">
            <v>8270.0114819969767</v>
          </cell>
          <cell r="BO8">
            <v>8833.042846595361</v>
          </cell>
        </row>
      </sheetData>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tinyurl.com/4m4fay5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inyurl.com/4m4fay53"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m.alibaba.com/product/1600443120053/Full-Automatic-12-Lanes-Wet-Tissue.html" TargetMode="External"/><Relationship Id="rId1" Type="http://schemas.openxmlformats.org/officeDocument/2006/relationships/hyperlink" Target="https://www.droidwipes.com/wet-wipes-machine-product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6392C-4129-9D4B-BE34-99F274172696}">
  <dimension ref="A1:A23"/>
  <sheetViews>
    <sheetView workbookViewId="0">
      <selection activeCell="A33" sqref="A33"/>
    </sheetView>
  </sheetViews>
  <sheetFormatPr defaultColWidth="11.25" defaultRowHeight="15.75"/>
  <cols>
    <col min="1" max="1" width="153" customWidth="1"/>
  </cols>
  <sheetData>
    <row r="1" spans="1:1">
      <c r="A1" s="1" t="s">
        <v>108</v>
      </c>
    </row>
    <row r="3" spans="1:1">
      <c r="A3" t="s">
        <v>87</v>
      </c>
    </row>
    <row r="4" spans="1:1">
      <c r="A4" t="s">
        <v>86</v>
      </c>
    </row>
    <row r="5" spans="1:1" ht="15" customHeight="1"/>
    <row r="6" spans="1:1" ht="15" customHeight="1">
      <c r="A6" t="s">
        <v>88</v>
      </c>
    </row>
    <row r="8" spans="1:1">
      <c r="A8" s="1" t="s">
        <v>96</v>
      </c>
    </row>
    <row r="10" spans="1:1">
      <c r="A10" t="s">
        <v>92</v>
      </c>
    </row>
    <row r="11" spans="1:1">
      <c r="A11" t="s">
        <v>93</v>
      </c>
    </row>
    <row r="12" spans="1:1">
      <c r="A12" t="s">
        <v>94</v>
      </c>
    </row>
    <row r="14" spans="1:1">
      <c r="A14" t="s">
        <v>109</v>
      </c>
    </row>
    <row r="16" spans="1:1">
      <c r="A16" s="1" t="s">
        <v>105</v>
      </c>
    </row>
    <row r="17" spans="1:1">
      <c r="A17" s="1"/>
    </row>
    <row r="18" spans="1:1">
      <c r="A18" t="s">
        <v>13</v>
      </c>
    </row>
    <row r="19" spans="1:1">
      <c r="A19" t="s">
        <v>107</v>
      </c>
    </row>
    <row r="21" spans="1:1">
      <c r="A21" s="1" t="s">
        <v>106</v>
      </c>
    </row>
    <row r="23" spans="1:1">
      <c r="A23"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823A-27DF-C848-B3F5-4D166EA29DE1}">
  <dimension ref="A1:L79"/>
  <sheetViews>
    <sheetView showGridLines="0" topLeftCell="A6" zoomScale="99" workbookViewId="0">
      <selection activeCell="C13" sqref="C13"/>
    </sheetView>
  </sheetViews>
  <sheetFormatPr defaultColWidth="15.75" defaultRowHeight="15.75"/>
  <cols>
    <col min="1" max="1" width="27.25" customWidth="1"/>
  </cols>
  <sheetData>
    <row r="1" spans="1:12" ht="23.25">
      <c r="A1" s="27" t="s">
        <v>110</v>
      </c>
    </row>
    <row r="2" spans="1:12">
      <c r="A2" s="1" t="s">
        <v>111</v>
      </c>
    </row>
    <row r="4" spans="1:12">
      <c r="A4" s="1" t="s">
        <v>28</v>
      </c>
      <c r="D4" s="108">
        <f>(1000000000/(12))/((10*0.8)+((8*0.8)/3))</f>
        <v>8223684.2105263155</v>
      </c>
    </row>
    <row r="5" spans="1:12" s="69" customFormat="1">
      <c r="A5" s="83" t="s">
        <v>57</v>
      </c>
      <c r="B5" s="84"/>
      <c r="C5" s="84"/>
      <c r="D5" s="84" t="s">
        <v>125</v>
      </c>
      <c r="E5" s="84"/>
      <c r="F5" s="84"/>
      <c r="G5" s="84"/>
      <c r="H5" s="84"/>
      <c r="J5"/>
      <c r="K5"/>
      <c r="L5"/>
    </row>
    <row r="6" spans="1:12" s="69" customFormat="1">
      <c r="A6" s="83" t="s">
        <v>78</v>
      </c>
      <c r="B6" s="84"/>
      <c r="C6" s="84"/>
      <c r="D6" s="84"/>
      <c r="E6" s="84"/>
      <c r="F6" s="84"/>
      <c r="G6" s="84"/>
      <c r="H6" s="84"/>
      <c r="J6"/>
      <c r="K6"/>
      <c r="L6"/>
    </row>
    <row r="7" spans="1:12">
      <c r="A7" s="41" t="s">
        <v>201</v>
      </c>
      <c r="B7" s="41"/>
      <c r="C7" s="41"/>
      <c r="D7" s="41"/>
      <c r="E7" s="41"/>
      <c r="F7" s="41"/>
      <c r="G7" s="41"/>
      <c r="H7" s="41"/>
    </row>
    <row r="8" spans="1:12">
      <c r="A8" s="42" t="s">
        <v>56</v>
      </c>
      <c r="B8" s="43"/>
      <c r="C8" s="43"/>
      <c r="D8" s="43"/>
      <c r="E8" s="43"/>
      <c r="F8" s="43"/>
      <c r="G8" s="43"/>
      <c r="H8" s="43"/>
    </row>
    <row r="9" spans="1:12">
      <c r="A9" s="40" t="s">
        <v>58</v>
      </c>
      <c r="B9" s="44"/>
      <c r="C9" s="44"/>
      <c r="D9" s="44"/>
      <c r="E9" s="44"/>
      <c r="F9" s="44"/>
      <c r="G9" s="44"/>
      <c r="H9" s="44"/>
    </row>
    <row r="10" spans="1:12">
      <c r="A10" s="40" t="s">
        <v>64</v>
      </c>
      <c r="B10" s="44"/>
      <c r="C10" s="44"/>
      <c r="D10" s="44"/>
      <c r="E10" s="44"/>
      <c r="F10" s="44"/>
      <c r="G10" s="44"/>
      <c r="H10" s="44"/>
    </row>
    <row r="11" spans="1:12">
      <c r="A11" s="40" t="s">
        <v>65</v>
      </c>
      <c r="B11" s="44"/>
      <c r="C11" s="44"/>
      <c r="D11" s="44"/>
      <c r="E11" s="44"/>
      <c r="F11" s="44"/>
      <c r="G11" s="44"/>
      <c r="H11" s="44"/>
    </row>
    <row r="12" spans="1:12">
      <c r="A12" s="40" t="s">
        <v>59</v>
      </c>
      <c r="B12" s="44"/>
      <c r="C12" s="44"/>
      <c r="D12" s="44"/>
      <c r="E12" s="44"/>
      <c r="F12" s="44"/>
      <c r="G12" s="44"/>
      <c r="H12" s="44"/>
      <c r="J12" s="41"/>
    </row>
    <row r="13" spans="1:12">
      <c r="A13" s="45" t="s">
        <v>66</v>
      </c>
      <c r="B13" s="46">
        <v>0</v>
      </c>
      <c r="C13" s="46">
        <v>0</v>
      </c>
      <c r="D13" s="46">
        <v>0</v>
      </c>
      <c r="E13" s="46">
        <v>0</v>
      </c>
      <c r="F13" s="46">
        <v>0</v>
      </c>
      <c r="G13" s="46">
        <v>0</v>
      </c>
      <c r="H13" s="46">
        <v>0</v>
      </c>
      <c r="I13" s="41"/>
    </row>
    <row r="14" spans="1:12">
      <c r="A14" s="40" t="s">
        <v>60</v>
      </c>
      <c r="B14" s="44"/>
      <c r="C14" s="44"/>
      <c r="D14" s="44"/>
      <c r="E14" s="44"/>
      <c r="F14" s="44"/>
      <c r="G14" s="44"/>
      <c r="H14" s="44"/>
    </row>
    <row r="15" spans="1:12">
      <c r="A15" s="40" t="s">
        <v>67</v>
      </c>
      <c r="B15" s="44"/>
      <c r="C15" s="44"/>
      <c r="D15" s="44"/>
      <c r="E15" s="44"/>
      <c r="F15" s="44"/>
      <c r="G15" s="44"/>
      <c r="H15" s="44"/>
    </row>
    <row r="16" spans="1:12">
      <c r="A16" s="47" t="s">
        <v>68</v>
      </c>
      <c r="B16" s="48">
        <f>SUM(B9:B15)</f>
        <v>0</v>
      </c>
      <c r="C16" s="48">
        <f t="shared" ref="C16:H16" si="0">SUM(C9:C15)</f>
        <v>0</v>
      </c>
      <c r="D16" s="48">
        <f t="shared" si="0"/>
        <v>0</v>
      </c>
      <c r="E16" s="48">
        <f t="shared" si="0"/>
        <v>0</v>
      </c>
      <c r="F16" s="48">
        <f t="shared" si="0"/>
        <v>0</v>
      </c>
      <c r="G16" s="48">
        <f t="shared" si="0"/>
        <v>0</v>
      </c>
      <c r="H16" s="48">
        <f t="shared" si="0"/>
        <v>0</v>
      </c>
    </row>
    <row r="17" spans="1:8">
      <c r="A17" s="42" t="s">
        <v>69</v>
      </c>
      <c r="B17" s="43"/>
      <c r="C17" s="43"/>
      <c r="D17" s="43"/>
      <c r="E17" s="43"/>
      <c r="F17" s="43"/>
      <c r="G17" s="43"/>
      <c r="H17" s="43"/>
    </row>
    <row r="18" spans="1:8">
      <c r="A18" s="40" t="s">
        <v>70</v>
      </c>
      <c r="B18" s="44"/>
      <c r="C18" s="44"/>
      <c r="D18" s="44"/>
      <c r="E18" s="44"/>
      <c r="F18" s="44"/>
      <c r="G18" s="44"/>
      <c r="H18" s="44"/>
    </row>
    <row r="19" spans="1:8">
      <c r="A19" s="40" t="s">
        <v>71</v>
      </c>
      <c r="B19" s="44"/>
      <c r="C19" s="44"/>
      <c r="D19" s="44"/>
      <c r="E19" s="44"/>
      <c r="F19" s="44"/>
      <c r="G19" s="44"/>
      <c r="H19" s="44"/>
    </row>
    <row r="20" spans="1:8">
      <c r="A20" s="40" t="s">
        <v>72</v>
      </c>
      <c r="B20" s="44"/>
      <c r="C20" s="44"/>
      <c r="D20" s="44"/>
      <c r="E20" s="44"/>
      <c r="F20" s="44"/>
      <c r="G20" s="44"/>
      <c r="H20" s="44"/>
    </row>
    <row r="21" spans="1:8">
      <c r="A21" s="45" t="s">
        <v>73</v>
      </c>
      <c r="B21" s="46">
        <v>0</v>
      </c>
      <c r="C21" s="46">
        <v>0</v>
      </c>
      <c r="D21" s="46">
        <v>0</v>
      </c>
      <c r="E21" s="46">
        <v>0</v>
      </c>
      <c r="F21" s="46">
        <v>0</v>
      </c>
      <c r="G21" s="46">
        <v>0</v>
      </c>
      <c r="H21" s="46">
        <v>0</v>
      </c>
    </row>
    <row r="22" spans="1:8">
      <c r="A22" s="40" t="s">
        <v>74</v>
      </c>
      <c r="B22" s="49"/>
      <c r="C22" s="49"/>
      <c r="D22" s="49"/>
      <c r="E22" s="49"/>
      <c r="F22" s="49"/>
      <c r="G22" s="49"/>
      <c r="H22" s="49"/>
    </row>
    <row r="23" spans="1:8">
      <c r="A23" s="40" t="s">
        <v>75</v>
      </c>
      <c r="C23" s="49"/>
      <c r="D23" s="49"/>
      <c r="E23" s="49"/>
      <c r="F23" s="49"/>
      <c r="G23" s="49"/>
      <c r="H23" s="49"/>
    </row>
    <row r="24" spans="1:8">
      <c r="A24" s="40" t="s">
        <v>76</v>
      </c>
      <c r="B24" s="49"/>
      <c r="C24" s="49"/>
      <c r="D24" s="49"/>
      <c r="E24" s="49"/>
      <c r="F24" s="49"/>
      <c r="G24" s="49"/>
      <c r="H24" s="49"/>
    </row>
    <row r="25" spans="1:8">
      <c r="A25" s="47" t="s">
        <v>77</v>
      </c>
      <c r="B25" s="48">
        <f>SUM(B18:B24)</f>
        <v>0</v>
      </c>
      <c r="C25" s="48">
        <v>0</v>
      </c>
      <c r="D25" s="48">
        <v>0</v>
      </c>
      <c r="E25" s="48">
        <v>0</v>
      </c>
      <c r="F25" s="48">
        <v>0</v>
      </c>
      <c r="G25" s="48">
        <v>0</v>
      </c>
      <c r="H25" s="48">
        <v>0</v>
      </c>
    </row>
    <row r="26" spans="1:8">
      <c r="A26" s="41"/>
      <c r="B26" s="41"/>
      <c r="C26" s="41"/>
      <c r="D26" s="41"/>
      <c r="E26" s="41"/>
      <c r="F26" s="41"/>
      <c r="G26" s="41"/>
      <c r="H26" s="41"/>
    </row>
    <row r="27" spans="1:8" s="39" customFormat="1">
      <c r="A27" s="39" t="s">
        <v>61</v>
      </c>
    </row>
    <row r="30" spans="1:8">
      <c r="A30" s="1" t="s">
        <v>29</v>
      </c>
    </row>
    <row r="31" spans="1:8" s="69" customFormat="1">
      <c r="A31" s="83" t="s">
        <v>57</v>
      </c>
      <c r="B31" s="84"/>
      <c r="C31" s="84"/>
      <c r="D31" s="84"/>
      <c r="E31" s="84"/>
      <c r="F31" s="84"/>
      <c r="G31" s="84"/>
      <c r="H31" s="84"/>
    </row>
    <row r="32" spans="1:8" s="69" customFormat="1">
      <c r="A32" s="83" t="s">
        <v>78</v>
      </c>
      <c r="B32" s="84"/>
      <c r="C32" s="84"/>
      <c r="D32" s="84"/>
      <c r="E32" s="84"/>
      <c r="F32" s="84"/>
      <c r="G32" s="84"/>
      <c r="H32" s="84"/>
    </row>
    <row r="33" spans="1:8">
      <c r="A33" s="41"/>
      <c r="B33" s="41"/>
      <c r="C33" s="41"/>
      <c r="D33" s="41"/>
      <c r="E33" s="41"/>
      <c r="F33" s="41"/>
      <c r="G33" s="41"/>
      <c r="H33" s="41"/>
    </row>
    <row r="34" spans="1:8">
      <c r="A34" s="42" t="s">
        <v>56</v>
      </c>
      <c r="B34" s="43"/>
      <c r="C34" s="43"/>
      <c r="D34" s="43"/>
      <c r="E34" s="43"/>
      <c r="F34" s="43"/>
      <c r="G34" s="43"/>
      <c r="H34" s="43"/>
    </row>
    <row r="35" spans="1:8">
      <c r="A35" s="40" t="s">
        <v>58</v>
      </c>
      <c r="B35" s="44"/>
      <c r="C35" s="44"/>
      <c r="D35" s="44"/>
      <c r="E35" s="44"/>
      <c r="F35" s="44"/>
      <c r="G35" s="44"/>
      <c r="H35" s="44"/>
    </row>
    <row r="36" spans="1:8">
      <c r="A36" s="40" t="s">
        <v>64</v>
      </c>
      <c r="B36" s="44"/>
      <c r="C36" s="44"/>
      <c r="D36" s="44"/>
      <c r="E36" s="44"/>
      <c r="F36" s="44"/>
      <c r="G36" s="44"/>
      <c r="H36" s="44"/>
    </row>
    <row r="37" spans="1:8">
      <c r="A37" s="40" t="s">
        <v>65</v>
      </c>
      <c r="B37" s="44"/>
      <c r="C37" s="44"/>
      <c r="D37" s="44"/>
      <c r="E37" s="44"/>
      <c r="F37" s="44"/>
      <c r="G37" s="44"/>
      <c r="H37" s="44"/>
    </row>
    <row r="38" spans="1:8">
      <c r="A38" s="40" t="s">
        <v>59</v>
      </c>
      <c r="B38" s="44"/>
      <c r="C38" s="44"/>
      <c r="D38" s="44"/>
      <c r="E38" s="44"/>
      <c r="F38" s="44"/>
      <c r="G38" s="44"/>
      <c r="H38" s="44"/>
    </row>
    <row r="39" spans="1:8">
      <c r="A39" s="45" t="s">
        <v>66</v>
      </c>
      <c r="B39" s="46">
        <v>0</v>
      </c>
      <c r="C39" s="46">
        <v>0</v>
      </c>
      <c r="D39" s="46">
        <v>0</v>
      </c>
      <c r="E39" s="46">
        <v>0</v>
      </c>
      <c r="F39" s="46">
        <v>0</v>
      </c>
      <c r="G39" s="46">
        <v>0</v>
      </c>
      <c r="H39" s="46">
        <v>0</v>
      </c>
    </row>
    <row r="40" spans="1:8">
      <c r="A40" s="40" t="s">
        <v>60</v>
      </c>
      <c r="B40" s="44"/>
      <c r="C40" s="44"/>
      <c r="D40" s="44"/>
      <c r="E40" s="44"/>
      <c r="F40" s="44"/>
      <c r="G40" s="44"/>
      <c r="H40" s="44"/>
    </row>
    <row r="41" spans="1:8">
      <c r="A41" s="40" t="s">
        <v>67</v>
      </c>
      <c r="B41" s="44"/>
      <c r="C41" s="44"/>
      <c r="D41" s="44"/>
      <c r="E41" s="44"/>
      <c r="F41" s="44"/>
      <c r="G41" s="44"/>
      <c r="H41" s="44"/>
    </row>
    <row r="42" spans="1:8">
      <c r="A42" s="47" t="s">
        <v>68</v>
      </c>
      <c r="B42" s="48">
        <v>0</v>
      </c>
      <c r="C42" s="48">
        <v>0</v>
      </c>
      <c r="D42" s="48">
        <v>0</v>
      </c>
      <c r="E42" s="48">
        <v>0</v>
      </c>
      <c r="F42" s="48">
        <v>0</v>
      </c>
      <c r="G42" s="48">
        <v>0</v>
      </c>
      <c r="H42" s="48">
        <v>0</v>
      </c>
    </row>
    <row r="43" spans="1:8">
      <c r="A43" s="42" t="s">
        <v>69</v>
      </c>
      <c r="B43" s="43"/>
      <c r="C43" s="43"/>
      <c r="D43" s="43"/>
      <c r="E43" s="43"/>
      <c r="F43" s="43"/>
      <c r="G43" s="43"/>
      <c r="H43" s="43"/>
    </row>
    <row r="44" spans="1:8">
      <c r="A44" s="40" t="s">
        <v>70</v>
      </c>
      <c r="B44" s="44"/>
      <c r="C44" s="44"/>
      <c r="D44" s="44"/>
      <c r="E44" s="44"/>
      <c r="F44" s="44"/>
      <c r="G44" s="44"/>
      <c r="H44" s="44"/>
    </row>
    <row r="45" spans="1:8">
      <c r="A45" s="40" t="s">
        <v>71</v>
      </c>
      <c r="B45" s="44"/>
      <c r="C45" s="44"/>
      <c r="D45" s="44"/>
      <c r="E45" s="44"/>
      <c r="F45" s="44"/>
      <c r="G45" s="44"/>
      <c r="H45" s="44"/>
    </row>
    <row r="46" spans="1:8">
      <c r="A46" s="40" t="s">
        <v>72</v>
      </c>
      <c r="B46" s="44"/>
      <c r="C46" s="44"/>
      <c r="D46" s="44"/>
      <c r="E46" s="44"/>
      <c r="F46" s="44"/>
      <c r="G46" s="44"/>
      <c r="H46" s="44"/>
    </row>
    <row r="47" spans="1:8">
      <c r="A47" s="45" t="s">
        <v>73</v>
      </c>
      <c r="B47" s="46">
        <v>0</v>
      </c>
      <c r="C47" s="46">
        <v>0</v>
      </c>
      <c r="D47" s="46">
        <v>0</v>
      </c>
      <c r="E47" s="46">
        <v>0</v>
      </c>
      <c r="F47" s="46">
        <v>0</v>
      </c>
      <c r="G47" s="46">
        <v>0</v>
      </c>
      <c r="H47" s="46">
        <v>0</v>
      </c>
    </row>
    <row r="48" spans="1:8">
      <c r="A48" s="40" t="s">
        <v>74</v>
      </c>
      <c r="B48" s="49"/>
      <c r="C48" s="49"/>
      <c r="D48" s="49"/>
      <c r="E48" s="49"/>
      <c r="F48" s="49"/>
      <c r="G48" s="49"/>
      <c r="H48" s="49"/>
    </row>
    <row r="49" spans="1:8">
      <c r="A49" s="40" t="s">
        <v>75</v>
      </c>
      <c r="B49" s="49"/>
      <c r="C49" s="49"/>
      <c r="D49" s="49"/>
      <c r="E49" s="49"/>
      <c r="F49" s="49"/>
      <c r="G49" s="49"/>
      <c r="H49" s="49"/>
    </row>
    <row r="50" spans="1:8">
      <c r="A50" s="40" t="s">
        <v>76</v>
      </c>
      <c r="B50" s="49"/>
      <c r="C50" s="49"/>
      <c r="D50" s="49"/>
      <c r="E50" s="49"/>
      <c r="F50" s="49"/>
      <c r="G50" s="49"/>
      <c r="H50" s="49"/>
    </row>
    <row r="51" spans="1:8">
      <c r="A51" s="47" t="s">
        <v>77</v>
      </c>
      <c r="B51" s="48">
        <v>0</v>
      </c>
      <c r="C51" s="48">
        <v>0</v>
      </c>
      <c r="D51" s="48">
        <v>0</v>
      </c>
      <c r="E51" s="48">
        <v>0</v>
      </c>
      <c r="F51" s="48">
        <v>0</v>
      </c>
      <c r="G51" s="48">
        <v>0</v>
      </c>
      <c r="H51" s="48">
        <v>0</v>
      </c>
    </row>
    <row r="52" spans="1:8">
      <c r="A52" s="41"/>
      <c r="B52" s="41"/>
      <c r="C52" s="41"/>
      <c r="D52" s="41"/>
      <c r="E52" s="41"/>
      <c r="F52" s="41"/>
      <c r="G52" s="41"/>
      <c r="H52" s="41"/>
    </row>
    <row r="53" spans="1:8" s="39" customFormat="1">
      <c r="A53" s="39" t="s">
        <v>61</v>
      </c>
    </row>
    <row r="56" spans="1:8">
      <c r="A56" s="40" t="s">
        <v>30</v>
      </c>
      <c r="B56" s="41"/>
      <c r="C56" s="41"/>
      <c r="D56" s="41"/>
      <c r="E56" s="41"/>
      <c r="F56" s="41"/>
      <c r="G56" s="41"/>
      <c r="H56" s="41"/>
    </row>
    <row r="57" spans="1:8" s="69" customFormat="1">
      <c r="A57" s="83" t="s">
        <v>57</v>
      </c>
      <c r="B57" s="84"/>
      <c r="C57" s="84"/>
      <c r="D57" s="84"/>
      <c r="E57" s="84"/>
      <c r="F57" s="84"/>
      <c r="G57" s="84"/>
      <c r="H57" s="84"/>
    </row>
    <row r="58" spans="1:8" s="69" customFormat="1">
      <c r="A58" s="83" t="s">
        <v>78</v>
      </c>
      <c r="B58" s="84"/>
      <c r="C58" s="84"/>
      <c r="D58" s="84"/>
      <c r="E58" s="84"/>
      <c r="F58" s="84"/>
      <c r="G58" s="84"/>
      <c r="H58" s="84"/>
    </row>
    <row r="59" spans="1:8">
      <c r="A59" s="41"/>
      <c r="B59" s="41"/>
      <c r="C59" s="41"/>
      <c r="D59" s="41"/>
      <c r="E59" s="41"/>
      <c r="F59" s="41"/>
      <c r="G59" s="41"/>
      <c r="H59" s="41"/>
    </row>
    <row r="60" spans="1:8">
      <c r="A60" s="42" t="s">
        <v>56</v>
      </c>
      <c r="B60" s="43"/>
      <c r="C60" s="43"/>
      <c r="D60" s="43"/>
      <c r="E60" s="43"/>
      <c r="F60" s="43"/>
      <c r="G60" s="43"/>
      <c r="H60" s="43"/>
    </row>
    <row r="61" spans="1:8">
      <c r="A61" s="40" t="s">
        <v>58</v>
      </c>
      <c r="B61" s="44"/>
      <c r="C61" s="44"/>
      <c r="D61" s="44"/>
      <c r="E61" s="44"/>
      <c r="F61" s="44"/>
      <c r="G61" s="44"/>
      <c r="H61" s="44"/>
    </row>
    <row r="62" spans="1:8">
      <c r="A62" s="40" t="s">
        <v>64</v>
      </c>
      <c r="B62" s="44"/>
      <c r="C62" s="44"/>
      <c r="D62" s="44"/>
      <c r="E62" s="44"/>
      <c r="F62" s="44"/>
      <c r="G62" s="44"/>
      <c r="H62" s="44"/>
    </row>
    <row r="63" spans="1:8">
      <c r="A63" s="40" t="s">
        <v>65</v>
      </c>
      <c r="B63" s="44"/>
      <c r="C63" s="44"/>
      <c r="D63" s="44"/>
      <c r="E63" s="44"/>
      <c r="F63" s="44"/>
      <c r="G63" s="44"/>
      <c r="H63" s="44"/>
    </row>
    <row r="64" spans="1:8">
      <c r="A64" s="40" t="s">
        <v>59</v>
      </c>
      <c r="B64" s="44"/>
      <c r="C64" s="44"/>
      <c r="D64" s="44"/>
      <c r="E64" s="44"/>
      <c r="F64" s="44"/>
      <c r="G64" s="44"/>
      <c r="H64" s="44"/>
    </row>
    <row r="65" spans="1:8">
      <c r="A65" s="45" t="s">
        <v>66</v>
      </c>
      <c r="B65" s="46">
        <v>0</v>
      </c>
      <c r="C65" s="46">
        <v>0</v>
      </c>
      <c r="D65" s="46">
        <v>0</v>
      </c>
      <c r="E65" s="46">
        <v>0</v>
      </c>
      <c r="F65" s="46">
        <v>0</v>
      </c>
      <c r="G65" s="46">
        <v>0</v>
      </c>
      <c r="H65" s="46">
        <v>0</v>
      </c>
    </row>
    <row r="66" spans="1:8">
      <c r="A66" s="40" t="s">
        <v>60</v>
      </c>
      <c r="B66" s="44"/>
      <c r="C66" s="44"/>
      <c r="D66" s="44"/>
      <c r="E66" s="44"/>
      <c r="F66" s="44"/>
      <c r="G66" s="44"/>
      <c r="H66" s="44"/>
    </row>
    <row r="67" spans="1:8">
      <c r="A67" s="40" t="s">
        <v>67</v>
      </c>
      <c r="B67" s="44"/>
      <c r="C67" s="44"/>
      <c r="D67" s="44"/>
      <c r="E67" s="44"/>
      <c r="F67" s="44"/>
      <c r="G67" s="44"/>
      <c r="H67" s="44"/>
    </row>
    <row r="68" spans="1:8">
      <c r="A68" s="47" t="s">
        <v>68</v>
      </c>
      <c r="B68" s="48">
        <v>0</v>
      </c>
      <c r="C68" s="48">
        <v>0</v>
      </c>
      <c r="D68" s="48">
        <v>0</v>
      </c>
      <c r="E68" s="48">
        <v>0</v>
      </c>
      <c r="F68" s="48">
        <v>0</v>
      </c>
      <c r="G68" s="48">
        <v>0</v>
      </c>
      <c r="H68" s="48">
        <v>0</v>
      </c>
    </row>
    <row r="69" spans="1:8">
      <c r="A69" s="42" t="s">
        <v>69</v>
      </c>
      <c r="B69" s="43"/>
      <c r="C69" s="43"/>
      <c r="D69" s="43"/>
      <c r="E69" s="43"/>
      <c r="F69" s="43"/>
      <c r="G69" s="43"/>
      <c r="H69" s="43"/>
    </row>
    <row r="70" spans="1:8">
      <c r="A70" s="40" t="s">
        <v>70</v>
      </c>
      <c r="B70" s="44"/>
      <c r="C70" s="44"/>
      <c r="D70" s="44"/>
      <c r="E70" s="44"/>
      <c r="F70" s="44"/>
      <c r="G70" s="44"/>
      <c r="H70" s="44"/>
    </row>
    <row r="71" spans="1:8">
      <c r="A71" s="40" t="s">
        <v>71</v>
      </c>
      <c r="B71" s="44"/>
      <c r="C71" s="44"/>
      <c r="D71" s="44"/>
      <c r="E71" s="44"/>
      <c r="F71" s="44"/>
      <c r="G71" s="44"/>
      <c r="H71" s="44"/>
    </row>
    <row r="72" spans="1:8">
      <c r="A72" s="40" t="s">
        <v>72</v>
      </c>
      <c r="B72" s="44"/>
      <c r="C72" s="44"/>
      <c r="D72" s="44"/>
      <c r="E72" s="44"/>
      <c r="F72" s="44"/>
      <c r="G72" s="44"/>
      <c r="H72" s="44"/>
    </row>
    <row r="73" spans="1:8">
      <c r="A73" s="45" t="s">
        <v>73</v>
      </c>
      <c r="B73" s="46">
        <v>0</v>
      </c>
      <c r="C73" s="46">
        <v>0</v>
      </c>
      <c r="D73" s="46">
        <v>0</v>
      </c>
      <c r="E73" s="46">
        <v>0</v>
      </c>
      <c r="F73" s="46">
        <v>0</v>
      </c>
      <c r="G73" s="46">
        <v>0</v>
      </c>
      <c r="H73" s="46">
        <v>0</v>
      </c>
    </row>
    <row r="74" spans="1:8">
      <c r="A74" s="40" t="s">
        <v>74</v>
      </c>
      <c r="B74" s="49"/>
      <c r="C74" s="49"/>
      <c r="D74" s="49"/>
      <c r="E74" s="49"/>
      <c r="F74" s="49"/>
      <c r="G74" s="49"/>
      <c r="H74" s="49"/>
    </row>
    <row r="75" spans="1:8">
      <c r="A75" s="40" t="s">
        <v>75</v>
      </c>
      <c r="B75" s="49"/>
      <c r="C75" s="49"/>
      <c r="D75" s="49"/>
      <c r="E75" s="49"/>
      <c r="F75" s="49"/>
      <c r="G75" s="49"/>
      <c r="H75" s="49"/>
    </row>
    <row r="76" spans="1:8">
      <c r="A76" s="40" t="s">
        <v>76</v>
      </c>
      <c r="B76" s="49"/>
      <c r="C76" s="49"/>
      <c r="D76" s="49"/>
      <c r="E76" s="49"/>
      <c r="F76" s="49"/>
      <c r="G76" s="49"/>
      <c r="H76" s="49"/>
    </row>
    <row r="77" spans="1:8">
      <c r="A77" s="47" t="s">
        <v>77</v>
      </c>
      <c r="B77" s="48">
        <v>0</v>
      </c>
      <c r="C77" s="48">
        <v>0</v>
      </c>
      <c r="D77" s="48">
        <v>0</v>
      </c>
      <c r="E77" s="48">
        <v>0</v>
      </c>
      <c r="F77" s="48">
        <v>0</v>
      </c>
      <c r="G77" s="48">
        <v>0</v>
      </c>
      <c r="H77" s="48">
        <v>0</v>
      </c>
    </row>
    <row r="78" spans="1:8">
      <c r="A78" s="41"/>
      <c r="B78" s="41"/>
      <c r="C78" s="41"/>
      <c r="D78" s="41"/>
      <c r="E78" s="41"/>
      <c r="F78" s="41"/>
      <c r="G78" s="41"/>
      <c r="H78" s="41"/>
    </row>
    <row r="79" spans="1:8">
      <c r="A79" s="43" t="s">
        <v>61</v>
      </c>
      <c r="B79" s="43"/>
      <c r="C79" s="43"/>
      <c r="D79" s="43"/>
      <c r="E79" s="43"/>
      <c r="F79" s="43"/>
      <c r="G79" s="43"/>
      <c r="H79" s="43"/>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DE055-4028-DA4B-B859-0325301A1E8C}">
  <dimension ref="A1:P44"/>
  <sheetViews>
    <sheetView tabSelected="1" zoomScale="95" workbookViewId="0">
      <selection activeCell="H11" sqref="H11:K11"/>
    </sheetView>
  </sheetViews>
  <sheetFormatPr defaultColWidth="11.25" defaultRowHeight="15.75"/>
  <cols>
    <col min="1" max="1" width="36.75" customWidth="1"/>
    <col min="2" max="13" width="10.75" style="28"/>
    <col min="14" max="16" width="10.75" style="18"/>
  </cols>
  <sheetData>
    <row r="1" spans="1:16">
      <c r="A1" s="1" t="s">
        <v>95</v>
      </c>
    </row>
    <row r="2" spans="1:16">
      <c r="A2" s="1" t="s">
        <v>123</v>
      </c>
    </row>
    <row r="3" spans="1:16">
      <c r="A3" t="s">
        <v>122</v>
      </c>
    </row>
    <row r="4" spans="1:16">
      <c r="A4" t="s">
        <v>121</v>
      </c>
    </row>
    <row r="5" spans="1:16">
      <c r="A5" t="s">
        <v>124</v>
      </c>
    </row>
    <row r="7" spans="1:16">
      <c r="A7" s="2" t="s">
        <v>62</v>
      </c>
      <c r="F7" s="185"/>
      <c r="G7" s="185" t="s">
        <v>197</v>
      </c>
      <c r="H7" s="185" t="s">
        <v>199</v>
      </c>
    </row>
    <row r="8" spans="1:16">
      <c r="F8" s="185"/>
      <c r="G8" s="185" t="s">
        <v>198</v>
      </c>
    </row>
    <row r="9" spans="1:16">
      <c r="A9" s="105" t="s">
        <v>259</v>
      </c>
      <c r="B9" s="106" t="s">
        <v>16</v>
      </c>
      <c r="C9" s="106" t="s">
        <v>17</v>
      </c>
      <c r="D9" s="106" t="s">
        <v>18</v>
      </c>
      <c r="E9" s="106" t="s">
        <v>19</v>
      </c>
      <c r="F9" s="106" t="s">
        <v>20</v>
      </c>
      <c r="G9" s="106" t="s">
        <v>21</v>
      </c>
      <c r="H9" s="106" t="s">
        <v>22</v>
      </c>
      <c r="I9" s="106" t="s">
        <v>23</v>
      </c>
      <c r="J9" s="106" t="s">
        <v>24</v>
      </c>
      <c r="K9" s="106" t="s">
        <v>25</v>
      </c>
      <c r="L9" s="106" t="s">
        <v>26</v>
      </c>
      <c r="M9" s="106" t="s">
        <v>27</v>
      </c>
      <c r="N9" s="107" t="s">
        <v>28</v>
      </c>
      <c r="O9" s="107" t="s">
        <v>29</v>
      </c>
      <c r="P9" s="107" t="s">
        <v>30</v>
      </c>
    </row>
    <row r="10" spans="1:16">
      <c r="A10" s="23" t="s">
        <v>15</v>
      </c>
      <c r="C10" s="28" t="s">
        <v>55</v>
      </c>
      <c r="N10" s="19"/>
      <c r="O10" s="19"/>
      <c r="P10" s="19"/>
    </row>
    <row r="11" spans="1:16">
      <c r="A11" s="23" t="s">
        <v>52</v>
      </c>
      <c r="I11" s="193">
        <f>'Income Statement'!B9/6</f>
        <v>68.598870630135295</v>
      </c>
      <c r="J11" s="193">
        <v>223.43632148101202</v>
      </c>
      <c r="K11" s="193">
        <v>223.43632148101202</v>
      </c>
      <c r="L11" s="193">
        <v>223.43632148101202</v>
      </c>
      <c r="M11" s="193">
        <v>223.43632148101202</v>
      </c>
      <c r="N11" s="195">
        <f>SUM(B11:M11)</f>
        <v>962.34415655418331</v>
      </c>
      <c r="O11" s="195">
        <f>'Income Statement'!F9</f>
        <v>52500</v>
      </c>
      <c r="P11" s="19">
        <f>'Income Statement'!J9</f>
        <v>78749.999999999985</v>
      </c>
    </row>
    <row r="12" spans="1:16">
      <c r="A12" s="23" t="s">
        <v>51</v>
      </c>
      <c r="C12" s="28" t="s">
        <v>84</v>
      </c>
      <c r="H12" s="193">
        <v>-90.668107295715927</v>
      </c>
      <c r="I12" s="193">
        <f>-'Income Statement'!B10/6</f>
        <v>-27.566220476917817</v>
      </c>
      <c r="J12" s="193">
        <v>-90.668107295715927</v>
      </c>
      <c r="K12" s="193">
        <v>-90.668107295715927</v>
      </c>
      <c r="L12" s="193">
        <v>-90.668107295715927</v>
      </c>
      <c r="M12" s="193">
        <v>-90.668107295715927</v>
      </c>
      <c r="N12" s="195">
        <f>SUM(B12:M12)</f>
        <v>-480.90675695549743</v>
      </c>
      <c r="O12" s="195">
        <f>-'Income Statement'!F10</f>
        <v>-21096.944625243188</v>
      </c>
      <c r="P12" s="19">
        <f>-'Income Statement'!J10</f>
        <v>-31645.416937864775</v>
      </c>
    </row>
    <row r="13" spans="1:16">
      <c r="A13" s="23" t="s">
        <v>53</v>
      </c>
      <c r="B13" s="193">
        <v>-1690.95</v>
      </c>
      <c r="C13" s="193">
        <v>-1690.95</v>
      </c>
      <c r="D13" s="193">
        <v>-1690.95</v>
      </c>
      <c r="E13" s="193">
        <v>-1690.95</v>
      </c>
      <c r="F13" s="193">
        <v>-1690.95</v>
      </c>
      <c r="G13" s="193">
        <v>-1690.95</v>
      </c>
      <c r="H13" s="193">
        <v>-1690.95</v>
      </c>
      <c r="I13" s="193">
        <v>-1690.95</v>
      </c>
      <c r="J13" s="193">
        <v>-1690.95</v>
      </c>
      <c r="K13" s="193">
        <v>-1690.95</v>
      </c>
      <c r="L13" s="193">
        <v>-1690.95</v>
      </c>
      <c r="M13" s="193">
        <v>-1690.95</v>
      </c>
      <c r="N13" s="195">
        <f>SUM(B13:M13)</f>
        <v>-20291.400000000005</v>
      </c>
      <c r="O13" s="195">
        <f>-SUM('Income Statement'!C61:C63)</f>
        <v>-36829.6875</v>
      </c>
      <c r="P13" s="19">
        <f>-SUM('Income Statement'!D61:D63)</f>
        <v>-35550</v>
      </c>
    </row>
    <row r="14" spans="1:16">
      <c r="A14" s="23" t="s">
        <v>54</v>
      </c>
      <c r="N14" s="195">
        <f t="shared" ref="N14" si="0">SUM(B14:M14)</f>
        <v>0</v>
      </c>
      <c r="O14" s="19"/>
      <c r="P14" s="195"/>
    </row>
    <row r="15" spans="1:16">
      <c r="A15" s="22" t="s">
        <v>40</v>
      </c>
      <c r="B15" s="194">
        <f>SUM(B11:B14)</f>
        <v>-1690.95</v>
      </c>
      <c r="C15" s="194">
        <f t="shared" ref="C15:M15" si="1">SUM(C11:C14)</f>
        <v>-1690.95</v>
      </c>
      <c r="D15" s="194">
        <f t="shared" si="1"/>
        <v>-1690.95</v>
      </c>
      <c r="E15" s="194">
        <f t="shared" si="1"/>
        <v>-1690.95</v>
      </c>
      <c r="F15" s="194">
        <f t="shared" si="1"/>
        <v>-1690.95</v>
      </c>
      <c r="G15" s="194">
        <f t="shared" si="1"/>
        <v>-1690.95</v>
      </c>
      <c r="H15" s="194">
        <f t="shared" si="1"/>
        <v>-1781.6181072957161</v>
      </c>
      <c r="I15" s="194">
        <f t="shared" si="1"/>
        <v>-1649.9173498467826</v>
      </c>
      <c r="J15" s="194">
        <f t="shared" si="1"/>
        <v>-1558.181785814704</v>
      </c>
      <c r="K15" s="194">
        <f t="shared" si="1"/>
        <v>-1558.181785814704</v>
      </c>
      <c r="L15" s="194">
        <f t="shared" si="1"/>
        <v>-1558.181785814704</v>
      </c>
      <c r="M15" s="194">
        <f t="shared" si="1"/>
        <v>-1558.181785814704</v>
      </c>
      <c r="N15" s="195">
        <f>SUM(B15:M15)</f>
        <v>-19809.962600401315</v>
      </c>
      <c r="O15" s="195">
        <f>SUM(O11:O14)</f>
        <v>-5426.6321252431881</v>
      </c>
      <c r="P15" s="195">
        <f>SUM(P11:P14)</f>
        <v>11554.583062135207</v>
      </c>
    </row>
    <row r="16" spans="1:16">
      <c r="A16" s="91"/>
      <c r="B16" s="92"/>
      <c r="C16" s="92"/>
      <c r="D16" s="92"/>
      <c r="E16" s="92"/>
      <c r="F16" s="92"/>
      <c r="G16" s="92"/>
      <c r="H16" s="92"/>
      <c r="I16" s="92"/>
      <c r="J16" s="92"/>
      <c r="K16" s="92"/>
      <c r="L16" s="92"/>
      <c r="M16" s="92"/>
      <c r="N16" s="19"/>
      <c r="O16" s="19"/>
      <c r="P16" s="19"/>
    </row>
    <row r="17" spans="1:16">
      <c r="A17" s="23" t="s">
        <v>41</v>
      </c>
      <c r="N17" s="19"/>
      <c r="O17" s="19"/>
      <c r="P17" s="19"/>
    </row>
    <row r="18" spans="1:16">
      <c r="A18" s="23" t="s">
        <v>42</v>
      </c>
      <c r="B18" s="28">
        <v>-280</v>
      </c>
      <c r="N18" s="19">
        <f>SUM(B18:M18)</f>
        <v>-280</v>
      </c>
      <c r="O18" s="19"/>
      <c r="P18" s="19"/>
    </row>
    <row r="19" spans="1:16">
      <c r="A19" s="23" t="s">
        <v>43</v>
      </c>
      <c r="N19" s="19"/>
      <c r="O19" s="19"/>
      <c r="P19" s="19"/>
    </row>
    <row r="20" spans="1:16">
      <c r="A20" s="22" t="s">
        <v>44</v>
      </c>
      <c r="B20" s="30">
        <f>SUM(B18:B19)</f>
        <v>-280</v>
      </c>
      <c r="C20" s="30">
        <f t="shared" ref="C20:M20" si="2">SUM(C18:C19)</f>
        <v>0</v>
      </c>
      <c r="D20" s="30">
        <f t="shared" si="2"/>
        <v>0</v>
      </c>
      <c r="E20" s="30">
        <f t="shared" si="2"/>
        <v>0</v>
      </c>
      <c r="F20" s="30">
        <f t="shared" si="2"/>
        <v>0</v>
      </c>
      <c r="G20" s="30">
        <f t="shared" si="2"/>
        <v>0</v>
      </c>
      <c r="H20" s="30">
        <f t="shared" si="2"/>
        <v>0</v>
      </c>
      <c r="I20" s="30">
        <f t="shared" si="2"/>
        <v>0</v>
      </c>
      <c r="J20" s="30">
        <f t="shared" si="2"/>
        <v>0</v>
      </c>
      <c r="K20" s="30">
        <f t="shared" si="2"/>
        <v>0</v>
      </c>
      <c r="L20" s="30">
        <f t="shared" si="2"/>
        <v>0</v>
      </c>
      <c r="M20" s="30">
        <f t="shared" si="2"/>
        <v>0</v>
      </c>
      <c r="N20" s="19">
        <f>SUM(B20:M20)</f>
        <v>-280</v>
      </c>
      <c r="O20" s="19">
        <f>SUM(O17:O19)</f>
        <v>0</v>
      </c>
      <c r="P20" s="19">
        <f>SUM(P17:P19)</f>
        <v>0</v>
      </c>
    </row>
    <row r="21" spans="1:16">
      <c r="A21" s="91"/>
      <c r="B21" s="92"/>
      <c r="C21" s="92"/>
      <c r="D21" s="92"/>
      <c r="E21" s="92"/>
      <c r="F21" s="92"/>
      <c r="G21" s="92"/>
      <c r="H21" s="92"/>
      <c r="I21" s="92"/>
      <c r="J21" s="92"/>
      <c r="K21" s="92"/>
      <c r="L21" s="92"/>
      <c r="M21" s="92"/>
      <c r="N21" s="19"/>
      <c r="O21" s="19"/>
      <c r="P21" s="19"/>
    </row>
    <row r="22" spans="1:16">
      <c r="A22" s="23" t="s">
        <v>45</v>
      </c>
      <c r="N22" s="19"/>
      <c r="O22" s="19"/>
      <c r="P22" s="19"/>
    </row>
    <row r="23" spans="1:16">
      <c r="A23" s="23" t="s">
        <v>46</v>
      </c>
      <c r="B23">
        <v>28000</v>
      </c>
      <c r="N23" s="19">
        <f>SUM(B23:M23)</f>
        <v>28000</v>
      </c>
      <c r="O23" s="19"/>
      <c r="P23" s="19"/>
    </row>
    <row r="24" spans="1:16">
      <c r="A24" s="22" t="s">
        <v>47</v>
      </c>
      <c r="B24" s="30">
        <f>B23</f>
        <v>28000</v>
      </c>
      <c r="C24" s="30"/>
      <c r="D24" s="30"/>
      <c r="E24" s="30"/>
      <c r="F24" s="30"/>
      <c r="G24" s="30"/>
      <c r="H24" s="30"/>
      <c r="I24" s="30"/>
      <c r="J24" s="30"/>
      <c r="K24" s="30"/>
      <c r="L24" s="30"/>
      <c r="M24" s="30"/>
      <c r="N24" s="19">
        <f t="shared" ref="N24" si="3">SUM(B24:M24)</f>
        <v>28000</v>
      </c>
      <c r="O24" s="20">
        <v>0</v>
      </c>
      <c r="P24" s="20">
        <v>0</v>
      </c>
    </row>
    <row r="25" spans="1:16">
      <c r="A25" s="23" t="s">
        <v>48</v>
      </c>
      <c r="B25" s="193">
        <f>B24+B20+B15</f>
        <v>26029.05</v>
      </c>
      <c r="C25" s="193">
        <f t="shared" ref="C25:M25" si="4">C24+C20+C15</f>
        <v>-1690.95</v>
      </c>
      <c r="D25" s="193">
        <f t="shared" si="4"/>
        <v>-1690.95</v>
      </c>
      <c r="E25" s="193">
        <f t="shared" si="4"/>
        <v>-1690.95</v>
      </c>
      <c r="F25" s="193">
        <f t="shared" si="4"/>
        <v>-1690.95</v>
      </c>
      <c r="G25" s="193">
        <f t="shared" si="4"/>
        <v>-1690.95</v>
      </c>
      <c r="H25" s="193">
        <f t="shared" si="4"/>
        <v>-1781.6181072957161</v>
      </c>
      <c r="I25" s="193">
        <f t="shared" si="4"/>
        <v>-1649.9173498467826</v>
      </c>
      <c r="J25" s="193">
        <f t="shared" si="4"/>
        <v>-1558.181785814704</v>
      </c>
      <c r="K25" s="193">
        <f t="shared" si="4"/>
        <v>-1558.181785814704</v>
      </c>
      <c r="L25" s="193">
        <f t="shared" si="4"/>
        <v>-1558.181785814704</v>
      </c>
      <c r="M25" s="193">
        <f t="shared" si="4"/>
        <v>-1558.181785814704</v>
      </c>
      <c r="N25" s="195">
        <f>N24+N20+N15</f>
        <v>7910.0373995986847</v>
      </c>
      <c r="O25" s="195">
        <f>O24+O20+O15</f>
        <v>-5426.6321252431881</v>
      </c>
      <c r="P25" s="195">
        <f>P15+P24+P20</f>
        <v>11554.583062135207</v>
      </c>
    </row>
    <row r="26" spans="1:16">
      <c r="A26" s="25" t="s">
        <v>49</v>
      </c>
      <c r="B26" s="28">
        <v>0</v>
      </c>
      <c r="C26" s="28">
        <f t="shared" ref="C26:M26" si="5">B27</f>
        <v>26029.05</v>
      </c>
      <c r="D26" s="28">
        <f t="shared" si="5"/>
        <v>24338.1</v>
      </c>
      <c r="E26" s="28">
        <f t="shared" si="5"/>
        <v>22647.149999999998</v>
      </c>
      <c r="F26" s="28">
        <f t="shared" si="5"/>
        <v>20956.199999999997</v>
      </c>
      <c r="G26" s="28">
        <f t="shared" si="5"/>
        <v>19265.249999999996</v>
      </c>
      <c r="H26" s="28">
        <f t="shared" si="5"/>
        <v>17574.299999999996</v>
      </c>
      <c r="I26" s="28">
        <f t="shared" si="5"/>
        <v>15792.68189270428</v>
      </c>
      <c r="J26" s="28">
        <f t="shared" si="5"/>
        <v>14142.764542857498</v>
      </c>
      <c r="K26" s="28">
        <f t="shared" si="5"/>
        <v>12584.582757042794</v>
      </c>
      <c r="L26" s="28">
        <f t="shared" si="5"/>
        <v>11026.400971228089</v>
      </c>
      <c r="M26" s="28">
        <f t="shared" si="5"/>
        <v>9468.2191854133853</v>
      </c>
      <c r="N26" s="19"/>
      <c r="O26" s="195">
        <f>N25</f>
        <v>7910.0373995986847</v>
      </c>
      <c r="P26" s="19">
        <f>O27</f>
        <v>2483.4052743554967</v>
      </c>
    </row>
    <row r="27" spans="1:16">
      <c r="A27" s="26" t="s">
        <v>50</v>
      </c>
      <c r="B27" s="29">
        <f>SUM(B25:B26)</f>
        <v>26029.05</v>
      </c>
      <c r="C27" s="29">
        <f t="shared" ref="C27:M27" si="6">SUM(C25:C26)</f>
        <v>24338.1</v>
      </c>
      <c r="D27" s="29">
        <f t="shared" si="6"/>
        <v>22647.149999999998</v>
      </c>
      <c r="E27" s="29">
        <f t="shared" si="6"/>
        <v>20956.199999999997</v>
      </c>
      <c r="F27" s="29">
        <f t="shared" si="6"/>
        <v>19265.249999999996</v>
      </c>
      <c r="G27" s="29">
        <f t="shared" si="6"/>
        <v>17574.299999999996</v>
      </c>
      <c r="H27" s="29">
        <f t="shared" si="6"/>
        <v>15792.68189270428</v>
      </c>
      <c r="I27" s="29">
        <f t="shared" si="6"/>
        <v>14142.764542857498</v>
      </c>
      <c r="J27" s="29">
        <f t="shared" si="6"/>
        <v>12584.582757042794</v>
      </c>
      <c r="K27" s="29">
        <f t="shared" si="6"/>
        <v>11026.400971228089</v>
      </c>
      <c r="L27" s="29">
        <f t="shared" si="6"/>
        <v>9468.2191854133853</v>
      </c>
      <c r="M27" s="29">
        <f t="shared" si="6"/>
        <v>7910.0373995986811</v>
      </c>
      <c r="N27" s="197">
        <f>SUM(N25:N26)</f>
        <v>7910.0373995986847</v>
      </c>
      <c r="O27" s="197">
        <f>SUM(O25:O26)</f>
        <v>2483.4052743554967</v>
      </c>
      <c r="P27" s="197">
        <f>SUM(P25:P26)</f>
        <v>14037.988336490704</v>
      </c>
    </row>
    <row r="28" spans="1:16">
      <c r="A28" s="17"/>
      <c r="B28" s="31"/>
      <c r="C28" s="31"/>
      <c r="D28" s="31"/>
      <c r="E28" s="31"/>
      <c r="F28" s="31"/>
      <c r="G28" s="31"/>
      <c r="H28" s="31"/>
      <c r="I28" s="31"/>
      <c r="J28" s="31"/>
      <c r="K28" s="31"/>
      <c r="L28" s="31"/>
      <c r="M28" s="31"/>
      <c r="N28" s="21"/>
      <c r="O28" s="21"/>
      <c r="P28" s="21"/>
    </row>
    <row r="29" spans="1:16">
      <c r="A29" t="s">
        <v>85</v>
      </c>
    </row>
    <row r="31" spans="1:16">
      <c r="A31" s="2" t="s">
        <v>63</v>
      </c>
    </row>
    <row r="33" spans="1:16">
      <c r="A33" s="105" t="s">
        <v>14</v>
      </c>
      <c r="B33" s="106" t="s">
        <v>16</v>
      </c>
      <c r="C33" s="106" t="s">
        <v>17</v>
      </c>
      <c r="D33" s="106" t="s">
        <v>18</v>
      </c>
      <c r="E33" s="106" t="s">
        <v>19</v>
      </c>
      <c r="F33" s="106" t="s">
        <v>20</v>
      </c>
      <c r="G33" s="106" t="s">
        <v>21</v>
      </c>
      <c r="H33" s="106" t="s">
        <v>22</v>
      </c>
      <c r="I33" s="106" t="s">
        <v>23</v>
      </c>
      <c r="J33" s="106" t="s">
        <v>24</v>
      </c>
      <c r="K33" s="106" t="s">
        <v>25</v>
      </c>
      <c r="L33" s="106" t="s">
        <v>26</v>
      </c>
      <c r="M33" s="106" t="s">
        <v>27</v>
      </c>
      <c r="N33" s="107" t="s">
        <v>28</v>
      </c>
      <c r="O33" s="107" t="s">
        <v>29</v>
      </c>
      <c r="P33" s="107" t="s">
        <v>30</v>
      </c>
    </row>
    <row r="34" spans="1:16">
      <c r="A34" s="23" t="s">
        <v>15</v>
      </c>
      <c r="N34" s="19"/>
      <c r="O34" s="19"/>
      <c r="P34" s="19"/>
    </row>
    <row r="35" spans="1:16">
      <c r="A35" s="23" t="s">
        <v>31</v>
      </c>
      <c r="N35" s="19"/>
      <c r="O35" s="19"/>
      <c r="P35" s="19"/>
    </row>
    <row r="36" spans="1:16">
      <c r="A36" s="23" t="s">
        <v>32</v>
      </c>
      <c r="N36" s="19"/>
      <c r="O36" s="19"/>
      <c r="P36" s="19"/>
    </row>
    <row r="37" spans="1:16">
      <c r="A37" s="24" t="s">
        <v>33</v>
      </c>
      <c r="N37" s="19"/>
      <c r="O37" s="19"/>
      <c r="P37" s="19"/>
    </row>
    <row r="38" spans="1:16">
      <c r="A38" s="23" t="s">
        <v>34</v>
      </c>
      <c r="N38" s="19"/>
      <c r="O38" s="19"/>
      <c r="P38" s="19"/>
    </row>
    <row r="39" spans="1:16">
      <c r="A39" s="23" t="s">
        <v>35</v>
      </c>
      <c r="N39" s="19"/>
      <c r="O39" s="19"/>
      <c r="P39" s="19"/>
    </row>
    <row r="40" spans="1:16">
      <c r="A40" s="23" t="s">
        <v>36</v>
      </c>
      <c r="N40" s="19"/>
      <c r="O40" s="19"/>
      <c r="P40" s="19"/>
    </row>
    <row r="41" spans="1:16">
      <c r="A41" s="23" t="s">
        <v>37</v>
      </c>
      <c r="N41" s="19"/>
      <c r="O41" s="19"/>
      <c r="P41" s="19"/>
    </row>
    <row r="42" spans="1:16">
      <c r="A42" s="23" t="s">
        <v>38</v>
      </c>
      <c r="N42" s="19"/>
      <c r="O42" s="19"/>
      <c r="P42" s="19"/>
    </row>
    <row r="43" spans="1:16">
      <c r="A43" s="23" t="s">
        <v>39</v>
      </c>
      <c r="N43" s="19"/>
      <c r="O43" s="19"/>
      <c r="P43" s="19"/>
    </row>
    <row r="44" spans="1:16">
      <c r="A44" s="22" t="s">
        <v>40</v>
      </c>
      <c r="B44" s="30"/>
      <c r="C44" s="30"/>
      <c r="D44" s="30"/>
      <c r="E44" s="30"/>
      <c r="F44" s="30"/>
      <c r="G44" s="30"/>
      <c r="H44" s="30"/>
      <c r="I44" s="30"/>
      <c r="J44" s="30"/>
      <c r="K44" s="30"/>
      <c r="L44" s="30"/>
      <c r="M44" s="30"/>
      <c r="N44" s="20"/>
      <c r="O44" s="20"/>
      <c r="P44" s="20"/>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0168E-5A13-4EAC-92D6-39AD0DF2D1D3}">
  <dimension ref="D6:H15"/>
  <sheetViews>
    <sheetView workbookViewId="0">
      <selection activeCell="E6" sqref="E6"/>
    </sheetView>
  </sheetViews>
  <sheetFormatPr defaultRowHeight="15.75"/>
  <cols>
    <col min="4" max="4" width="23.375" bestFit="1" customWidth="1"/>
    <col min="5" max="5" width="9.875" bestFit="1" customWidth="1"/>
    <col min="7" max="7" width="18.25" bestFit="1" customWidth="1"/>
    <col min="8" max="8" width="9.375" bestFit="1" customWidth="1"/>
  </cols>
  <sheetData>
    <row r="6" spans="4:8">
      <c r="D6" t="s">
        <v>260</v>
      </c>
      <c r="E6">
        <v>28000</v>
      </c>
      <c r="G6" t="s">
        <v>274</v>
      </c>
      <c r="H6">
        <f>'Income Statement'!J9</f>
        <v>78749.999999999985</v>
      </c>
    </row>
    <row r="7" spans="4:8">
      <c r="D7" t="s">
        <v>261</v>
      </c>
      <c r="E7" s="192">
        <f>-'Income Statement'!B18</f>
        <v>7537.6790990806949</v>
      </c>
      <c r="G7" t="s">
        <v>278</v>
      </c>
      <c r="H7">
        <f>'Income Statement'!J10</f>
        <v>31645.416937864775</v>
      </c>
    </row>
    <row r="8" spans="4:8">
      <c r="D8" t="s">
        <v>262</v>
      </c>
      <c r="E8" s="192">
        <f>-'Income Statement'!F18</f>
        <v>5426.6321252431881</v>
      </c>
      <c r="G8" t="s">
        <v>279</v>
      </c>
      <c r="H8" s="192">
        <f>'Income Statement'!J16</f>
        <v>12712.499999999998</v>
      </c>
    </row>
    <row r="9" spans="4:8">
      <c r="D9" t="s">
        <v>276</v>
      </c>
      <c r="E9" s="192">
        <f>'Income Statement'!B14+'Income Statement'!F14+'Income Statement'!J14</f>
        <v>13289.0625</v>
      </c>
      <c r="G9" t="s">
        <v>275</v>
      </c>
      <c r="H9" s="192">
        <f>H6-H7-H8</f>
        <v>34392.083062135207</v>
      </c>
    </row>
    <row r="10" spans="4:8">
      <c r="D10" t="s">
        <v>277</v>
      </c>
      <c r="E10" s="192">
        <f>'Income Statement'!B15+'Income Statement'!F15+'Income Statement'!J15</f>
        <v>43470</v>
      </c>
      <c r="G10" t="s">
        <v>280</v>
      </c>
      <c r="H10">
        <v>72000</v>
      </c>
    </row>
    <row r="11" spans="4:8">
      <c r="D11" t="s">
        <v>310</v>
      </c>
      <c r="E11" s="192">
        <f>SUM(E6:E10)</f>
        <v>97723.373724323872</v>
      </c>
      <c r="G11" t="s">
        <v>281</v>
      </c>
      <c r="H11" s="192">
        <f>H9/H10</f>
        <v>0.47766782030743343</v>
      </c>
    </row>
    <row r="12" spans="4:8">
      <c r="D12" t="s">
        <v>311</v>
      </c>
      <c r="E12" s="192">
        <f>E11*1000</f>
        <v>97723373.724323869</v>
      </c>
      <c r="G12" t="s">
        <v>282</v>
      </c>
      <c r="H12" s="192">
        <f>E12/H11</f>
        <v>204584377.61502919</v>
      </c>
    </row>
    <row r="13" spans="4:8">
      <c r="E13" s="186"/>
    </row>
    <row r="15" spans="4:8">
      <c r="E15" s="18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FA0C2-BA25-4793-849C-51B57A1FD1D4}">
  <dimension ref="A1:C4"/>
  <sheetViews>
    <sheetView workbookViewId="0">
      <selection activeCell="A11" sqref="A11"/>
    </sheetView>
  </sheetViews>
  <sheetFormatPr defaultRowHeight="15.75"/>
  <cols>
    <col min="1" max="1" width="22.75" bestFit="1" customWidth="1"/>
    <col min="2" max="2" width="10.25" bestFit="1" customWidth="1"/>
    <col min="3" max="3" width="6.25" bestFit="1" customWidth="1"/>
  </cols>
  <sheetData>
    <row r="1" spans="1:3">
      <c r="A1" s="229"/>
      <c r="B1" s="229" t="s">
        <v>264</v>
      </c>
      <c r="C1" s="230" t="s">
        <v>136</v>
      </c>
    </row>
    <row r="2" spans="1:3">
      <c r="A2" s="229" t="s">
        <v>263</v>
      </c>
      <c r="B2" s="226">
        <v>7.0000000000000007E-2</v>
      </c>
      <c r="C2" s="226">
        <f>'Income Statement'!J9/'Income Statement'!F9-1</f>
        <v>0.49999999999999978</v>
      </c>
    </row>
    <row r="3" spans="1:3">
      <c r="A3" s="229" t="s">
        <v>265</v>
      </c>
      <c r="B3" s="226">
        <v>0.03</v>
      </c>
      <c r="C3" s="228">
        <f>('Income Statement'!J18-'Income Statement'!F18)/'Income Statement'!F18</f>
        <v>-3.1292364758588462</v>
      </c>
    </row>
    <row r="4" spans="1:3">
      <c r="A4" s="229" t="s">
        <v>266</v>
      </c>
      <c r="B4" s="226">
        <v>0.93</v>
      </c>
      <c r="C4" s="228">
        <f>('Cash Flow Statement'!P15-'Cash Flow Statement'!P20)/'Income Statement'!J18</f>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BFD10-E0C9-4AD8-B223-3691FC72AF7E}">
  <dimension ref="A1:W33"/>
  <sheetViews>
    <sheetView zoomScaleNormal="100" workbookViewId="0">
      <selection activeCell="K14" sqref="K14:M19"/>
    </sheetView>
  </sheetViews>
  <sheetFormatPr defaultRowHeight="15.75"/>
  <cols>
    <col min="1" max="1" width="20.75" customWidth="1"/>
    <col min="2" max="2" width="12" customWidth="1"/>
    <col min="3" max="3" width="9.75" customWidth="1"/>
    <col min="11" max="11" width="9.75" bestFit="1" customWidth="1"/>
    <col min="12" max="12" width="10" bestFit="1" customWidth="1"/>
    <col min="13" max="13" width="10.875" bestFit="1" customWidth="1"/>
    <col min="14" max="14" width="11.25" bestFit="1" customWidth="1"/>
    <col min="15" max="15" width="10.375" bestFit="1" customWidth="1"/>
    <col min="16" max="16" width="9.875" bestFit="1" customWidth="1"/>
  </cols>
  <sheetData>
    <row r="1" spans="1:16">
      <c r="A1" s="202"/>
      <c r="B1" s="466" t="s">
        <v>231</v>
      </c>
      <c r="C1" s="466"/>
      <c r="D1" s="466"/>
      <c r="E1" s="466"/>
      <c r="F1" s="466"/>
      <c r="G1" s="466"/>
      <c r="H1" s="467"/>
      <c r="J1" s="245"/>
      <c r="K1" s="249" t="s">
        <v>341</v>
      </c>
      <c r="L1" s="249" t="s">
        <v>254</v>
      </c>
      <c r="M1" s="249" t="s">
        <v>255</v>
      </c>
      <c r="N1" s="249" t="s">
        <v>256</v>
      </c>
      <c r="O1" s="249" t="s">
        <v>257</v>
      </c>
      <c r="P1" s="250" t="s">
        <v>258</v>
      </c>
    </row>
    <row r="2" spans="1:16">
      <c r="A2" s="203" t="s">
        <v>233</v>
      </c>
      <c r="B2" s="200" t="s">
        <v>234</v>
      </c>
      <c r="C2" s="200" t="s">
        <v>235</v>
      </c>
      <c r="D2" s="200" t="s">
        <v>236</v>
      </c>
      <c r="E2" s="200" t="s">
        <v>237</v>
      </c>
      <c r="F2" s="200" t="s">
        <v>238</v>
      </c>
      <c r="G2" s="200" t="s">
        <v>239</v>
      </c>
      <c r="H2" s="204" t="s">
        <v>240</v>
      </c>
      <c r="J2" s="251" t="s">
        <v>132</v>
      </c>
      <c r="K2" s="224">
        <f>$D$21*D25</f>
        <v>0.2510454648915707</v>
      </c>
      <c r="L2" s="225">
        <f>K2*D22*D30*0.5</f>
        <v>352.79419181212432</v>
      </c>
      <c r="M2" s="225">
        <f t="shared" ref="M2:M3" si="0">L2/$M$10</f>
        <v>70.558838362424865</v>
      </c>
      <c r="N2" s="225">
        <f>M2*$D$24</f>
        <v>23.519612787474955</v>
      </c>
      <c r="O2" s="225">
        <f>N2*$L$10</f>
        <v>58.799031968687387</v>
      </c>
      <c r="P2" s="252">
        <f>L2+O2</f>
        <v>411.59322378081174</v>
      </c>
    </row>
    <row r="3" spans="1:16">
      <c r="A3" s="205" t="s">
        <v>241</v>
      </c>
      <c r="B3" s="201" t="s">
        <v>242</v>
      </c>
      <c r="C3" s="199">
        <v>3473.1</v>
      </c>
      <c r="D3" s="199">
        <v>3837.2</v>
      </c>
      <c r="E3" s="199">
        <v>4156.3</v>
      </c>
      <c r="F3" s="199">
        <v>4255.5</v>
      </c>
      <c r="G3" s="199">
        <v>4309.2</v>
      </c>
      <c r="H3" s="206">
        <v>4466.3999999999996</v>
      </c>
      <c r="J3" s="251" t="s">
        <v>135</v>
      </c>
      <c r="K3" s="224">
        <f t="shared" ref="K3:K6" si="1">$D$21*D26</f>
        <v>0.2510454648915707</v>
      </c>
      <c r="L3" s="225">
        <f>K3*$D$20</f>
        <v>45000</v>
      </c>
      <c r="M3" s="110">
        <f t="shared" si="0"/>
        <v>9000</v>
      </c>
      <c r="N3" s="225">
        <f t="shared" ref="N3" si="2">M3*$D$24</f>
        <v>3000</v>
      </c>
      <c r="O3" s="110">
        <f>N3*$L$10</f>
        <v>7500</v>
      </c>
      <c r="P3" s="252">
        <f t="shared" ref="P3" si="3">L3+O3</f>
        <v>52500</v>
      </c>
    </row>
    <row r="4" spans="1:16">
      <c r="A4" s="205" t="s">
        <v>244</v>
      </c>
      <c r="B4" s="201" t="s">
        <v>242</v>
      </c>
      <c r="C4" s="199">
        <v>69627.8</v>
      </c>
      <c r="D4" s="199">
        <v>70434.100000000006</v>
      </c>
      <c r="E4" s="199">
        <v>70802.600000000006</v>
      </c>
      <c r="F4" s="199">
        <v>71022.8</v>
      </c>
      <c r="G4" s="199">
        <v>71175.8</v>
      </c>
      <c r="H4" s="206">
        <v>71406.2</v>
      </c>
      <c r="J4" s="251" t="s">
        <v>136</v>
      </c>
      <c r="K4" s="224">
        <f t="shared" si="1"/>
        <v>0.37656819733735597</v>
      </c>
      <c r="L4" s="225">
        <f t="shared" ref="L4:L6" si="4">K4*$D$20</f>
        <v>67499.999999999985</v>
      </c>
      <c r="M4" s="110">
        <f>L4/$M$10</f>
        <v>13499.999999999996</v>
      </c>
      <c r="N4" s="225">
        <f>M4*$D$24</f>
        <v>4499.9999999999982</v>
      </c>
      <c r="O4" s="110">
        <f>N4*$L$10</f>
        <v>11249.999999999996</v>
      </c>
      <c r="P4" s="252">
        <f>L4+O4</f>
        <v>78749.999999999985</v>
      </c>
    </row>
    <row r="5" spans="1:16">
      <c r="A5" s="205" t="s">
        <v>245</v>
      </c>
      <c r="B5" s="201" t="s">
        <v>242</v>
      </c>
      <c r="C5" s="199">
        <v>66187.100000000006</v>
      </c>
      <c r="D5" s="199">
        <v>64941.1</v>
      </c>
      <c r="E5" s="199">
        <v>64107.4</v>
      </c>
      <c r="F5" s="199">
        <v>64058.9</v>
      </c>
      <c r="G5" s="199">
        <v>63867.5</v>
      </c>
      <c r="H5" s="206">
        <v>63425.4</v>
      </c>
      <c r="J5" s="251" t="s">
        <v>376</v>
      </c>
      <c r="K5" s="224">
        <f t="shared" si="1"/>
        <v>0.5020909297831414</v>
      </c>
      <c r="L5" s="225">
        <f t="shared" si="4"/>
        <v>90000</v>
      </c>
      <c r="M5" s="225">
        <f t="shared" ref="M5" si="5">L5/$M$10</f>
        <v>18000</v>
      </c>
      <c r="N5" s="225">
        <f>M5*$D$24</f>
        <v>6000</v>
      </c>
      <c r="O5" s="225">
        <f>N5*$L$10</f>
        <v>15000</v>
      </c>
      <c r="P5" s="252">
        <f>L5+O5</f>
        <v>105000</v>
      </c>
    </row>
    <row r="6" spans="1:16" ht="16.5" thickBot="1">
      <c r="A6" s="205" t="s">
        <v>246</v>
      </c>
      <c r="B6" s="201" t="s">
        <v>242</v>
      </c>
      <c r="C6" s="199">
        <v>28731.5</v>
      </c>
      <c r="D6" s="199">
        <v>26603.599999999999</v>
      </c>
      <c r="E6" s="199">
        <v>24781.200000000001</v>
      </c>
      <c r="F6" s="199">
        <v>23201.3</v>
      </c>
      <c r="G6" s="199">
        <v>22613.4</v>
      </c>
      <c r="H6" s="206">
        <v>22498.5</v>
      </c>
      <c r="J6" s="253" t="s">
        <v>377</v>
      </c>
      <c r="K6" s="254">
        <f t="shared" si="1"/>
        <v>0.62761366222892667</v>
      </c>
      <c r="L6" s="255">
        <f t="shared" si="4"/>
        <v>112500</v>
      </c>
      <c r="M6" s="255">
        <f t="shared" ref="M6" si="6">L6/$M$10</f>
        <v>22500</v>
      </c>
      <c r="N6" s="255">
        <f>M6*$D$24</f>
        <v>7500</v>
      </c>
      <c r="O6" s="255">
        <f>N6*$L$10</f>
        <v>18750</v>
      </c>
      <c r="P6" s="256">
        <f>L6+O6</f>
        <v>131250</v>
      </c>
    </row>
    <row r="7" spans="1:16" ht="16.5" thickBot="1">
      <c r="A7" s="207" t="s">
        <v>247</v>
      </c>
      <c r="B7" s="208" t="s">
        <v>242</v>
      </c>
      <c r="C7" s="209">
        <v>17001.2</v>
      </c>
      <c r="D7" s="209">
        <v>17221.599999999999</v>
      </c>
      <c r="E7" s="209">
        <v>16704.2</v>
      </c>
      <c r="F7" s="209">
        <v>16890.900000000001</v>
      </c>
      <c r="G7" s="209">
        <v>17118</v>
      </c>
      <c r="H7" s="210">
        <v>17453.900000000001</v>
      </c>
    </row>
    <row r="8" spans="1:16" ht="16.5" thickBot="1"/>
    <row r="9" spans="1:16">
      <c r="A9" s="202"/>
      <c r="B9" s="466" t="s">
        <v>232</v>
      </c>
      <c r="C9" s="466"/>
      <c r="D9" s="466"/>
      <c r="E9" s="466"/>
      <c r="F9" s="466"/>
      <c r="G9" s="466"/>
      <c r="H9" s="467"/>
      <c r="K9" s="245"/>
      <c r="L9" s="246" t="s">
        <v>325</v>
      </c>
      <c r="M9" s="247" t="s">
        <v>326</v>
      </c>
    </row>
    <row r="10" spans="1:16" ht="16.5" thickBot="1">
      <c r="A10" s="203" t="s">
        <v>233</v>
      </c>
      <c r="B10" s="200" t="s">
        <v>234</v>
      </c>
      <c r="C10" s="200" t="s">
        <v>235</v>
      </c>
      <c r="D10" s="200" t="s">
        <v>236</v>
      </c>
      <c r="E10" s="200" t="s">
        <v>237</v>
      </c>
      <c r="F10" s="200" t="s">
        <v>238</v>
      </c>
      <c r="G10" s="200" t="s">
        <v>239</v>
      </c>
      <c r="H10" s="204" t="s">
        <v>240</v>
      </c>
      <c r="K10" s="248" t="s">
        <v>331</v>
      </c>
      <c r="L10" s="244">
        <v>2.5</v>
      </c>
      <c r="M10" s="221">
        <v>5</v>
      </c>
    </row>
    <row r="11" spans="1:16">
      <c r="A11" s="205" t="s">
        <v>241</v>
      </c>
      <c r="B11" s="201" t="s">
        <v>243</v>
      </c>
      <c r="C11" s="199">
        <v>3396</v>
      </c>
      <c r="D11" s="199">
        <v>3578</v>
      </c>
      <c r="E11" s="199">
        <v>3662</v>
      </c>
      <c r="F11" s="199">
        <v>3728</v>
      </c>
      <c r="G11" s="199">
        <v>3755</v>
      </c>
      <c r="H11" s="206">
        <v>3870</v>
      </c>
    </row>
    <row r="12" spans="1:16">
      <c r="A12" s="205" t="s">
        <v>244</v>
      </c>
      <c r="B12" s="201" t="s">
        <v>243</v>
      </c>
      <c r="C12" s="199">
        <v>4310</v>
      </c>
      <c r="D12" s="199">
        <v>4368</v>
      </c>
      <c r="E12" s="199">
        <v>4396</v>
      </c>
      <c r="F12" s="199">
        <v>4407</v>
      </c>
      <c r="G12" s="199">
        <v>4412</v>
      </c>
      <c r="H12" s="206">
        <v>4417</v>
      </c>
    </row>
    <row r="13" spans="1:16">
      <c r="A13" s="205" t="s">
        <v>245</v>
      </c>
      <c r="B13" s="201" t="s">
        <v>243</v>
      </c>
      <c r="C13" s="199">
        <v>27984</v>
      </c>
      <c r="D13" s="199">
        <v>27877</v>
      </c>
      <c r="E13" s="199">
        <v>27542</v>
      </c>
      <c r="F13" s="199">
        <v>27473</v>
      </c>
      <c r="G13" s="199">
        <v>27394</v>
      </c>
      <c r="H13" s="206">
        <v>27276</v>
      </c>
    </row>
    <row r="14" spans="1:16">
      <c r="A14" s="205" t="s">
        <v>246</v>
      </c>
      <c r="B14" s="201" t="s">
        <v>243</v>
      </c>
      <c r="C14" s="199">
        <v>2948</v>
      </c>
      <c r="D14" s="199">
        <v>2670</v>
      </c>
      <c r="E14" s="199">
        <v>2431</v>
      </c>
      <c r="F14" s="199">
        <v>2206</v>
      </c>
      <c r="G14" s="199">
        <v>2118</v>
      </c>
      <c r="H14" s="206">
        <v>2110</v>
      </c>
      <c r="K14" s="229"/>
      <c r="L14" s="475" t="s">
        <v>632</v>
      </c>
      <c r="M14" s="475"/>
    </row>
    <row r="15" spans="1:16" ht="16.5" thickBot="1">
      <c r="A15" s="207" t="s">
        <v>247</v>
      </c>
      <c r="B15" s="208" t="s">
        <v>243</v>
      </c>
      <c r="C15" s="209">
        <v>1365</v>
      </c>
      <c r="D15" s="209">
        <v>1375</v>
      </c>
      <c r="E15" s="209">
        <v>1337</v>
      </c>
      <c r="F15" s="209">
        <v>1351</v>
      </c>
      <c r="G15" s="209">
        <v>1367</v>
      </c>
      <c r="H15" s="210">
        <v>1383</v>
      </c>
      <c r="K15" s="229" t="s">
        <v>132</v>
      </c>
      <c r="L15" s="474">
        <v>0.25104546489157098</v>
      </c>
      <c r="M15" s="474"/>
    </row>
    <row r="16" spans="1:16" ht="16.5" thickBot="1">
      <c r="K16" s="229" t="s">
        <v>135</v>
      </c>
      <c r="L16" s="474">
        <v>0.2510454648915707</v>
      </c>
      <c r="M16" s="474"/>
    </row>
    <row r="17" spans="1:23">
      <c r="A17" s="468" t="s">
        <v>248</v>
      </c>
      <c r="B17" s="469"/>
      <c r="C17" s="469"/>
      <c r="D17" s="211">
        <v>500000</v>
      </c>
      <c r="E17" s="198" t="s">
        <v>283</v>
      </c>
      <c r="K17" s="229" t="s">
        <v>136</v>
      </c>
      <c r="L17" s="474">
        <v>0.37656819733735597</v>
      </c>
      <c r="M17" s="474"/>
    </row>
    <row r="18" spans="1:23">
      <c r="A18" s="470" t="s">
        <v>249</v>
      </c>
      <c r="B18" s="471"/>
      <c r="C18" s="471"/>
      <c r="D18" s="212">
        <v>0.9</v>
      </c>
      <c r="E18" t="s">
        <v>284</v>
      </c>
      <c r="K18" s="229" t="s">
        <v>376</v>
      </c>
      <c r="L18" s="474">
        <v>0.5020909297831414</v>
      </c>
      <c r="M18" s="474"/>
    </row>
    <row r="19" spans="1:23">
      <c r="A19" s="470" t="s">
        <v>250</v>
      </c>
      <c r="B19" s="471"/>
      <c r="C19" s="471"/>
      <c r="D19" s="213">
        <f>D17*D18</f>
        <v>450000</v>
      </c>
      <c r="K19" s="229" t="s">
        <v>377</v>
      </c>
      <c r="L19" s="474">
        <v>0.62761366222892667</v>
      </c>
      <c r="M19" s="474"/>
    </row>
    <row r="20" spans="1:23">
      <c r="A20" s="470" t="s">
        <v>251</v>
      </c>
      <c r="B20" s="471"/>
      <c r="C20" s="471"/>
      <c r="D20" s="214">
        <f>SUM(H3:H7)</f>
        <v>179250.4</v>
      </c>
      <c r="E20" t="s">
        <v>284</v>
      </c>
    </row>
    <row r="21" spans="1:23">
      <c r="A21" s="470" t="s">
        <v>252</v>
      </c>
      <c r="B21" s="471"/>
      <c r="C21" s="471"/>
      <c r="D21" s="215">
        <f>D19/D20</f>
        <v>2.5104546489157067</v>
      </c>
    </row>
    <row r="22" spans="1:23">
      <c r="A22" s="470" t="s">
        <v>253</v>
      </c>
      <c r="B22" s="471"/>
      <c r="C22" s="471"/>
      <c r="D22" s="213">
        <v>611</v>
      </c>
      <c r="E22" t="s">
        <v>285</v>
      </c>
    </row>
    <row r="23" spans="1:23">
      <c r="A23" s="470" t="s">
        <v>287</v>
      </c>
      <c r="B23" s="471"/>
      <c r="C23" s="471"/>
      <c r="D23" s="213">
        <f>SUM(H11:H15)</f>
        <v>39056</v>
      </c>
      <c r="E23" t="s">
        <v>284</v>
      </c>
    </row>
    <row r="24" spans="1:23">
      <c r="A24" s="472" t="s">
        <v>343</v>
      </c>
      <c r="B24" s="472"/>
      <c r="C24" s="473"/>
      <c r="D24" s="257">
        <v>0.33333333333333331</v>
      </c>
    </row>
    <row r="25" spans="1:23">
      <c r="A25" s="472" t="s">
        <v>354</v>
      </c>
      <c r="B25" s="472"/>
      <c r="C25" s="473"/>
      <c r="D25" s="264">
        <v>0.1</v>
      </c>
    </row>
    <row r="26" spans="1:23">
      <c r="A26" s="472" t="s">
        <v>355</v>
      </c>
      <c r="B26" s="472"/>
      <c r="C26" s="473"/>
      <c r="D26" s="264">
        <v>0.1</v>
      </c>
    </row>
    <row r="27" spans="1:23">
      <c r="A27" s="472" t="s">
        <v>356</v>
      </c>
      <c r="B27" s="472"/>
      <c r="C27" s="473"/>
      <c r="D27" s="264">
        <v>0.15</v>
      </c>
    </row>
    <row r="28" spans="1:23">
      <c r="A28" s="472" t="s">
        <v>378</v>
      </c>
      <c r="B28" s="472"/>
      <c r="C28" s="473"/>
      <c r="D28" s="264">
        <v>0.2</v>
      </c>
    </row>
    <row r="29" spans="1:23">
      <c r="A29" s="472" t="s">
        <v>379</v>
      </c>
      <c r="B29" s="472"/>
      <c r="C29" s="473"/>
      <c r="D29" s="264">
        <v>0.25</v>
      </c>
    </row>
    <row r="30" spans="1:23" ht="16.5" thickBot="1">
      <c r="A30" s="464" t="s">
        <v>288</v>
      </c>
      <c r="B30" s="465"/>
      <c r="C30" s="465"/>
      <c r="D30" s="216">
        <f>ROUNDUP(D20/D23,1)</f>
        <v>4.5999999999999996</v>
      </c>
    </row>
    <row r="31" spans="1:23">
      <c r="W31">
        <f>SUM(H11:H15)</f>
        <v>39056</v>
      </c>
    </row>
    <row r="32" spans="1:23">
      <c r="W32" s="186">
        <f>D20/W31</f>
        <v>4.5895739451044655</v>
      </c>
    </row>
    <row r="33" spans="22:23">
      <c r="V33" t="s">
        <v>286</v>
      </c>
      <c r="W33">
        <f>ROUNDUP(W32,1)</f>
        <v>4.5999999999999996</v>
      </c>
    </row>
  </sheetData>
  <mergeCells count="22">
    <mergeCell ref="L19:M19"/>
    <mergeCell ref="L14:M14"/>
    <mergeCell ref="L15:M15"/>
    <mergeCell ref="L16:M16"/>
    <mergeCell ref="L17:M17"/>
    <mergeCell ref="L18:M18"/>
    <mergeCell ref="A30:C30"/>
    <mergeCell ref="B1:H1"/>
    <mergeCell ref="B9:H9"/>
    <mergeCell ref="A17:C17"/>
    <mergeCell ref="A18:C18"/>
    <mergeCell ref="A19:C19"/>
    <mergeCell ref="A20:C20"/>
    <mergeCell ref="A24:C24"/>
    <mergeCell ref="A28:C28"/>
    <mergeCell ref="A29:C29"/>
    <mergeCell ref="A25:C25"/>
    <mergeCell ref="A26:C26"/>
    <mergeCell ref="A27:C27"/>
    <mergeCell ref="A21:C21"/>
    <mergeCell ref="A22:C22"/>
    <mergeCell ref="A23:C23"/>
  </mergeCells>
  <phoneticPr fontId="33" type="noConversion"/>
  <hyperlinks>
    <hyperlink ref="E17" r:id="rId1" xr:uid="{11AC1F9C-AC25-4E2E-A047-B5AFDF39325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B35A5-1B16-40B8-BAA4-DED6EC499049}">
  <dimension ref="A2:F15"/>
  <sheetViews>
    <sheetView workbookViewId="0">
      <selection activeCell="H4" sqref="H4"/>
    </sheetView>
  </sheetViews>
  <sheetFormatPr defaultRowHeight="15.75"/>
  <cols>
    <col min="1" max="1" width="44.625" bestFit="1" customWidth="1"/>
    <col min="2" max="2" width="18.125" bestFit="1" customWidth="1"/>
    <col min="3" max="3" width="11.25" bestFit="1" customWidth="1"/>
    <col min="4" max="4" width="13.75" bestFit="1" customWidth="1"/>
    <col min="5" max="6" width="12.125" bestFit="1" customWidth="1"/>
  </cols>
  <sheetData>
    <row r="2" spans="1:6">
      <c r="A2" t="s">
        <v>339</v>
      </c>
      <c r="B2" t="s">
        <v>357</v>
      </c>
      <c r="C2" t="s">
        <v>335</v>
      </c>
      <c r="D2" t="s">
        <v>361</v>
      </c>
      <c r="E2" t="s">
        <v>358</v>
      </c>
      <c r="F2" t="s">
        <v>359</v>
      </c>
    </row>
    <row r="3" spans="1:6">
      <c r="A3" t="s">
        <v>293</v>
      </c>
      <c r="B3" t="s">
        <v>336</v>
      </c>
      <c r="C3" t="s">
        <v>337</v>
      </c>
      <c r="D3">
        <v>500000</v>
      </c>
      <c r="E3">
        <v>300000</v>
      </c>
      <c r="F3">
        <v>700000</v>
      </c>
    </row>
    <row r="4" spans="1:6">
      <c r="A4" t="s">
        <v>338</v>
      </c>
      <c r="B4" t="s">
        <v>336</v>
      </c>
      <c r="C4" t="s">
        <v>340</v>
      </c>
      <c r="D4" s="187">
        <v>0.9</v>
      </c>
      <c r="E4" s="187">
        <v>0.75</v>
      </c>
      <c r="F4" s="187">
        <v>0.95</v>
      </c>
    </row>
    <row r="5" spans="1:6">
      <c r="A5" t="s">
        <v>360</v>
      </c>
      <c r="B5" t="s">
        <v>336</v>
      </c>
      <c r="C5" t="s">
        <v>362</v>
      </c>
      <c r="D5" s="187">
        <v>0.3</v>
      </c>
      <c r="E5" s="187">
        <v>0.1</v>
      </c>
      <c r="F5" s="187">
        <v>0.5</v>
      </c>
    </row>
    <row r="6" spans="1:6">
      <c r="A6" t="s">
        <v>360</v>
      </c>
      <c r="B6" t="s">
        <v>336</v>
      </c>
      <c r="C6" t="s">
        <v>363</v>
      </c>
      <c r="D6" s="187">
        <v>0.6</v>
      </c>
      <c r="E6" s="187">
        <v>0.3</v>
      </c>
      <c r="F6" s="187">
        <v>0.75</v>
      </c>
    </row>
    <row r="7" spans="1:6">
      <c r="A7" t="s">
        <v>343</v>
      </c>
      <c r="B7" t="s">
        <v>336</v>
      </c>
      <c r="C7" t="s">
        <v>344</v>
      </c>
      <c r="D7" s="186">
        <v>0.33</v>
      </c>
      <c r="E7" s="186">
        <v>0.1</v>
      </c>
      <c r="F7" s="186">
        <v>0.5</v>
      </c>
    </row>
    <row r="8" spans="1:6">
      <c r="A8" t="s">
        <v>204</v>
      </c>
      <c r="B8" t="s">
        <v>346</v>
      </c>
      <c r="C8" t="s">
        <v>364</v>
      </c>
      <c r="D8" s="186">
        <v>0.9</v>
      </c>
      <c r="E8" s="186">
        <v>0.3</v>
      </c>
      <c r="F8" s="186">
        <v>1.5</v>
      </c>
    </row>
    <row r="9" spans="1:6">
      <c r="A9" t="s">
        <v>345</v>
      </c>
      <c r="B9" t="s">
        <v>346</v>
      </c>
      <c r="C9" t="s">
        <v>365</v>
      </c>
      <c r="D9" s="186">
        <v>0.2</v>
      </c>
      <c r="E9" s="186">
        <v>0.1</v>
      </c>
      <c r="F9" s="186">
        <v>0.5</v>
      </c>
    </row>
    <row r="10" spans="1:6">
      <c r="A10" t="s">
        <v>367</v>
      </c>
      <c r="B10" t="s">
        <v>346</v>
      </c>
      <c r="C10" t="s">
        <v>366</v>
      </c>
      <c r="D10" s="192">
        <v>12000000</v>
      </c>
      <c r="E10" s="192">
        <f>D10*0.75</f>
        <v>9000000</v>
      </c>
      <c r="F10" s="192">
        <f>D10*1.25</f>
        <v>15000000</v>
      </c>
    </row>
    <row r="11" spans="1:6">
      <c r="A11" t="s">
        <v>349</v>
      </c>
      <c r="B11" t="s">
        <v>346</v>
      </c>
      <c r="C11" t="s">
        <v>350</v>
      </c>
      <c r="D11" s="263">
        <v>0.2</v>
      </c>
      <c r="E11" s="263">
        <v>0.1</v>
      </c>
      <c r="F11" s="263">
        <v>0.4</v>
      </c>
    </row>
    <row r="12" spans="1:6">
      <c r="A12" t="s">
        <v>328</v>
      </c>
      <c r="B12" t="s">
        <v>346</v>
      </c>
      <c r="C12" t="s">
        <v>351</v>
      </c>
      <c r="D12" s="263">
        <v>1</v>
      </c>
      <c r="E12" s="263">
        <v>0.5</v>
      </c>
      <c r="F12" s="263">
        <v>1.5</v>
      </c>
    </row>
    <row r="13" spans="1:6">
      <c r="A13" t="s">
        <v>368</v>
      </c>
      <c r="B13" t="s">
        <v>346</v>
      </c>
      <c r="C13" t="s">
        <v>372</v>
      </c>
      <c r="D13">
        <v>200000</v>
      </c>
      <c r="E13" s="192">
        <v>100000</v>
      </c>
      <c r="F13" s="192">
        <v>300000</v>
      </c>
    </row>
    <row r="14" spans="1:6">
      <c r="A14" t="s">
        <v>369</v>
      </c>
      <c r="B14" t="s">
        <v>346</v>
      </c>
      <c r="C14" t="s">
        <v>373</v>
      </c>
      <c r="D14">
        <v>1500</v>
      </c>
      <c r="E14">
        <v>1000</v>
      </c>
      <c r="F14">
        <v>2000</v>
      </c>
    </row>
    <row r="15" spans="1:6">
      <c r="A15" t="s">
        <v>370</v>
      </c>
      <c r="B15" t="s">
        <v>346</v>
      </c>
      <c r="C15" t="s">
        <v>371</v>
      </c>
      <c r="D15">
        <v>10</v>
      </c>
      <c r="E15">
        <v>5</v>
      </c>
      <c r="F15">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060DC-8072-4943-9E56-D785CB8A63C7}">
  <dimension ref="C3:N20"/>
  <sheetViews>
    <sheetView workbookViewId="0">
      <selection activeCell="D14" sqref="D14"/>
    </sheetView>
  </sheetViews>
  <sheetFormatPr defaultRowHeight="15.75"/>
  <cols>
    <col min="3" max="3" width="30.25" bestFit="1" customWidth="1"/>
    <col min="6" max="6" width="18.75" bestFit="1" customWidth="1"/>
  </cols>
  <sheetData>
    <row r="3" spans="3:14">
      <c r="F3" t="s">
        <v>292</v>
      </c>
      <c r="G3">
        <v>5</v>
      </c>
      <c r="L3" t="s">
        <v>132</v>
      </c>
      <c r="M3" t="s">
        <v>135</v>
      </c>
      <c r="N3" t="s">
        <v>136</v>
      </c>
    </row>
    <row r="4" spans="3:14">
      <c r="C4" t="s">
        <v>293</v>
      </c>
      <c r="D4">
        <v>500000</v>
      </c>
      <c r="E4" s="198" t="s">
        <v>283</v>
      </c>
      <c r="F4" t="s">
        <v>294</v>
      </c>
      <c r="G4">
        <v>2.5</v>
      </c>
      <c r="M4">
        <f>G18+G20</f>
        <v>135200</v>
      </c>
      <c r="N4">
        <f>G14+G16</f>
        <v>271000</v>
      </c>
    </row>
    <row r="5" spans="3:14">
      <c r="C5" t="s">
        <v>295</v>
      </c>
      <c r="D5">
        <v>9.84</v>
      </c>
    </row>
    <row r="6" spans="3:14">
      <c r="C6" t="s">
        <v>296</v>
      </c>
      <c r="D6" s="187">
        <v>0.35</v>
      </c>
      <c r="F6" t="s">
        <v>297</v>
      </c>
      <c r="G6" s="231">
        <v>0.33333333333333331</v>
      </c>
    </row>
    <row r="7" spans="3:14">
      <c r="C7" t="s">
        <v>298</v>
      </c>
      <c r="D7" s="186">
        <f>D5*(1-D6)</f>
        <v>6.3959999999999999</v>
      </c>
    </row>
    <row r="8" spans="3:14">
      <c r="C8" t="s">
        <v>299</v>
      </c>
      <c r="D8" s="192">
        <f>D4/D7</f>
        <v>78173.858661663544</v>
      </c>
    </row>
    <row r="9" spans="3:14" hidden="1">
      <c r="C9" t="s">
        <v>300</v>
      </c>
      <c r="D9">
        <v>12</v>
      </c>
    </row>
    <row r="10" spans="3:14" hidden="1">
      <c r="C10" t="s">
        <v>301</v>
      </c>
      <c r="D10">
        <f>ROUNDUP(D8/D9,0)</f>
        <v>6515</v>
      </c>
    </row>
    <row r="14" spans="3:14">
      <c r="C14" t="s">
        <v>302</v>
      </c>
      <c r="D14" s="187">
        <v>0.6</v>
      </c>
      <c r="E14" t="s">
        <v>309</v>
      </c>
      <c r="F14" t="s">
        <v>254</v>
      </c>
      <c r="G14">
        <f>D16*G3</f>
        <v>235000</v>
      </c>
    </row>
    <row r="15" spans="3:14">
      <c r="C15" t="s">
        <v>303</v>
      </c>
      <c r="D15" s="192">
        <f>D8*D14</f>
        <v>46904.315196998126</v>
      </c>
      <c r="F15" t="s">
        <v>257</v>
      </c>
      <c r="G15" s="192">
        <f>D16*G6*G4</f>
        <v>39166.666666666664</v>
      </c>
    </row>
    <row r="16" spans="3:14">
      <c r="C16" t="s">
        <v>304</v>
      </c>
      <c r="D16">
        <v>47000</v>
      </c>
      <c r="F16" t="s">
        <v>305</v>
      </c>
      <c r="G16">
        <v>36000</v>
      </c>
    </row>
    <row r="18" spans="3:7">
      <c r="C18" t="s">
        <v>306</v>
      </c>
      <c r="D18" s="187">
        <v>0.3</v>
      </c>
      <c r="E18" t="s">
        <v>309</v>
      </c>
      <c r="F18" t="s">
        <v>254</v>
      </c>
      <c r="G18">
        <f>G3*D20</f>
        <v>117000</v>
      </c>
    </row>
    <row r="19" spans="3:7">
      <c r="C19" t="s">
        <v>307</v>
      </c>
      <c r="D19" s="192">
        <f>D18*D8</f>
        <v>23452.157598499063</v>
      </c>
      <c r="F19" t="s">
        <v>257</v>
      </c>
      <c r="G19" s="192">
        <f>D20*G6*G4</f>
        <v>19500</v>
      </c>
    </row>
    <row r="20" spans="3:7">
      <c r="C20" t="s">
        <v>308</v>
      </c>
      <c r="D20">
        <v>23400</v>
      </c>
      <c r="F20" t="s">
        <v>305</v>
      </c>
      <c r="G20">
        <v>18200</v>
      </c>
    </row>
  </sheetData>
  <hyperlinks>
    <hyperlink ref="E4" r:id="rId1" xr:uid="{148AF487-6231-4AF7-99E5-90D807438D7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1A732-6370-4281-99AB-F7BDDA9B9B3B}">
  <dimension ref="B1:D5"/>
  <sheetViews>
    <sheetView workbookViewId="0">
      <selection activeCell="C3" sqref="C2:E3"/>
    </sheetView>
  </sheetViews>
  <sheetFormatPr defaultRowHeight="15.75"/>
  <cols>
    <col min="2" max="2" width="12" bestFit="1" customWidth="1"/>
  </cols>
  <sheetData>
    <row r="1" spans="2:4">
      <c r="C1" t="s">
        <v>326</v>
      </c>
      <c r="D1" t="s">
        <v>325</v>
      </c>
    </row>
    <row r="2" spans="2:4">
      <c r="B2" t="s">
        <v>274</v>
      </c>
      <c r="C2">
        <v>5</v>
      </c>
      <c r="D2">
        <v>2.5</v>
      </c>
    </row>
    <row r="3" spans="2:4">
      <c r="B3" t="s">
        <v>278</v>
      </c>
      <c r="C3">
        <v>1.9</v>
      </c>
      <c r="D3">
        <v>1.04</v>
      </c>
    </row>
    <row r="4" spans="2:4">
      <c r="B4" t="s">
        <v>1</v>
      </c>
      <c r="C4">
        <f>C2-C3</f>
        <v>3.1</v>
      </c>
      <c r="D4">
        <f>D2-D3</f>
        <v>1.46</v>
      </c>
    </row>
    <row r="5" spans="2:4">
      <c r="B5" t="s">
        <v>353</v>
      </c>
      <c r="C5" s="263">
        <f>C4/C2</f>
        <v>0.62</v>
      </c>
      <c r="D5" s="263">
        <f>D4/D2</f>
        <v>0.58399999999999996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D7E2A-BCE4-4A83-A12A-E585B20123F8}">
  <dimension ref="C2:E11"/>
  <sheetViews>
    <sheetView workbookViewId="0">
      <selection activeCell="C3" sqref="C3:E11"/>
    </sheetView>
  </sheetViews>
  <sheetFormatPr defaultRowHeight="15.75"/>
  <cols>
    <col min="3" max="3" width="44.625" bestFit="1" customWidth="1"/>
    <col min="4" max="4" width="18.125" bestFit="1" customWidth="1"/>
    <col min="5" max="5" width="11.375" bestFit="1" customWidth="1"/>
  </cols>
  <sheetData>
    <row r="2" spans="3:5" ht="16.5" thickBot="1"/>
    <row r="3" spans="3:5">
      <c r="C3" s="260" t="s">
        <v>339</v>
      </c>
      <c r="D3" s="261" t="s">
        <v>334</v>
      </c>
      <c r="E3" s="262" t="s">
        <v>335</v>
      </c>
    </row>
    <row r="4" spans="3:5">
      <c r="C4" s="258" t="s">
        <v>293</v>
      </c>
      <c r="D4" s="110" t="s">
        <v>336</v>
      </c>
      <c r="E4" s="217" t="s">
        <v>337</v>
      </c>
    </row>
    <row r="5" spans="3:5">
      <c r="C5" s="258" t="s">
        <v>338</v>
      </c>
      <c r="D5" s="110" t="s">
        <v>336</v>
      </c>
      <c r="E5" s="217" t="s">
        <v>340</v>
      </c>
    </row>
    <row r="6" spans="3:5">
      <c r="C6" s="258" t="s">
        <v>342</v>
      </c>
      <c r="D6" s="110" t="s">
        <v>336</v>
      </c>
      <c r="E6" s="217" t="s">
        <v>348</v>
      </c>
    </row>
    <row r="7" spans="3:5">
      <c r="C7" s="258" t="s">
        <v>343</v>
      </c>
      <c r="D7" s="110" t="s">
        <v>336</v>
      </c>
      <c r="E7" s="217" t="s">
        <v>344</v>
      </c>
    </row>
    <row r="8" spans="3:5">
      <c r="C8" s="258" t="s">
        <v>345</v>
      </c>
      <c r="D8" s="110" t="s">
        <v>346</v>
      </c>
      <c r="E8" s="217" t="s">
        <v>347</v>
      </c>
    </row>
    <row r="9" spans="3:5">
      <c r="C9" s="258" t="s">
        <v>349</v>
      </c>
      <c r="D9" s="110" t="s">
        <v>346</v>
      </c>
      <c r="E9" s="217" t="s">
        <v>350</v>
      </c>
    </row>
    <row r="10" spans="3:5">
      <c r="C10" s="258" t="s">
        <v>328</v>
      </c>
      <c r="D10" s="110" t="s">
        <v>346</v>
      </c>
      <c r="E10" s="217" t="s">
        <v>351</v>
      </c>
    </row>
    <row r="11" spans="3:5" ht="16.5" thickBot="1">
      <c r="C11" s="259" t="s">
        <v>316</v>
      </c>
      <c r="D11" s="244" t="s">
        <v>346</v>
      </c>
      <c r="E11" s="221" t="s">
        <v>352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F870F-0128-4222-96E8-7179D7585BD6}">
  <dimension ref="A1:BZ95"/>
  <sheetViews>
    <sheetView topLeftCell="D1" zoomScale="85" zoomScaleNormal="85" workbookViewId="0">
      <pane ySplit="3" topLeftCell="A13" activePane="bottomLeft" state="frozen"/>
      <selection activeCell="E1" sqref="E1"/>
      <selection pane="bottomLeft" activeCell="M22" sqref="M22"/>
    </sheetView>
  </sheetViews>
  <sheetFormatPr defaultRowHeight="15.75"/>
  <cols>
    <col min="1" max="1" width="21" bestFit="1" customWidth="1"/>
    <col min="2" max="2" width="7.875" bestFit="1" customWidth="1"/>
    <col min="3" max="3" width="9.125" bestFit="1" customWidth="1"/>
    <col min="4" max="4" width="14.75" bestFit="1" customWidth="1"/>
    <col min="5" max="5" width="38.75" bestFit="1" customWidth="1"/>
    <col min="6" max="6" width="24.75" hidden="1" customWidth="1"/>
    <col min="7" max="7" width="18.75" hidden="1" customWidth="1"/>
    <col min="8" max="8" width="18.75" customWidth="1"/>
    <col min="9" max="9" width="18.75" hidden="1" customWidth="1"/>
    <col min="10" max="10" width="17.625" hidden="1" customWidth="1"/>
    <col min="11" max="11" width="4.5" hidden="1" customWidth="1"/>
    <col min="12" max="12" width="4.5" customWidth="1"/>
    <col min="13" max="13" width="6.25" customWidth="1"/>
    <col min="14" max="14" width="6.5" customWidth="1"/>
    <col min="15" max="15" width="7" customWidth="1"/>
    <col min="16" max="16" width="6.625" customWidth="1"/>
    <col min="17" max="17" width="7.25" customWidth="1"/>
    <col min="18" max="18" width="6.75" customWidth="1"/>
    <col min="19" max="19" width="9" customWidth="1"/>
    <col min="20" max="20" width="6.875" customWidth="1"/>
    <col min="21" max="21" width="6.625" customWidth="1"/>
    <col min="22" max="22" width="6.5" customWidth="1"/>
    <col min="23" max="23" width="7" customWidth="1"/>
    <col min="24" max="24" width="6.625" customWidth="1"/>
    <col min="25" max="25" width="10.875" style="327" bestFit="1" customWidth="1"/>
    <col min="26" max="26" width="6.625" customWidth="1"/>
    <col min="27" max="27" width="6.75" customWidth="1"/>
    <col min="28" max="28" width="7.125" customWidth="1"/>
    <col min="29" max="29" width="6.75" customWidth="1"/>
    <col min="30" max="30" width="7.5" customWidth="1"/>
    <col min="31" max="31" width="6.75" bestFit="1" customWidth="1"/>
    <col min="32" max="32" width="6" customWidth="1"/>
    <col min="33" max="33" width="7" customWidth="1"/>
    <col min="34" max="34" width="6.875" customWidth="1"/>
    <col min="35" max="35" width="6.625" customWidth="1"/>
    <col min="36" max="36" width="7.125" customWidth="1"/>
    <col min="37" max="37" width="6.875" customWidth="1"/>
    <col min="38" max="38" width="10.875" style="327" bestFit="1" customWidth="1"/>
    <col min="39" max="39" width="6.25" customWidth="1"/>
    <col min="40" max="40" width="6.5" customWidth="1"/>
    <col min="41" max="41" width="7" customWidth="1"/>
    <col min="42" max="42" width="6.625" customWidth="1"/>
    <col min="43" max="43" width="7.25" customWidth="1"/>
    <col min="44" max="44" width="6.75" customWidth="1"/>
    <col min="45" max="45" width="5.75" customWidth="1"/>
    <col min="46" max="46" width="6.875" customWidth="1"/>
    <col min="47" max="47" width="6.625" customWidth="1"/>
    <col min="48" max="48" width="6.5" customWidth="1"/>
    <col min="49" max="49" width="7" customWidth="1"/>
    <col min="50" max="50" width="6.625" customWidth="1"/>
    <col min="51" max="51" width="10.875" style="327" bestFit="1" customWidth="1"/>
    <col min="52" max="52" width="6.25" customWidth="1"/>
    <col min="53" max="53" width="6.5" customWidth="1"/>
    <col min="54" max="54" width="7" customWidth="1"/>
    <col min="55" max="55" width="6.625" customWidth="1"/>
    <col min="56" max="56" width="7.25" customWidth="1"/>
    <col min="57" max="57" width="6.75" customWidth="1"/>
    <col min="58" max="58" width="5.75" customWidth="1"/>
    <col min="59" max="59" width="6.875" customWidth="1"/>
    <col min="60" max="60" width="6.625" customWidth="1"/>
    <col min="61" max="61" width="6.5" customWidth="1"/>
    <col min="62" max="62" width="7" customWidth="1"/>
    <col min="63" max="63" width="6.625" customWidth="1"/>
    <col min="64" max="64" width="10.875" style="327" bestFit="1" customWidth="1"/>
    <col min="65" max="65" width="6.25" customWidth="1"/>
    <col min="66" max="66" width="6.5" customWidth="1"/>
    <col min="67" max="67" width="7" customWidth="1"/>
    <col min="68" max="68" width="6.625" customWidth="1"/>
    <col min="69" max="69" width="7.25" customWidth="1"/>
    <col min="70" max="70" width="6.75" customWidth="1"/>
    <col min="71" max="71" width="5.75" customWidth="1"/>
    <col min="72" max="72" width="6.875" customWidth="1"/>
    <col min="73" max="73" width="6.625" customWidth="1"/>
    <col min="74" max="74" width="6.5" customWidth="1"/>
    <col min="75" max="75" width="7" customWidth="1"/>
    <col min="76" max="76" width="6.625" customWidth="1"/>
    <col min="77" max="77" width="10.875" style="327" bestFit="1" customWidth="1"/>
  </cols>
  <sheetData>
    <row r="1" spans="1:78" s="271" customFormat="1" ht="63.75" thickBot="1">
      <c r="A1" s="266" t="s">
        <v>384</v>
      </c>
      <c r="B1" s="266" t="s">
        <v>385</v>
      </c>
      <c r="C1" s="267" t="s">
        <v>386</v>
      </c>
      <c r="D1" s="267" t="s">
        <v>387</v>
      </c>
      <c r="E1" s="267" t="s">
        <v>388</v>
      </c>
      <c r="F1" s="267"/>
      <c r="G1" s="268" t="s">
        <v>389</v>
      </c>
      <c r="H1" s="269" t="s">
        <v>390</v>
      </c>
      <c r="I1" s="269" t="s">
        <v>234</v>
      </c>
      <c r="J1" s="269" t="s">
        <v>391</v>
      </c>
      <c r="K1" s="269" t="s">
        <v>234</v>
      </c>
      <c r="L1" s="269" t="s">
        <v>498</v>
      </c>
      <c r="M1" s="476">
        <v>2023</v>
      </c>
      <c r="N1" s="477"/>
      <c r="O1" s="477"/>
      <c r="P1" s="477"/>
      <c r="Q1" s="477"/>
      <c r="R1" s="477"/>
      <c r="S1" s="477"/>
      <c r="T1" s="477"/>
      <c r="U1" s="477"/>
      <c r="V1" s="477"/>
      <c r="W1" s="477"/>
      <c r="X1" s="477"/>
      <c r="Y1" s="270"/>
      <c r="Z1" s="476">
        <v>2024</v>
      </c>
      <c r="AA1" s="477"/>
      <c r="AB1" s="477"/>
      <c r="AC1" s="477"/>
      <c r="AD1" s="477"/>
      <c r="AE1" s="477"/>
      <c r="AF1" s="477"/>
      <c r="AG1" s="477"/>
      <c r="AH1" s="477"/>
      <c r="AI1" s="477"/>
      <c r="AJ1" s="477"/>
      <c r="AK1" s="477"/>
      <c r="AL1" s="270"/>
      <c r="AM1" s="476">
        <v>2025</v>
      </c>
      <c r="AN1" s="477"/>
      <c r="AO1" s="477"/>
      <c r="AP1" s="477"/>
      <c r="AQ1" s="477"/>
      <c r="AR1" s="477"/>
      <c r="AS1" s="477"/>
      <c r="AT1" s="477"/>
      <c r="AU1" s="477"/>
      <c r="AV1" s="477"/>
      <c r="AW1" s="477"/>
      <c r="AX1" s="477"/>
      <c r="AY1" s="270"/>
      <c r="AZ1" s="476">
        <v>2026</v>
      </c>
      <c r="BA1" s="477"/>
      <c r="BB1" s="477"/>
      <c r="BC1" s="477"/>
      <c r="BD1" s="477"/>
      <c r="BE1" s="477"/>
      <c r="BF1" s="477"/>
      <c r="BG1" s="477"/>
      <c r="BH1" s="477"/>
      <c r="BI1" s="477"/>
      <c r="BJ1" s="477"/>
      <c r="BK1" s="477"/>
      <c r="BL1" s="270"/>
      <c r="BM1" s="476">
        <v>2027</v>
      </c>
      <c r="BN1" s="477"/>
      <c r="BO1" s="477"/>
      <c r="BP1" s="477"/>
      <c r="BQ1" s="477"/>
      <c r="BR1" s="477"/>
      <c r="BS1" s="477"/>
      <c r="BT1" s="477"/>
      <c r="BU1" s="477"/>
      <c r="BV1" s="477"/>
      <c r="BW1" s="477"/>
      <c r="BX1" s="477"/>
      <c r="BY1" s="270"/>
    </row>
    <row r="2" spans="1:78" ht="16.5" thickBot="1">
      <c r="B2" s="272"/>
      <c r="C2" s="272"/>
      <c r="D2" s="272"/>
      <c r="E2" s="272"/>
      <c r="F2" s="272"/>
      <c r="G2" s="272"/>
      <c r="H2" s="272"/>
      <c r="I2" s="272"/>
      <c r="J2" s="272"/>
      <c r="K2" s="168"/>
      <c r="M2" s="273">
        <f>DATE(YEAR($S$58)+($W$58-1),1,1)</f>
        <v>44927</v>
      </c>
      <c r="N2" s="274">
        <f>EDATE(M2,1)</f>
        <v>44958</v>
      </c>
      <c r="O2" s="274">
        <f t="shared" ref="O2:X2" si="0">EDATE(N2,1)</f>
        <v>44986</v>
      </c>
      <c r="P2" s="274">
        <f t="shared" si="0"/>
        <v>45017</v>
      </c>
      <c r="Q2" s="274">
        <f t="shared" si="0"/>
        <v>45047</v>
      </c>
      <c r="R2" s="274">
        <f t="shared" si="0"/>
        <v>45078</v>
      </c>
      <c r="S2" s="274">
        <f t="shared" si="0"/>
        <v>45108</v>
      </c>
      <c r="T2" s="274">
        <f t="shared" si="0"/>
        <v>45139</v>
      </c>
      <c r="U2" s="274">
        <f t="shared" si="0"/>
        <v>45170</v>
      </c>
      <c r="V2" s="274">
        <f t="shared" si="0"/>
        <v>45200</v>
      </c>
      <c r="W2" s="274">
        <f t="shared" si="0"/>
        <v>45231</v>
      </c>
      <c r="X2" s="275">
        <f t="shared" si="0"/>
        <v>45261</v>
      </c>
      <c r="Y2" s="276" t="s">
        <v>392</v>
      </c>
      <c r="Z2" s="277">
        <f>EDATE(X2,1)</f>
        <v>45292</v>
      </c>
      <c r="AA2" s="275">
        <f t="shared" ref="AA2:AX2" si="1">EDATE(Z2,1)</f>
        <v>45323</v>
      </c>
      <c r="AB2" s="275">
        <f t="shared" si="1"/>
        <v>45352</v>
      </c>
      <c r="AC2" s="275">
        <f t="shared" si="1"/>
        <v>45383</v>
      </c>
      <c r="AD2" s="275">
        <f t="shared" si="1"/>
        <v>45413</v>
      </c>
      <c r="AE2" s="275">
        <f t="shared" si="1"/>
        <v>45444</v>
      </c>
      <c r="AF2" s="275">
        <f t="shared" si="1"/>
        <v>45474</v>
      </c>
      <c r="AG2" s="275">
        <f t="shared" si="1"/>
        <v>45505</v>
      </c>
      <c r="AH2" s="275">
        <f t="shared" si="1"/>
        <v>45536</v>
      </c>
      <c r="AI2" s="275">
        <f t="shared" si="1"/>
        <v>45566</v>
      </c>
      <c r="AJ2" s="275">
        <f t="shared" si="1"/>
        <v>45597</v>
      </c>
      <c r="AK2" s="275">
        <f t="shared" si="1"/>
        <v>45627</v>
      </c>
      <c r="AL2" s="276" t="s">
        <v>393</v>
      </c>
      <c r="AM2" s="275">
        <f>EDATE(AK2,1)</f>
        <v>45658</v>
      </c>
      <c r="AN2" s="275">
        <f t="shared" si="1"/>
        <v>45689</v>
      </c>
      <c r="AO2" s="275">
        <f t="shared" si="1"/>
        <v>45717</v>
      </c>
      <c r="AP2" s="275">
        <f t="shared" si="1"/>
        <v>45748</v>
      </c>
      <c r="AQ2" s="275">
        <f t="shared" si="1"/>
        <v>45778</v>
      </c>
      <c r="AR2" s="275">
        <f t="shared" si="1"/>
        <v>45809</v>
      </c>
      <c r="AS2" s="275">
        <f t="shared" si="1"/>
        <v>45839</v>
      </c>
      <c r="AT2" s="275">
        <f t="shared" si="1"/>
        <v>45870</v>
      </c>
      <c r="AU2" s="275">
        <f t="shared" si="1"/>
        <v>45901</v>
      </c>
      <c r="AV2" s="275">
        <f t="shared" si="1"/>
        <v>45931</v>
      </c>
      <c r="AW2" s="275">
        <f t="shared" si="1"/>
        <v>45962</v>
      </c>
      <c r="AX2" s="275">
        <f t="shared" si="1"/>
        <v>45992</v>
      </c>
      <c r="AY2" s="276" t="s">
        <v>394</v>
      </c>
      <c r="AZ2" s="275">
        <f>EDATE(AX2,1)</f>
        <v>46023</v>
      </c>
      <c r="BA2" s="275">
        <f t="shared" ref="BA2:BK2" si="2">EDATE(AZ2,1)</f>
        <v>46054</v>
      </c>
      <c r="BB2" s="275">
        <f t="shared" si="2"/>
        <v>46082</v>
      </c>
      <c r="BC2" s="275">
        <f t="shared" si="2"/>
        <v>46113</v>
      </c>
      <c r="BD2" s="275">
        <f t="shared" si="2"/>
        <v>46143</v>
      </c>
      <c r="BE2" s="275">
        <f t="shared" si="2"/>
        <v>46174</v>
      </c>
      <c r="BF2" s="275">
        <f t="shared" si="2"/>
        <v>46204</v>
      </c>
      <c r="BG2" s="275">
        <f t="shared" si="2"/>
        <v>46235</v>
      </c>
      <c r="BH2" s="275">
        <f t="shared" si="2"/>
        <v>46266</v>
      </c>
      <c r="BI2" s="275">
        <f t="shared" si="2"/>
        <v>46296</v>
      </c>
      <c r="BJ2" s="275">
        <f t="shared" si="2"/>
        <v>46327</v>
      </c>
      <c r="BK2" s="275">
        <f t="shared" si="2"/>
        <v>46357</v>
      </c>
      <c r="BL2" s="276" t="s">
        <v>395</v>
      </c>
      <c r="BM2" s="275">
        <f>EDATE(BK2,1)</f>
        <v>46388</v>
      </c>
      <c r="BN2" s="275">
        <f t="shared" ref="BN2:BX2" si="3">EDATE(BM2,1)</f>
        <v>46419</v>
      </c>
      <c r="BO2" s="275">
        <f t="shared" si="3"/>
        <v>46447</v>
      </c>
      <c r="BP2" s="275">
        <f t="shared" si="3"/>
        <v>46478</v>
      </c>
      <c r="BQ2" s="275">
        <f t="shared" si="3"/>
        <v>46508</v>
      </c>
      <c r="BR2" s="275">
        <f t="shared" si="3"/>
        <v>46539</v>
      </c>
      <c r="BS2" s="275">
        <f t="shared" si="3"/>
        <v>46569</v>
      </c>
      <c r="BT2" s="275">
        <f t="shared" si="3"/>
        <v>46600</v>
      </c>
      <c r="BU2" s="275">
        <f t="shared" si="3"/>
        <v>46631</v>
      </c>
      <c r="BV2" s="275">
        <f t="shared" si="3"/>
        <v>46661</v>
      </c>
      <c r="BW2" s="275">
        <f t="shared" si="3"/>
        <v>46692</v>
      </c>
      <c r="BX2" s="275">
        <f t="shared" si="3"/>
        <v>46722</v>
      </c>
      <c r="BY2" s="276" t="s">
        <v>396</v>
      </c>
    </row>
    <row r="3" spans="1:78" ht="16.5" thickBot="1">
      <c r="A3" t="s">
        <v>499</v>
      </c>
      <c r="B3" s="272" t="s">
        <v>499</v>
      </c>
      <c r="C3" s="272" t="s">
        <v>499</v>
      </c>
      <c r="D3" s="272" t="s">
        <v>499</v>
      </c>
      <c r="E3" s="272" t="s">
        <v>499</v>
      </c>
      <c r="F3" s="272"/>
      <c r="G3" s="272"/>
      <c r="H3" s="272"/>
      <c r="I3" s="272"/>
      <c r="J3" s="272"/>
      <c r="K3" s="168"/>
      <c r="M3" s="278">
        <v>0</v>
      </c>
      <c r="N3" s="279">
        <v>0</v>
      </c>
      <c r="O3" s="279">
        <v>0</v>
      </c>
      <c r="P3" s="279">
        <v>0</v>
      </c>
      <c r="Q3" s="279">
        <v>0</v>
      </c>
      <c r="R3" s="279">
        <v>0</v>
      </c>
      <c r="S3" s="347">
        <v>0.05</v>
      </c>
      <c r="T3" s="347">
        <v>0.08</v>
      </c>
      <c r="U3" s="347">
        <v>0.14000000000000001</v>
      </c>
      <c r="V3" s="347">
        <v>0.19</v>
      </c>
      <c r="W3" s="347">
        <v>0.23</v>
      </c>
      <c r="X3" s="347">
        <v>0.31</v>
      </c>
      <c r="Y3" s="348">
        <f>SUM(M3:X3)</f>
        <v>1</v>
      </c>
      <c r="Z3" s="349">
        <v>6.7666741851935386E-2</v>
      </c>
      <c r="AA3" s="349">
        <v>6.8666742963047742E-2</v>
      </c>
      <c r="AB3" s="349">
        <v>7.1333412592680653E-2</v>
      </c>
      <c r="AC3" s="349">
        <v>7.477786086428985E-2</v>
      </c>
      <c r="AD3" s="349">
        <v>7.8000086666762961E-2</v>
      </c>
      <c r="AE3" s="349">
        <v>8.0443422714914087E-2</v>
      </c>
      <c r="AF3" s="349">
        <v>8.4666760740845268E-2</v>
      </c>
      <c r="AG3" s="349">
        <v>9.1222323580359532E-2</v>
      </c>
      <c r="AH3" s="349">
        <v>9.2333435926039889E-2</v>
      </c>
      <c r="AI3" s="349">
        <v>9.48889943211048E-2</v>
      </c>
      <c r="AJ3" s="349">
        <v>9.5777884197649113E-2</v>
      </c>
      <c r="AK3" s="349">
        <v>0.10022233358037065</v>
      </c>
      <c r="AL3" s="350">
        <f>SUM(Z3:AK3)</f>
        <v>0.99999999999999989</v>
      </c>
      <c r="AM3" s="349">
        <v>7.2491462509279903E-2</v>
      </c>
      <c r="AN3" s="349">
        <v>7.5426874536005953E-2</v>
      </c>
      <c r="AO3" s="349">
        <v>7.6317743132887916E-2</v>
      </c>
      <c r="AP3" s="349">
        <v>7.6633837107793937E-2</v>
      </c>
      <c r="AQ3" s="349">
        <v>8.3147735708982942E-2</v>
      </c>
      <c r="AR3" s="349">
        <v>8.5003711952487029E-2</v>
      </c>
      <c r="AS3" s="349">
        <v>8.5597624350408338E-2</v>
      </c>
      <c r="AT3" s="349">
        <v>8.7973273942093561E-2</v>
      </c>
      <c r="AU3" s="349">
        <v>8.9012620638455858E-2</v>
      </c>
      <c r="AV3" s="349">
        <v>8.9321065590592552E-2</v>
      </c>
      <c r="AW3" s="349">
        <v>8.9467564969735222E-2</v>
      </c>
      <c r="AX3" s="349">
        <v>8.9606149467527291E-2</v>
      </c>
      <c r="AY3" s="348">
        <f>SUM(AM3:AX3)</f>
        <v>0.99999966390625028</v>
      </c>
      <c r="AZ3" s="349">
        <v>6.7666741851935386E-2</v>
      </c>
      <c r="BA3" s="349">
        <v>6.8666742963047742E-2</v>
      </c>
      <c r="BB3" s="349">
        <v>7.1333412592680653E-2</v>
      </c>
      <c r="BC3" s="349">
        <v>7.477786086428985E-2</v>
      </c>
      <c r="BD3" s="349">
        <v>7.8000086666762961E-2</v>
      </c>
      <c r="BE3" s="349">
        <v>8.0443422714914087E-2</v>
      </c>
      <c r="BF3" s="349">
        <v>8.4666760740845268E-2</v>
      </c>
      <c r="BG3" s="349">
        <v>9.1222323580359532E-2</v>
      </c>
      <c r="BH3" s="349">
        <v>9.2333435926039889E-2</v>
      </c>
      <c r="BI3" s="349">
        <v>9.48889943211048E-2</v>
      </c>
      <c r="BJ3" s="349">
        <v>9.5777884197649113E-2</v>
      </c>
      <c r="BK3" s="349">
        <v>0.10022233358037065</v>
      </c>
      <c r="BL3" s="348">
        <f>SUM(AZ3:BK3)</f>
        <v>0.99999999999999989</v>
      </c>
      <c r="BM3" s="349">
        <v>8.1288888888888883E-2</v>
      </c>
      <c r="BN3" s="349">
        <v>8.1658753333333334E-2</v>
      </c>
      <c r="BO3" s="349">
        <v>8.2030300661000005E-2</v>
      </c>
      <c r="BP3" s="349">
        <v>8.2403538529007558E-2</v>
      </c>
      <c r="BQ3" s="349">
        <v>8.277847462931455E-2</v>
      </c>
      <c r="BR3" s="349">
        <v>8.3155116688877928E-2</v>
      </c>
      <c r="BS3" s="349">
        <v>8.3533472469812339E-2</v>
      </c>
      <c r="BT3" s="349">
        <v>8.3913549769549997E-2</v>
      </c>
      <c r="BU3" s="349">
        <v>8.4295356421001458E-2</v>
      </c>
      <c r="BV3" s="349">
        <v>8.4678900292717019E-2</v>
      </c>
      <c r="BW3" s="349">
        <v>8.4975300400159992E-2</v>
      </c>
      <c r="BX3" s="349">
        <v>8.5273049128091846E-2</v>
      </c>
      <c r="BY3" s="348">
        <f>SUM(BM3:BX3)</f>
        <v>0.99998470121175487</v>
      </c>
    </row>
    <row r="4" spans="1:78" s="39" customFormat="1" ht="16.5" thickBot="1">
      <c r="A4" s="280" t="s">
        <v>280</v>
      </c>
      <c r="B4" s="281"/>
      <c r="C4" s="281"/>
      <c r="D4" s="281"/>
      <c r="E4" s="281" t="s">
        <v>397</v>
      </c>
      <c r="F4" s="281"/>
      <c r="G4" s="281"/>
      <c r="H4" s="281">
        <v>0.9</v>
      </c>
      <c r="I4" s="281" t="s">
        <v>402</v>
      </c>
      <c r="J4" s="282">
        <f t="shared" ref="J4:J18" si="4">+Y4+AL4+AY4+BL4+BY4</f>
        <v>63040.55883836242</v>
      </c>
      <c r="K4" s="282" t="s">
        <v>398</v>
      </c>
      <c r="L4" s="282"/>
      <c r="M4" s="346">
        <v>0</v>
      </c>
      <c r="N4" s="346">
        <v>0</v>
      </c>
      <c r="O4" s="346">
        <v>0</v>
      </c>
      <c r="P4" s="346">
        <v>0</v>
      </c>
      <c r="Q4" s="346">
        <v>0</v>
      </c>
      <c r="R4" s="346">
        <v>0</v>
      </c>
      <c r="S4" s="345">
        <f t="shared" ref="S4:X4" si="5">+$Y$4*S3</f>
        <v>3.5279419181212432</v>
      </c>
      <c r="T4" s="345">
        <f t="shared" si="5"/>
        <v>5.6447070689939896</v>
      </c>
      <c r="U4" s="345">
        <f t="shared" si="5"/>
        <v>9.8782373707394822</v>
      </c>
      <c r="V4" s="345">
        <f t="shared" si="5"/>
        <v>13.406179288860724</v>
      </c>
      <c r="W4" s="345">
        <f t="shared" si="5"/>
        <v>16.228532823357721</v>
      </c>
      <c r="X4" s="345">
        <f t="shared" si="5"/>
        <v>21.873239892351709</v>
      </c>
      <c r="Y4" s="344">
        <f>+'Income Statement'!E40</f>
        <v>70.558838362424865</v>
      </c>
      <c r="Z4" s="346">
        <f>+$AL$4*Z3</f>
        <v>609.00067666741847</v>
      </c>
      <c r="AA4" s="346">
        <f t="shared" ref="AA4:AK4" si="6">+$AL$4*AA3</f>
        <v>618.0006866674297</v>
      </c>
      <c r="AB4" s="346">
        <f t="shared" si="6"/>
        <v>642.00071333412586</v>
      </c>
      <c r="AC4" s="346">
        <f t="shared" si="6"/>
        <v>673.00074777860868</v>
      </c>
      <c r="AD4" s="346">
        <f t="shared" si="6"/>
        <v>702.0007800008666</v>
      </c>
      <c r="AE4" s="346">
        <f t="shared" si="6"/>
        <v>723.99080443422679</v>
      </c>
      <c r="AF4" s="346">
        <f t="shared" si="6"/>
        <v>762.00084666760745</v>
      </c>
      <c r="AG4" s="346">
        <f t="shared" si="6"/>
        <v>821.00091222323579</v>
      </c>
      <c r="AH4" s="346">
        <f t="shared" si="6"/>
        <v>831.00092333435896</v>
      </c>
      <c r="AI4" s="346">
        <f t="shared" si="6"/>
        <v>854.00094888994317</v>
      </c>
      <c r="AJ4" s="346">
        <f t="shared" si="6"/>
        <v>862.00095777884201</v>
      </c>
      <c r="AK4" s="346">
        <f t="shared" si="6"/>
        <v>902.00100222333583</v>
      </c>
      <c r="AL4" s="344">
        <f>+'Income Statement'!F40</f>
        <v>9000</v>
      </c>
      <c r="AM4" s="346">
        <f>+$AY$4*AM3</f>
        <v>976.46</v>
      </c>
      <c r="AN4" s="346">
        <f t="shared" ref="AN4:AX4" si="7">+$AY$4*AN3</f>
        <v>1015.9999999999999</v>
      </c>
      <c r="AO4" s="346">
        <f t="shared" si="7"/>
        <v>1028</v>
      </c>
      <c r="AP4" s="346">
        <f t="shared" si="7"/>
        <v>1032.2577858419841</v>
      </c>
      <c r="AQ4" s="346">
        <f t="shared" si="7"/>
        <v>1120</v>
      </c>
      <c r="AR4" s="346">
        <f t="shared" si="7"/>
        <v>1145</v>
      </c>
      <c r="AS4" s="346">
        <f t="shared" si="7"/>
        <v>1153</v>
      </c>
      <c r="AT4" s="346">
        <f t="shared" si="7"/>
        <v>1185</v>
      </c>
      <c r="AU4" s="346">
        <f t="shared" si="7"/>
        <v>1199</v>
      </c>
      <c r="AV4" s="346">
        <f t="shared" si="7"/>
        <v>1203.1547535052814</v>
      </c>
      <c r="AW4" s="346">
        <f t="shared" si="7"/>
        <v>1205.1281001423331</v>
      </c>
      <c r="AX4" s="346">
        <f t="shared" si="7"/>
        <v>1206.9948333275922</v>
      </c>
      <c r="AY4" s="344">
        <f>+'Income Statement'!G40-30</f>
        <v>13469.999999999996</v>
      </c>
      <c r="AZ4" s="346">
        <f>+$BL$4*AZ3</f>
        <v>1218.0013533348369</v>
      </c>
      <c r="BA4" s="346">
        <f t="shared" ref="BA4:BK4" si="8">+$BL$4*BA3</f>
        <v>1236.0013733348594</v>
      </c>
      <c r="BB4" s="346">
        <f t="shared" si="8"/>
        <v>1284.0014266682517</v>
      </c>
      <c r="BC4" s="346">
        <f t="shared" si="8"/>
        <v>1346.0014955572174</v>
      </c>
      <c r="BD4" s="346">
        <f t="shared" si="8"/>
        <v>1404.0015600017332</v>
      </c>
      <c r="BE4" s="346">
        <f t="shared" si="8"/>
        <v>1447.9816088684536</v>
      </c>
      <c r="BF4" s="346">
        <f t="shared" si="8"/>
        <v>1524.0016933352149</v>
      </c>
      <c r="BG4" s="346">
        <f t="shared" si="8"/>
        <v>1642.0018244464716</v>
      </c>
      <c r="BH4" s="346">
        <f t="shared" si="8"/>
        <v>1662.0018466687179</v>
      </c>
      <c r="BI4" s="346">
        <f t="shared" si="8"/>
        <v>1708.0018977798863</v>
      </c>
      <c r="BJ4" s="346">
        <f t="shared" si="8"/>
        <v>1724.001915557684</v>
      </c>
      <c r="BK4" s="346">
        <f t="shared" si="8"/>
        <v>1804.0020044466717</v>
      </c>
      <c r="BL4" s="344">
        <f>+'Income Statement'!H40</f>
        <v>18000</v>
      </c>
      <c r="BM4" s="346">
        <f>+$BY$4*BM3</f>
        <v>1828.9999999999998</v>
      </c>
      <c r="BN4" s="346">
        <f t="shared" ref="BN4:BX4" si="9">+$BY$4*BN3</f>
        <v>1837.32195</v>
      </c>
      <c r="BO4" s="346">
        <f t="shared" si="9"/>
        <v>1845.6817648725</v>
      </c>
      <c r="BP4" s="346">
        <f t="shared" si="9"/>
        <v>1854.0796169026701</v>
      </c>
      <c r="BQ4" s="346">
        <f t="shared" si="9"/>
        <v>1862.5156791595773</v>
      </c>
      <c r="BR4" s="346">
        <f t="shared" si="9"/>
        <v>1870.9901254997533</v>
      </c>
      <c r="BS4" s="346">
        <f t="shared" si="9"/>
        <v>1879.5031305707776</v>
      </c>
      <c r="BT4" s="346">
        <f t="shared" si="9"/>
        <v>1888.054869814875</v>
      </c>
      <c r="BU4" s="346">
        <f t="shared" si="9"/>
        <v>1896.6455194725329</v>
      </c>
      <c r="BV4" s="346">
        <f t="shared" si="9"/>
        <v>1905.2752565861329</v>
      </c>
      <c r="BW4" s="346">
        <f t="shared" si="9"/>
        <v>1911.9442590035999</v>
      </c>
      <c r="BX4" s="346">
        <f t="shared" si="9"/>
        <v>1918.6436053820667</v>
      </c>
      <c r="BY4" s="344">
        <f>+'Income Statement'!I40</f>
        <v>22500</v>
      </c>
      <c r="BZ4" s="351"/>
    </row>
    <row r="5" spans="1:78" s="39" customFormat="1">
      <c r="A5" s="283" t="s">
        <v>280</v>
      </c>
      <c r="B5" s="284"/>
      <c r="C5" s="284"/>
      <c r="D5" s="284"/>
      <c r="E5" s="284" t="s">
        <v>491</v>
      </c>
      <c r="F5" s="284"/>
      <c r="G5" s="284"/>
      <c r="H5" s="284">
        <v>1.8</v>
      </c>
      <c r="I5" s="284" t="s">
        <v>402</v>
      </c>
      <c r="J5" s="285">
        <f t="shared" si="4"/>
        <v>21023.519612787473</v>
      </c>
      <c r="K5" s="285" t="s">
        <v>398</v>
      </c>
      <c r="L5" s="352"/>
      <c r="M5" s="346">
        <v>0</v>
      </c>
      <c r="N5" s="346">
        <v>0</v>
      </c>
      <c r="O5" s="346">
        <v>0</v>
      </c>
      <c r="P5" s="346">
        <v>0</v>
      </c>
      <c r="Q5" s="346">
        <v>0</v>
      </c>
      <c r="R5" s="346">
        <v>0</v>
      </c>
      <c r="S5" s="345">
        <f t="shared" ref="S5:X5" si="10">+$Y$5*S3</f>
        <v>1.1759806393737477</v>
      </c>
      <c r="T5" s="345">
        <f t="shared" si="10"/>
        <v>1.8815690229979964</v>
      </c>
      <c r="U5" s="345">
        <f t="shared" si="10"/>
        <v>3.2927457902464941</v>
      </c>
      <c r="V5" s="345">
        <f t="shared" si="10"/>
        <v>4.4687264296202418</v>
      </c>
      <c r="W5" s="345">
        <f t="shared" si="10"/>
        <v>5.4095109411192395</v>
      </c>
      <c r="X5" s="345">
        <f t="shared" si="10"/>
        <v>7.2910799641172357</v>
      </c>
      <c r="Y5" s="343">
        <f>+'Income Statement'!E41</f>
        <v>23.519612787474955</v>
      </c>
      <c r="Z5" s="346">
        <f>+$AL$5*Z3</f>
        <v>203.00022555580617</v>
      </c>
      <c r="AA5" s="346">
        <f t="shared" ref="AA5:AK5" si="11">+$AL$5*AA3</f>
        <v>206.00022888914322</v>
      </c>
      <c r="AB5" s="346">
        <f t="shared" si="11"/>
        <v>214.00023777804196</v>
      </c>
      <c r="AC5" s="346">
        <f t="shared" si="11"/>
        <v>224.33358259286956</v>
      </c>
      <c r="AD5" s="346">
        <f t="shared" si="11"/>
        <v>234.00026000028888</v>
      </c>
      <c r="AE5" s="346">
        <f t="shared" si="11"/>
        <v>241.33026814474226</v>
      </c>
      <c r="AF5" s="346">
        <f t="shared" si="11"/>
        <v>254.00028222253582</v>
      </c>
      <c r="AG5" s="346">
        <f t="shared" si="11"/>
        <v>273.66697074107861</v>
      </c>
      <c r="AH5" s="346">
        <f t="shared" si="11"/>
        <v>277.00030777811969</v>
      </c>
      <c r="AI5" s="346">
        <f t="shared" si="11"/>
        <v>284.66698296331441</v>
      </c>
      <c r="AJ5" s="346">
        <f t="shared" si="11"/>
        <v>287.33365259294732</v>
      </c>
      <c r="AK5" s="346">
        <f t="shared" si="11"/>
        <v>300.66700074111196</v>
      </c>
      <c r="AL5" s="343">
        <f>+'Income Statement'!F41</f>
        <v>3000</v>
      </c>
      <c r="AM5" s="346">
        <f>+$AY$5*AM3</f>
        <v>326.21158129175944</v>
      </c>
      <c r="AN5" s="346">
        <f t="shared" ref="AN5:AX5" si="12">+$AY$5*AN3</f>
        <v>339.42093541202667</v>
      </c>
      <c r="AO5" s="346">
        <f t="shared" si="12"/>
        <v>343.4298440979955</v>
      </c>
      <c r="AP5" s="346">
        <f t="shared" si="12"/>
        <v>344.85226698507256</v>
      </c>
      <c r="AQ5" s="346">
        <f t="shared" si="12"/>
        <v>374.16481069042311</v>
      </c>
      <c r="AR5" s="346">
        <f t="shared" si="12"/>
        <v>382.5167037861915</v>
      </c>
      <c r="AS5" s="346">
        <f t="shared" si="12"/>
        <v>385.18930957683739</v>
      </c>
      <c r="AT5" s="346">
        <f t="shared" si="12"/>
        <v>395.87973273942089</v>
      </c>
      <c r="AU5" s="346">
        <f t="shared" si="12"/>
        <v>400.55679287305122</v>
      </c>
      <c r="AV5" s="346">
        <f t="shared" si="12"/>
        <v>401.94479515766631</v>
      </c>
      <c r="AW5" s="346">
        <f t="shared" si="12"/>
        <v>402.60404236380833</v>
      </c>
      <c r="AX5" s="346">
        <f t="shared" si="12"/>
        <v>403.22767260387263</v>
      </c>
      <c r="AY5" s="343">
        <f>+'Income Statement'!G41</f>
        <v>4499.9999999999982</v>
      </c>
      <c r="AZ5" s="346">
        <f>+$BL$5*AZ3</f>
        <v>406.00045111161234</v>
      </c>
      <c r="BA5" s="346">
        <f t="shared" ref="BA5:BK5" si="13">+$BL$5*BA3</f>
        <v>412.00045777828643</v>
      </c>
      <c r="BB5" s="346">
        <f t="shared" si="13"/>
        <v>428.00047555608393</v>
      </c>
      <c r="BC5" s="346">
        <f t="shared" si="13"/>
        <v>448.66716518573912</v>
      </c>
      <c r="BD5" s="346">
        <f t="shared" si="13"/>
        <v>468.00052000057775</v>
      </c>
      <c r="BE5" s="346">
        <f t="shared" si="13"/>
        <v>482.66053628948453</v>
      </c>
      <c r="BF5" s="346">
        <f t="shared" si="13"/>
        <v>508.00056444507163</v>
      </c>
      <c r="BG5" s="346">
        <f t="shared" si="13"/>
        <v>547.33394148215723</v>
      </c>
      <c r="BH5" s="346">
        <f t="shared" si="13"/>
        <v>554.00061555623938</v>
      </c>
      <c r="BI5" s="346">
        <f t="shared" si="13"/>
        <v>569.33396592662882</v>
      </c>
      <c r="BJ5" s="346">
        <f t="shared" si="13"/>
        <v>574.66730518589463</v>
      </c>
      <c r="BK5" s="346">
        <f t="shared" si="13"/>
        <v>601.33400148222393</v>
      </c>
      <c r="BL5" s="343">
        <f>+'Income Statement'!H41</f>
        <v>6000</v>
      </c>
      <c r="BM5" s="346">
        <f>+$BY$5*BM3</f>
        <v>609.66666666666663</v>
      </c>
      <c r="BN5" s="346">
        <f t="shared" ref="BN5:BX5" si="14">+$BY$5*BN3</f>
        <v>612.44065000000001</v>
      </c>
      <c r="BO5" s="346">
        <f t="shared" si="14"/>
        <v>615.22725495750001</v>
      </c>
      <c r="BP5" s="346">
        <f t="shared" si="14"/>
        <v>618.02653896755669</v>
      </c>
      <c r="BQ5" s="346">
        <f t="shared" si="14"/>
        <v>620.83855971985918</v>
      </c>
      <c r="BR5" s="346">
        <f t="shared" si="14"/>
        <v>623.6633751665845</v>
      </c>
      <c r="BS5" s="346">
        <f t="shared" si="14"/>
        <v>626.50104352359256</v>
      </c>
      <c r="BT5" s="346">
        <f t="shared" si="14"/>
        <v>629.35162327162493</v>
      </c>
      <c r="BU5" s="346">
        <f t="shared" si="14"/>
        <v>632.21517315751089</v>
      </c>
      <c r="BV5" s="346">
        <f t="shared" si="14"/>
        <v>635.09175219537769</v>
      </c>
      <c r="BW5" s="346">
        <f t="shared" si="14"/>
        <v>637.31475300119996</v>
      </c>
      <c r="BX5" s="346">
        <f t="shared" si="14"/>
        <v>639.54786846068885</v>
      </c>
      <c r="BY5" s="343">
        <f>+'Income Statement'!I41</f>
        <v>7500</v>
      </c>
    </row>
    <row r="6" spans="1:78" s="292" customFormat="1">
      <c r="A6" s="286" t="s">
        <v>399</v>
      </c>
      <c r="B6" s="287"/>
      <c r="C6" s="287" t="s">
        <v>215</v>
      </c>
      <c r="D6" s="287" t="s">
        <v>278</v>
      </c>
      <c r="E6" s="287" t="s">
        <v>401</v>
      </c>
      <c r="F6" s="287"/>
      <c r="G6" s="287"/>
      <c r="H6" s="338"/>
      <c r="I6" s="287"/>
      <c r="J6" s="338">
        <f t="shared" si="4"/>
        <v>147844.00969956382</v>
      </c>
      <c r="K6" s="288" t="s">
        <v>402</v>
      </c>
      <c r="L6" s="288"/>
      <c r="M6" s="287">
        <f t="shared" ref="M6:BX6" si="15">+SUM(M7:M12)</f>
        <v>0</v>
      </c>
      <c r="N6" s="287">
        <f t="shared" si="15"/>
        <v>0</v>
      </c>
      <c r="O6" s="287">
        <f t="shared" si="15"/>
        <v>0</v>
      </c>
      <c r="P6" s="287">
        <f t="shared" si="15"/>
        <v>0</v>
      </c>
      <c r="Q6" s="287">
        <f t="shared" si="15"/>
        <v>0</v>
      </c>
      <c r="R6" s="287">
        <f t="shared" si="15"/>
        <v>0</v>
      </c>
      <c r="S6" s="287">
        <f t="shared" si="15"/>
        <v>0</v>
      </c>
      <c r="T6" s="287">
        <f t="shared" si="15"/>
        <v>0</v>
      </c>
      <c r="U6" s="287">
        <f t="shared" si="15"/>
        <v>0</v>
      </c>
      <c r="V6" s="287">
        <f t="shared" si="15"/>
        <v>0</v>
      </c>
      <c r="W6" s="287">
        <f t="shared" si="15"/>
        <v>0</v>
      </c>
      <c r="X6" s="289">
        <f t="shared" si="15"/>
        <v>0</v>
      </c>
      <c r="Y6" s="290">
        <f>+'Income Statement'!E42+'Income Statement'!E43</f>
        <v>165.39732286150689</v>
      </c>
      <c r="Z6" s="291">
        <f t="shared" si="15"/>
        <v>0</v>
      </c>
      <c r="AA6" s="287">
        <f t="shared" si="15"/>
        <v>0</v>
      </c>
      <c r="AB6" s="287">
        <f t="shared" si="15"/>
        <v>0</v>
      </c>
      <c r="AC6" s="287">
        <f t="shared" si="15"/>
        <v>0</v>
      </c>
      <c r="AD6" s="287">
        <f t="shared" si="15"/>
        <v>0</v>
      </c>
      <c r="AE6" s="287">
        <f t="shared" si="15"/>
        <v>0</v>
      </c>
      <c r="AF6" s="287">
        <f t="shared" si="15"/>
        <v>0</v>
      </c>
      <c r="AG6" s="287">
        <f t="shared" si="15"/>
        <v>0</v>
      </c>
      <c r="AH6" s="287">
        <f t="shared" si="15"/>
        <v>0</v>
      </c>
      <c r="AI6" s="287">
        <f t="shared" si="15"/>
        <v>0</v>
      </c>
      <c r="AJ6" s="287">
        <f t="shared" si="15"/>
        <v>0</v>
      </c>
      <c r="AK6" s="287">
        <f t="shared" si="15"/>
        <v>0</v>
      </c>
      <c r="AL6" s="290">
        <f>+'Income Statement'!F42+'Income Statement'!F43</f>
        <v>21096.944625243188</v>
      </c>
      <c r="AM6" s="287">
        <f t="shared" si="15"/>
        <v>0</v>
      </c>
      <c r="AN6" s="287">
        <f t="shared" si="15"/>
        <v>0</v>
      </c>
      <c r="AO6" s="287">
        <f t="shared" si="15"/>
        <v>0</v>
      </c>
      <c r="AP6" s="287">
        <f t="shared" si="15"/>
        <v>0</v>
      </c>
      <c r="AQ6" s="287">
        <f t="shared" si="15"/>
        <v>0</v>
      </c>
      <c r="AR6" s="287">
        <f t="shared" si="15"/>
        <v>0</v>
      </c>
      <c r="AS6" s="287">
        <f t="shared" si="15"/>
        <v>0</v>
      </c>
      <c r="AT6" s="287">
        <f t="shared" si="15"/>
        <v>0</v>
      </c>
      <c r="AU6" s="287">
        <f t="shared" si="15"/>
        <v>0</v>
      </c>
      <c r="AV6" s="287">
        <f t="shared" si="15"/>
        <v>0</v>
      </c>
      <c r="AW6" s="287">
        <f t="shared" si="15"/>
        <v>0</v>
      </c>
      <c r="AX6" s="287">
        <f t="shared" si="15"/>
        <v>0</v>
      </c>
      <c r="AY6" s="290">
        <f>+'Income Statement'!G42+'Income Statement'!G43</f>
        <v>31645.416937864775</v>
      </c>
      <c r="AZ6" s="287">
        <f t="shared" si="15"/>
        <v>0</v>
      </c>
      <c r="BA6" s="287">
        <f t="shared" si="15"/>
        <v>0</v>
      </c>
      <c r="BB6" s="287">
        <f t="shared" si="15"/>
        <v>0</v>
      </c>
      <c r="BC6" s="287">
        <f t="shared" si="15"/>
        <v>0</v>
      </c>
      <c r="BD6" s="287">
        <f t="shared" si="15"/>
        <v>0</v>
      </c>
      <c r="BE6" s="287">
        <f t="shared" si="15"/>
        <v>0</v>
      </c>
      <c r="BF6" s="287">
        <f t="shared" si="15"/>
        <v>0</v>
      </c>
      <c r="BG6" s="287">
        <f t="shared" si="15"/>
        <v>0</v>
      </c>
      <c r="BH6" s="287">
        <f t="shared" si="15"/>
        <v>0</v>
      </c>
      <c r="BI6" s="287">
        <f t="shared" si="15"/>
        <v>0</v>
      </c>
      <c r="BJ6" s="287">
        <f t="shared" si="15"/>
        <v>0</v>
      </c>
      <c r="BK6" s="287">
        <f t="shared" si="15"/>
        <v>0</v>
      </c>
      <c r="BL6" s="290">
        <f>+'Income Statement'!H42+'Income Statement'!H43</f>
        <v>42193.889250486376</v>
      </c>
      <c r="BM6" s="287">
        <f t="shared" si="15"/>
        <v>0</v>
      </c>
      <c r="BN6" s="287">
        <f t="shared" si="15"/>
        <v>0</v>
      </c>
      <c r="BO6" s="287">
        <f t="shared" si="15"/>
        <v>0</v>
      </c>
      <c r="BP6" s="287">
        <f t="shared" si="15"/>
        <v>0</v>
      </c>
      <c r="BQ6" s="287">
        <f t="shared" si="15"/>
        <v>0</v>
      </c>
      <c r="BR6" s="287">
        <f t="shared" si="15"/>
        <v>0</v>
      </c>
      <c r="BS6" s="287">
        <f t="shared" si="15"/>
        <v>0</v>
      </c>
      <c r="BT6" s="287">
        <f t="shared" si="15"/>
        <v>0</v>
      </c>
      <c r="BU6" s="287">
        <f t="shared" si="15"/>
        <v>0</v>
      </c>
      <c r="BV6" s="287">
        <f t="shared" si="15"/>
        <v>0</v>
      </c>
      <c r="BW6" s="287">
        <f t="shared" si="15"/>
        <v>0</v>
      </c>
      <c r="BX6" s="287">
        <f t="shared" si="15"/>
        <v>0</v>
      </c>
      <c r="BY6" s="290">
        <f>+'Income Statement'!I42+'Income Statement'!I43</f>
        <v>52742.361563107974</v>
      </c>
    </row>
    <row r="7" spans="1:78" s="292" customFormat="1">
      <c r="A7" s="286" t="s">
        <v>399</v>
      </c>
      <c r="B7" s="287"/>
      <c r="C7" s="287"/>
      <c r="D7" s="287" t="s">
        <v>278</v>
      </c>
      <c r="E7" s="287" t="s">
        <v>403</v>
      </c>
      <c r="F7" s="287" t="s">
        <v>404</v>
      </c>
      <c r="G7" s="287"/>
      <c r="H7" s="287">
        <v>1.48</v>
      </c>
      <c r="I7" s="287" t="s">
        <v>405</v>
      </c>
      <c r="J7" s="288">
        <f t="shared" si="4"/>
        <v>0</v>
      </c>
      <c r="K7" s="288" t="s">
        <v>402</v>
      </c>
      <c r="L7" s="288"/>
      <c r="M7" s="287">
        <f>+M4*H7</f>
        <v>0</v>
      </c>
      <c r="N7" s="287"/>
      <c r="O7" s="287"/>
      <c r="P7" s="287"/>
      <c r="Q7" s="287"/>
      <c r="R7" s="287"/>
      <c r="S7" s="287"/>
      <c r="T7" s="287"/>
      <c r="U7" s="287"/>
      <c r="V7" s="287"/>
      <c r="W7" s="287"/>
      <c r="X7" s="289"/>
      <c r="Y7" s="290"/>
      <c r="Z7" s="291"/>
      <c r="AA7" s="287"/>
      <c r="AB7" s="287"/>
      <c r="AC7" s="287"/>
      <c r="AD7" s="287"/>
      <c r="AE7" s="287"/>
      <c r="AF7" s="287"/>
      <c r="AG7" s="287"/>
      <c r="AH7" s="287"/>
      <c r="AI7" s="287"/>
      <c r="AJ7" s="287"/>
      <c r="AK7" s="287"/>
      <c r="AL7" s="290"/>
      <c r="AM7" s="287"/>
      <c r="AN7" s="287"/>
      <c r="AO7" s="287"/>
      <c r="AP7" s="287"/>
      <c r="AQ7" s="287"/>
      <c r="AR7" s="287"/>
      <c r="AS7" s="287"/>
      <c r="AT7" s="287"/>
      <c r="AU7" s="287"/>
      <c r="AV7" s="287"/>
      <c r="AW7" s="287"/>
      <c r="AX7" s="287"/>
      <c r="AY7" s="290"/>
      <c r="AZ7" s="287"/>
      <c r="BA7" s="287"/>
      <c r="BB7" s="287"/>
      <c r="BC7" s="287"/>
      <c r="BD7" s="287"/>
      <c r="BE7" s="287"/>
      <c r="BF7" s="287"/>
      <c r="BG7" s="287"/>
      <c r="BH7" s="287"/>
      <c r="BI7" s="287"/>
      <c r="BJ7" s="287"/>
      <c r="BK7" s="287"/>
      <c r="BL7" s="290"/>
      <c r="BM7" s="287"/>
      <c r="BN7" s="287"/>
      <c r="BO7" s="287"/>
      <c r="BP7" s="287"/>
      <c r="BQ7" s="287"/>
      <c r="BR7" s="287"/>
      <c r="BS7" s="287"/>
      <c r="BT7" s="287"/>
      <c r="BU7" s="287"/>
      <c r="BV7" s="287"/>
      <c r="BW7" s="287"/>
      <c r="BX7" s="287"/>
      <c r="BY7" s="290"/>
    </row>
    <row r="8" spans="1:78" s="292" customFormat="1">
      <c r="A8" s="286" t="s">
        <v>399</v>
      </c>
      <c r="B8" s="287"/>
      <c r="C8" s="287"/>
      <c r="D8" s="287" t="s">
        <v>278</v>
      </c>
      <c r="E8" s="287" t="s">
        <v>403</v>
      </c>
      <c r="F8" s="287" t="s">
        <v>406</v>
      </c>
      <c r="G8" s="287"/>
      <c r="H8" s="293"/>
      <c r="I8" s="287"/>
      <c r="J8" s="288">
        <f t="shared" si="4"/>
        <v>0</v>
      </c>
      <c r="K8" s="288" t="s">
        <v>402</v>
      </c>
      <c r="L8" s="288"/>
      <c r="M8" s="287"/>
      <c r="N8" s="287"/>
      <c r="O8" s="287"/>
      <c r="P8" s="287"/>
      <c r="Q8" s="287"/>
      <c r="R8" s="287"/>
      <c r="S8" s="287"/>
      <c r="T8" s="287"/>
      <c r="U8" s="287"/>
      <c r="V8" s="287"/>
      <c r="W8" s="287"/>
      <c r="X8" s="289"/>
      <c r="Y8" s="290"/>
      <c r="Z8" s="291"/>
      <c r="AA8" s="287"/>
      <c r="AB8" s="287"/>
      <c r="AC8" s="287"/>
      <c r="AD8" s="287"/>
      <c r="AE8" s="287"/>
      <c r="AF8" s="287"/>
      <c r="AG8" s="287"/>
      <c r="AH8" s="287"/>
      <c r="AI8" s="287"/>
      <c r="AJ8" s="287"/>
      <c r="AK8" s="287"/>
      <c r="AL8" s="290"/>
      <c r="AM8" s="287"/>
      <c r="AN8" s="287"/>
      <c r="AO8" s="287"/>
      <c r="AP8" s="287"/>
      <c r="AQ8" s="287"/>
      <c r="AR8" s="287"/>
      <c r="AS8" s="287"/>
      <c r="AT8" s="287"/>
      <c r="AU8" s="287"/>
      <c r="AV8" s="287"/>
      <c r="AW8" s="287"/>
      <c r="AX8" s="287"/>
      <c r="AY8" s="290"/>
      <c r="AZ8" s="287"/>
      <c r="BA8" s="287"/>
      <c r="BB8" s="287"/>
      <c r="BC8" s="287"/>
      <c r="BD8" s="287"/>
      <c r="BE8" s="287"/>
      <c r="BF8" s="287"/>
      <c r="BG8" s="287"/>
      <c r="BH8" s="287"/>
      <c r="BI8" s="287"/>
      <c r="BJ8" s="287"/>
      <c r="BK8" s="287"/>
      <c r="BL8" s="290"/>
      <c r="BM8" s="287"/>
      <c r="BN8" s="287"/>
      <c r="BO8" s="287"/>
      <c r="BP8" s="287"/>
      <c r="BQ8" s="287"/>
      <c r="BR8" s="287"/>
      <c r="BS8" s="287"/>
      <c r="BT8" s="287"/>
      <c r="BU8" s="287"/>
      <c r="BV8" s="287"/>
      <c r="BW8" s="287"/>
      <c r="BX8" s="287"/>
      <c r="BY8" s="290"/>
    </row>
    <row r="9" spans="1:78" s="292" customFormat="1">
      <c r="A9" s="286" t="s">
        <v>399</v>
      </c>
      <c r="B9" s="287"/>
      <c r="C9" s="287"/>
      <c r="D9" s="287" t="s">
        <v>278</v>
      </c>
      <c r="E9" s="287" t="s">
        <v>403</v>
      </c>
      <c r="F9" s="287" t="s">
        <v>407</v>
      </c>
      <c r="G9" s="287"/>
      <c r="H9" s="287">
        <v>0.02</v>
      </c>
      <c r="I9" s="287" t="s">
        <v>398</v>
      </c>
      <c r="J9" s="288">
        <f t="shared" si="4"/>
        <v>0</v>
      </c>
      <c r="K9" s="288" t="s">
        <v>402</v>
      </c>
      <c r="L9" s="288"/>
      <c r="M9" s="287"/>
      <c r="N9" s="287"/>
      <c r="O9" s="287"/>
      <c r="P9" s="287"/>
      <c r="Q9" s="287"/>
      <c r="R9" s="287"/>
      <c r="S9" s="287"/>
      <c r="T9" s="287"/>
      <c r="U9" s="287"/>
      <c r="V9" s="287"/>
      <c r="W9" s="287"/>
      <c r="X9" s="289"/>
      <c r="Y9" s="290"/>
      <c r="Z9" s="291"/>
      <c r="AA9" s="287"/>
      <c r="AB9" s="287"/>
      <c r="AC9" s="287"/>
      <c r="AD9" s="287"/>
      <c r="AE9" s="287"/>
      <c r="AF9" s="287"/>
      <c r="AG9" s="287"/>
      <c r="AH9" s="287"/>
      <c r="AI9" s="287"/>
      <c r="AJ9" s="287"/>
      <c r="AK9" s="287"/>
      <c r="AL9" s="290"/>
      <c r="AM9" s="287"/>
      <c r="AN9" s="287"/>
      <c r="AO9" s="287"/>
      <c r="AP9" s="287"/>
      <c r="AQ9" s="287"/>
      <c r="AR9" s="287"/>
      <c r="AS9" s="287"/>
      <c r="AT9" s="287"/>
      <c r="AU9" s="287"/>
      <c r="AV9" s="287"/>
      <c r="AW9" s="287"/>
      <c r="AX9" s="287"/>
      <c r="AY9" s="290"/>
      <c r="AZ9" s="287"/>
      <c r="BA9" s="287"/>
      <c r="BB9" s="287"/>
      <c r="BC9" s="287"/>
      <c r="BD9" s="287"/>
      <c r="BE9" s="287"/>
      <c r="BF9" s="287"/>
      <c r="BG9" s="287"/>
      <c r="BH9" s="287"/>
      <c r="BI9" s="287"/>
      <c r="BJ9" s="287"/>
      <c r="BK9" s="287"/>
      <c r="BL9" s="290"/>
      <c r="BM9" s="287"/>
      <c r="BN9" s="287"/>
      <c r="BO9" s="287"/>
      <c r="BP9" s="287"/>
      <c r="BQ9" s="287"/>
      <c r="BR9" s="287"/>
      <c r="BS9" s="287"/>
      <c r="BT9" s="287"/>
      <c r="BU9" s="287"/>
      <c r="BV9" s="287"/>
      <c r="BW9" s="287"/>
      <c r="BX9" s="287"/>
      <c r="BY9" s="290"/>
    </row>
    <row r="10" spans="1:78" s="292" customFormat="1">
      <c r="A10" s="286" t="s">
        <v>399</v>
      </c>
      <c r="B10" s="287"/>
      <c r="C10" s="287"/>
      <c r="D10" s="287" t="s">
        <v>278</v>
      </c>
      <c r="E10" s="287" t="s">
        <v>403</v>
      </c>
      <c r="F10" s="287" t="s">
        <v>408</v>
      </c>
      <c r="G10" s="287" t="s">
        <v>409</v>
      </c>
      <c r="H10" s="287">
        <v>0.9</v>
      </c>
      <c r="I10" s="287" t="s">
        <v>398</v>
      </c>
      <c r="J10" s="288">
        <f t="shared" si="4"/>
        <v>0</v>
      </c>
      <c r="K10" s="288" t="s">
        <v>402</v>
      </c>
      <c r="L10" s="288"/>
      <c r="M10" s="287"/>
      <c r="N10" s="287"/>
      <c r="O10" s="287"/>
      <c r="P10" s="287"/>
      <c r="Q10" s="287"/>
      <c r="R10" s="287"/>
      <c r="S10" s="287"/>
      <c r="T10" s="287"/>
      <c r="U10" s="287"/>
      <c r="V10" s="287"/>
      <c r="W10" s="287"/>
      <c r="X10" s="289"/>
      <c r="Y10" s="290"/>
      <c r="Z10" s="291"/>
      <c r="AA10" s="287"/>
      <c r="AB10" s="287"/>
      <c r="AC10" s="287"/>
      <c r="AD10" s="287"/>
      <c r="AE10" s="287"/>
      <c r="AF10" s="287"/>
      <c r="AG10" s="287"/>
      <c r="AH10" s="287"/>
      <c r="AI10" s="287"/>
      <c r="AJ10" s="287"/>
      <c r="AK10" s="287"/>
      <c r="AL10" s="290"/>
      <c r="AM10" s="287"/>
      <c r="AN10" s="287"/>
      <c r="AO10" s="287"/>
      <c r="AP10" s="287"/>
      <c r="AQ10" s="287"/>
      <c r="AR10" s="287"/>
      <c r="AS10" s="287"/>
      <c r="AT10" s="287"/>
      <c r="AU10" s="287"/>
      <c r="AV10" s="287"/>
      <c r="AW10" s="287"/>
      <c r="AX10" s="287"/>
      <c r="AY10" s="290"/>
      <c r="AZ10" s="287"/>
      <c r="BA10" s="287"/>
      <c r="BB10" s="287"/>
      <c r="BC10" s="287"/>
      <c r="BD10" s="287"/>
      <c r="BE10" s="287"/>
      <c r="BF10" s="287"/>
      <c r="BG10" s="287"/>
      <c r="BH10" s="287"/>
      <c r="BI10" s="287"/>
      <c r="BJ10" s="287"/>
      <c r="BK10" s="287"/>
      <c r="BL10" s="290"/>
      <c r="BM10" s="287"/>
      <c r="BN10" s="287"/>
      <c r="BO10" s="287"/>
      <c r="BP10" s="287"/>
      <c r="BQ10" s="287"/>
      <c r="BR10" s="287"/>
      <c r="BS10" s="287"/>
      <c r="BT10" s="287"/>
      <c r="BU10" s="287"/>
      <c r="BV10" s="287"/>
      <c r="BW10" s="287"/>
      <c r="BX10" s="287"/>
      <c r="BY10" s="290"/>
    </row>
    <row r="11" spans="1:78" s="292" customFormat="1">
      <c r="A11" s="286" t="s">
        <v>399</v>
      </c>
      <c r="B11" s="287"/>
      <c r="C11" s="287"/>
      <c r="D11" s="287" t="s">
        <v>278</v>
      </c>
      <c r="E11" s="287" t="s">
        <v>403</v>
      </c>
      <c r="F11" s="287" t="s">
        <v>410</v>
      </c>
      <c r="G11" s="287" t="s">
        <v>411</v>
      </c>
      <c r="H11" s="287">
        <v>0.2</v>
      </c>
      <c r="I11" s="287" t="s">
        <v>398</v>
      </c>
      <c r="J11" s="288">
        <f t="shared" si="4"/>
        <v>0</v>
      </c>
      <c r="K11" s="288" t="s">
        <v>402</v>
      </c>
      <c r="L11" s="288"/>
      <c r="M11" s="287"/>
      <c r="N11" s="287"/>
      <c r="O11" s="287"/>
      <c r="P11" s="287"/>
      <c r="Q11" s="287"/>
      <c r="R11" s="287"/>
      <c r="S11" s="287"/>
      <c r="T11" s="287"/>
      <c r="U11" s="287"/>
      <c r="V11" s="287"/>
      <c r="W11" s="287"/>
      <c r="X11" s="289"/>
      <c r="Y11" s="290"/>
      <c r="Z11" s="291"/>
      <c r="AA11" s="287"/>
      <c r="AB11" s="287"/>
      <c r="AC11" s="287"/>
      <c r="AD11" s="287"/>
      <c r="AE11" s="287"/>
      <c r="AF11" s="287"/>
      <c r="AG11" s="287"/>
      <c r="AH11" s="287"/>
      <c r="AI11" s="287"/>
      <c r="AJ11" s="287"/>
      <c r="AK11" s="287"/>
      <c r="AL11" s="290"/>
      <c r="AM11" s="287"/>
      <c r="AN11" s="287"/>
      <c r="AO11" s="287"/>
      <c r="AP11" s="287"/>
      <c r="AQ11" s="287"/>
      <c r="AR11" s="287"/>
      <c r="AS11" s="287"/>
      <c r="AT11" s="287"/>
      <c r="AU11" s="287"/>
      <c r="AV11" s="287"/>
      <c r="AW11" s="287"/>
      <c r="AX11" s="287"/>
      <c r="AY11" s="290"/>
      <c r="AZ11" s="287"/>
      <c r="BA11" s="287"/>
      <c r="BB11" s="287"/>
      <c r="BC11" s="287"/>
      <c r="BD11" s="287"/>
      <c r="BE11" s="287"/>
      <c r="BF11" s="287"/>
      <c r="BG11" s="287"/>
      <c r="BH11" s="287"/>
      <c r="BI11" s="287"/>
      <c r="BJ11" s="287"/>
      <c r="BK11" s="287"/>
      <c r="BL11" s="290"/>
      <c r="BM11" s="287"/>
      <c r="BN11" s="287"/>
      <c r="BO11" s="287"/>
      <c r="BP11" s="287"/>
      <c r="BQ11" s="287"/>
      <c r="BR11" s="287"/>
      <c r="BS11" s="287"/>
      <c r="BT11" s="287"/>
      <c r="BU11" s="287"/>
      <c r="BV11" s="287"/>
      <c r="BW11" s="287"/>
      <c r="BX11" s="287"/>
      <c r="BY11" s="290"/>
    </row>
    <row r="12" spans="1:78" s="292" customFormat="1">
      <c r="A12" s="286" t="s">
        <v>399</v>
      </c>
      <c r="B12" s="287"/>
      <c r="C12" s="287"/>
      <c r="D12" s="287" t="s">
        <v>278</v>
      </c>
      <c r="E12" s="287" t="s">
        <v>403</v>
      </c>
      <c r="F12" s="287" t="s">
        <v>490</v>
      </c>
      <c r="G12" s="287"/>
      <c r="H12" s="293"/>
      <c r="I12" s="287"/>
      <c r="J12" s="288">
        <f t="shared" si="4"/>
        <v>0</v>
      </c>
      <c r="K12" s="288" t="s">
        <v>402</v>
      </c>
      <c r="L12" s="288"/>
      <c r="M12" s="287"/>
      <c r="N12" s="287"/>
      <c r="O12" s="287"/>
      <c r="P12" s="287"/>
      <c r="Q12" s="287"/>
      <c r="R12" s="287"/>
      <c r="S12" s="287"/>
      <c r="T12" s="287"/>
      <c r="U12" s="287"/>
      <c r="V12" s="287"/>
      <c r="W12" s="287"/>
      <c r="X12" s="289"/>
      <c r="Y12" s="290"/>
      <c r="Z12" s="291"/>
      <c r="AA12" s="287"/>
      <c r="AB12" s="287"/>
      <c r="AC12" s="287"/>
      <c r="AD12" s="287"/>
      <c r="AE12" s="287"/>
      <c r="AF12" s="287"/>
      <c r="AG12" s="287"/>
      <c r="AH12" s="287"/>
      <c r="AI12" s="287"/>
      <c r="AJ12" s="287"/>
      <c r="AK12" s="287"/>
      <c r="AL12" s="290"/>
      <c r="AM12" s="287"/>
      <c r="AN12" s="287"/>
      <c r="AO12" s="287"/>
      <c r="AP12" s="287"/>
      <c r="AQ12" s="287"/>
      <c r="AR12" s="287"/>
      <c r="AS12" s="287"/>
      <c r="AT12" s="287"/>
      <c r="AU12" s="287"/>
      <c r="AV12" s="287"/>
      <c r="AW12" s="287"/>
      <c r="AX12" s="287"/>
      <c r="AY12" s="290"/>
      <c r="AZ12" s="287"/>
      <c r="BA12" s="287"/>
      <c r="BB12" s="287"/>
      <c r="BC12" s="287"/>
      <c r="BD12" s="287"/>
      <c r="BE12" s="287"/>
      <c r="BF12" s="287"/>
      <c r="BG12" s="287"/>
      <c r="BH12" s="287"/>
      <c r="BI12" s="287"/>
      <c r="BJ12" s="287"/>
      <c r="BK12" s="287"/>
      <c r="BL12" s="290"/>
      <c r="BM12" s="287"/>
      <c r="BN12" s="287"/>
      <c r="BO12" s="287"/>
      <c r="BP12" s="287"/>
      <c r="BQ12" s="287"/>
      <c r="BR12" s="287"/>
      <c r="BS12" s="287"/>
      <c r="BT12" s="287"/>
      <c r="BU12" s="287"/>
      <c r="BV12" s="287"/>
      <c r="BW12" s="287"/>
      <c r="BX12" s="287"/>
      <c r="BY12" s="290"/>
    </row>
    <row r="13" spans="1:78" s="292" customFormat="1">
      <c r="A13" s="286" t="s">
        <v>399</v>
      </c>
      <c r="B13" s="287"/>
      <c r="C13" s="293" t="s">
        <v>215</v>
      </c>
      <c r="D13" s="293" t="s">
        <v>425</v>
      </c>
      <c r="E13" s="293" t="s">
        <v>497</v>
      </c>
      <c r="F13" s="293"/>
      <c r="G13" s="287"/>
      <c r="H13" s="338"/>
      <c r="I13" s="287"/>
      <c r="J13" s="338">
        <f t="shared" si="4"/>
        <v>0</v>
      </c>
      <c r="K13" s="288"/>
      <c r="L13" s="354"/>
      <c r="M13" s="293"/>
      <c r="N13" s="293"/>
      <c r="O13" s="293"/>
      <c r="P13" s="293"/>
      <c r="Q13" s="293"/>
      <c r="R13" s="293"/>
      <c r="S13" s="293"/>
      <c r="T13" s="293"/>
      <c r="U13" s="293"/>
      <c r="V13" s="293"/>
      <c r="W13" s="293"/>
      <c r="X13" s="355"/>
      <c r="Y13" s="356"/>
      <c r="Z13" s="357"/>
      <c r="AA13" s="293"/>
      <c r="AB13" s="293"/>
      <c r="AC13" s="293"/>
      <c r="AD13" s="293"/>
      <c r="AE13" s="293"/>
      <c r="AF13" s="293"/>
      <c r="AG13" s="293"/>
      <c r="AH13" s="293"/>
      <c r="AI13" s="293"/>
      <c r="AJ13" s="293"/>
      <c r="AK13" s="293"/>
      <c r="AL13" s="356"/>
      <c r="AM13" s="293"/>
      <c r="AN13" s="293"/>
      <c r="AO13" s="293"/>
      <c r="AP13" s="293"/>
      <c r="AQ13" s="293"/>
      <c r="AR13" s="293"/>
      <c r="AS13" s="293"/>
      <c r="AT13" s="293"/>
      <c r="AU13" s="293"/>
      <c r="AV13" s="293"/>
      <c r="AW13" s="293"/>
      <c r="AX13" s="293"/>
      <c r="AY13" s="356"/>
      <c r="AZ13" s="293"/>
      <c r="BA13" s="293"/>
      <c r="BB13" s="293"/>
      <c r="BC13" s="293"/>
      <c r="BD13" s="293"/>
      <c r="BE13" s="293"/>
      <c r="BF13" s="293"/>
      <c r="BG13" s="293"/>
      <c r="BH13" s="293"/>
      <c r="BI13" s="293"/>
      <c r="BJ13" s="293"/>
      <c r="BK13" s="293"/>
      <c r="BL13" s="356"/>
      <c r="BM13" s="293"/>
      <c r="BN13" s="293"/>
      <c r="BO13" s="293"/>
      <c r="BP13" s="293"/>
      <c r="BQ13" s="293"/>
      <c r="BR13" s="293"/>
      <c r="BS13" s="293"/>
      <c r="BT13" s="293"/>
      <c r="BU13" s="293"/>
      <c r="BV13" s="293"/>
      <c r="BW13" s="293"/>
      <c r="BX13" s="293"/>
      <c r="BY13" s="356"/>
    </row>
    <row r="14" spans="1:78" s="292" customFormat="1">
      <c r="A14" s="286" t="s">
        <v>399</v>
      </c>
      <c r="B14" s="287"/>
      <c r="C14" s="287" t="s">
        <v>415</v>
      </c>
      <c r="D14" s="287" t="s">
        <v>425</v>
      </c>
      <c r="E14" s="287" t="s">
        <v>426</v>
      </c>
      <c r="F14" s="287"/>
      <c r="G14" s="287"/>
      <c r="H14" s="287" t="s">
        <v>413</v>
      </c>
      <c r="I14" s="287"/>
      <c r="J14" s="288">
        <f t="shared" si="4"/>
        <v>0</v>
      </c>
      <c r="K14" s="288" t="s">
        <v>402</v>
      </c>
      <c r="L14" s="288"/>
      <c r="M14" s="287"/>
      <c r="N14" s="287"/>
      <c r="O14" s="287"/>
      <c r="P14" s="287"/>
      <c r="Q14" s="287"/>
      <c r="R14" s="287"/>
      <c r="S14" s="287"/>
      <c r="T14" s="287"/>
      <c r="U14" s="287"/>
      <c r="V14" s="287"/>
      <c r="W14" s="287"/>
      <c r="X14" s="289"/>
      <c r="Y14" s="290"/>
      <c r="Z14" s="291"/>
      <c r="AA14" s="287"/>
      <c r="AB14" s="287"/>
      <c r="AC14" s="287"/>
      <c r="AD14" s="287"/>
      <c r="AE14" s="287"/>
      <c r="AF14" s="287"/>
      <c r="AG14" s="287"/>
      <c r="AH14" s="287"/>
      <c r="AI14" s="287"/>
      <c r="AJ14" s="287"/>
      <c r="AK14" s="287"/>
      <c r="AL14" s="290"/>
      <c r="AM14" s="287"/>
      <c r="AN14" s="287"/>
      <c r="AO14" s="287"/>
      <c r="AP14" s="287"/>
      <c r="AQ14" s="287"/>
      <c r="AR14" s="287"/>
      <c r="AS14" s="287"/>
      <c r="AT14" s="287"/>
      <c r="AU14" s="287"/>
      <c r="AV14" s="287"/>
      <c r="AW14" s="287"/>
      <c r="AX14" s="287"/>
      <c r="AY14" s="290"/>
      <c r="AZ14" s="287"/>
      <c r="BA14" s="287"/>
      <c r="BB14" s="287"/>
      <c r="BC14" s="287"/>
      <c r="BD14" s="287"/>
      <c r="BE14" s="287"/>
      <c r="BF14" s="287"/>
      <c r="BG14" s="287"/>
      <c r="BH14" s="287"/>
      <c r="BI14" s="287"/>
      <c r="BJ14" s="287"/>
      <c r="BK14" s="287"/>
      <c r="BL14" s="290"/>
      <c r="BM14" s="287"/>
      <c r="BN14" s="287"/>
      <c r="BO14" s="287"/>
      <c r="BP14" s="287"/>
      <c r="BQ14" s="287"/>
      <c r="BR14" s="287"/>
      <c r="BS14" s="287"/>
      <c r="BT14" s="287"/>
      <c r="BU14" s="287"/>
      <c r="BV14" s="287"/>
      <c r="BW14" s="287"/>
      <c r="BX14" s="287"/>
      <c r="BY14" s="290"/>
    </row>
    <row r="15" spans="1:78" s="292" customFormat="1">
      <c r="A15" s="286" t="s">
        <v>399</v>
      </c>
      <c r="B15" s="287"/>
      <c r="C15" s="287" t="s">
        <v>400</v>
      </c>
      <c r="D15" s="287" t="s">
        <v>425</v>
      </c>
      <c r="E15" s="287" t="s">
        <v>427</v>
      </c>
      <c r="F15" s="287"/>
      <c r="G15" s="287"/>
      <c r="H15" s="287" t="s">
        <v>413</v>
      </c>
      <c r="I15" s="287"/>
      <c r="J15" s="288">
        <f t="shared" si="4"/>
        <v>0</v>
      </c>
      <c r="K15" s="288" t="s">
        <v>402</v>
      </c>
      <c r="L15" s="288"/>
      <c r="M15" s="287"/>
      <c r="N15" s="287"/>
      <c r="O15" s="287"/>
      <c r="P15" s="287"/>
      <c r="Q15" s="287"/>
      <c r="R15" s="287"/>
      <c r="S15" s="287"/>
      <c r="T15" s="287"/>
      <c r="U15" s="287"/>
      <c r="V15" s="287"/>
      <c r="W15" s="287"/>
      <c r="X15" s="289"/>
      <c r="Y15" s="290"/>
      <c r="Z15" s="291"/>
      <c r="AA15" s="287"/>
      <c r="AB15" s="287"/>
      <c r="AC15" s="287"/>
      <c r="AD15" s="287"/>
      <c r="AE15" s="287"/>
      <c r="AF15" s="287"/>
      <c r="AG15" s="287"/>
      <c r="AH15" s="287"/>
      <c r="AI15" s="287"/>
      <c r="AJ15" s="287"/>
      <c r="AK15" s="287"/>
      <c r="AL15" s="290"/>
      <c r="AM15" s="287"/>
      <c r="AN15" s="287"/>
      <c r="AO15" s="287"/>
      <c r="AP15" s="287"/>
      <c r="AQ15" s="287"/>
      <c r="AR15" s="287"/>
      <c r="AS15" s="287"/>
      <c r="AT15" s="287"/>
      <c r="AU15" s="287"/>
      <c r="AV15" s="287"/>
      <c r="AW15" s="287"/>
      <c r="AX15" s="287"/>
      <c r="AY15" s="290"/>
      <c r="AZ15" s="287"/>
      <c r="BA15" s="287"/>
      <c r="BB15" s="287"/>
      <c r="BC15" s="287"/>
      <c r="BD15" s="287"/>
      <c r="BE15" s="287"/>
      <c r="BF15" s="287"/>
      <c r="BG15" s="287"/>
      <c r="BH15" s="287"/>
      <c r="BI15" s="287"/>
      <c r="BJ15" s="287"/>
      <c r="BK15" s="287"/>
      <c r="BL15" s="290"/>
      <c r="BM15" s="287"/>
      <c r="BN15" s="287"/>
      <c r="BO15" s="287"/>
      <c r="BP15" s="287"/>
      <c r="BQ15" s="287"/>
      <c r="BR15" s="287"/>
      <c r="BS15" s="287"/>
      <c r="BT15" s="287"/>
      <c r="BU15" s="287"/>
      <c r="BV15" s="287"/>
      <c r="BW15" s="287"/>
      <c r="BX15" s="287"/>
      <c r="BY15" s="290"/>
    </row>
    <row r="16" spans="1:78" s="292" customFormat="1">
      <c r="A16" s="286" t="s">
        <v>399</v>
      </c>
      <c r="B16" s="287"/>
      <c r="C16" s="287" t="s">
        <v>400</v>
      </c>
      <c r="D16" s="287" t="s">
        <v>425</v>
      </c>
      <c r="E16" s="287" t="s">
        <v>433</v>
      </c>
      <c r="F16" s="287"/>
      <c r="G16" s="287"/>
      <c r="H16" s="293"/>
      <c r="I16" s="287"/>
      <c r="J16" s="288">
        <f t="shared" si="4"/>
        <v>0</v>
      </c>
      <c r="K16" s="288" t="s">
        <v>402</v>
      </c>
      <c r="L16" s="288"/>
      <c r="M16" s="287"/>
      <c r="N16" s="287"/>
      <c r="O16" s="287"/>
      <c r="P16" s="287"/>
      <c r="Q16" s="287"/>
      <c r="R16" s="287"/>
      <c r="S16" s="287"/>
      <c r="T16" s="287"/>
      <c r="U16" s="287"/>
      <c r="V16" s="287"/>
      <c r="W16" s="287"/>
      <c r="X16" s="289"/>
      <c r="Y16" s="290"/>
      <c r="Z16" s="291"/>
      <c r="AA16" s="287"/>
      <c r="AB16" s="287"/>
      <c r="AC16" s="287"/>
      <c r="AD16" s="287"/>
      <c r="AE16" s="287"/>
      <c r="AF16" s="287"/>
      <c r="AG16" s="287"/>
      <c r="AH16" s="287"/>
      <c r="AI16" s="287"/>
      <c r="AJ16" s="287"/>
      <c r="AK16" s="287"/>
      <c r="AL16" s="290"/>
      <c r="AM16" s="287"/>
      <c r="AN16" s="287"/>
      <c r="AO16" s="287"/>
      <c r="AP16" s="287"/>
      <c r="AQ16" s="287"/>
      <c r="AR16" s="287"/>
      <c r="AS16" s="287"/>
      <c r="AT16" s="287"/>
      <c r="AU16" s="287"/>
      <c r="AV16" s="287"/>
      <c r="AW16" s="287"/>
      <c r="AX16" s="287"/>
      <c r="AY16" s="290"/>
      <c r="AZ16" s="287"/>
      <c r="BA16" s="287"/>
      <c r="BB16" s="287"/>
      <c r="BC16" s="287"/>
      <c r="BD16" s="287"/>
      <c r="BE16" s="287"/>
      <c r="BF16" s="287"/>
      <c r="BG16" s="287"/>
      <c r="BH16" s="287"/>
      <c r="BI16" s="287"/>
      <c r="BJ16" s="287"/>
      <c r="BK16" s="287"/>
      <c r="BL16" s="290"/>
      <c r="BM16" s="287"/>
      <c r="BN16" s="287"/>
      <c r="BO16" s="287"/>
      <c r="BP16" s="287"/>
      <c r="BQ16" s="287"/>
      <c r="BR16" s="287"/>
      <c r="BS16" s="287"/>
      <c r="BT16" s="287"/>
      <c r="BU16" s="287"/>
      <c r="BV16" s="287"/>
      <c r="BW16" s="287"/>
      <c r="BX16" s="287"/>
      <c r="BY16" s="290"/>
    </row>
    <row r="17" spans="1:77" s="292" customFormat="1">
      <c r="A17" s="286" t="s">
        <v>399</v>
      </c>
      <c r="B17" s="287"/>
      <c r="C17" s="287" t="s">
        <v>415</v>
      </c>
      <c r="D17" s="287" t="s">
        <v>425</v>
      </c>
      <c r="E17" s="287" t="s">
        <v>434</v>
      </c>
      <c r="F17" s="287"/>
      <c r="G17" s="287"/>
      <c r="H17" s="293">
        <v>280000</v>
      </c>
      <c r="I17" s="287"/>
      <c r="J17" s="288">
        <f t="shared" si="4"/>
        <v>0</v>
      </c>
      <c r="K17" s="288" t="s">
        <v>402</v>
      </c>
      <c r="L17" s="288"/>
      <c r="M17" s="287"/>
      <c r="N17" s="287"/>
      <c r="O17" s="287"/>
      <c r="P17" s="287"/>
      <c r="Q17" s="287">
        <v>280000</v>
      </c>
      <c r="R17" s="287"/>
      <c r="S17" s="287"/>
      <c r="T17" s="287"/>
      <c r="U17" s="287"/>
      <c r="V17" s="287"/>
      <c r="W17" s="287"/>
      <c r="X17" s="289"/>
      <c r="Y17" s="290"/>
      <c r="Z17" s="291"/>
      <c r="AA17" s="287"/>
      <c r="AB17" s="287"/>
      <c r="AC17" s="287"/>
      <c r="AD17" s="287"/>
      <c r="AE17" s="287"/>
      <c r="AF17" s="287"/>
      <c r="AG17" s="287"/>
      <c r="AH17" s="287"/>
      <c r="AI17" s="287"/>
      <c r="AJ17" s="287"/>
      <c r="AK17" s="287"/>
      <c r="AL17" s="290"/>
      <c r="AM17" s="287"/>
      <c r="AN17" s="287"/>
      <c r="AO17" s="287"/>
      <c r="AP17" s="287"/>
      <c r="AQ17" s="287"/>
      <c r="AR17" s="287"/>
      <c r="AS17" s="287"/>
      <c r="AT17" s="287"/>
      <c r="AU17" s="287"/>
      <c r="AV17" s="287"/>
      <c r="AW17" s="287"/>
      <c r="AX17" s="287"/>
      <c r="AY17" s="290"/>
      <c r="AZ17" s="287"/>
      <c r="BA17" s="287"/>
      <c r="BB17" s="287"/>
      <c r="BC17" s="287"/>
      <c r="BD17" s="287"/>
      <c r="BE17" s="287"/>
      <c r="BF17" s="287"/>
      <c r="BG17" s="287"/>
      <c r="BH17" s="287"/>
      <c r="BI17" s="287"/>
      <c r="BJ17" s="287"/>
      <c r="BK17" s="287"/>
      <c r="BL17" s="290"/>
      <c r="BM17" s="287"/>
      <c r="BN17" s="287"/>
      <c r="BO17" s="287"/>
      <c r="BP17" s="287"/>
      <c r="BQ17" s="287"/>
      <c r="BR17" s="287"/>
      <c r="BS17" s="287"/>
      <c r="BT17" s="287"/>
      <c r="BU17" s="287"/>
      <c r="BV17" s="287"/>
      <c r="BW17" s="287"/>
      <c r="BX17" s="287"/>
      <c r="BY17" s="290"/>
    </row>
    <row r="18" spans="1:77" s="292" customFormat="1">
      <c r="A18" s="286" t="s">
        <v>399</v>
      </c>
      <c r="B18" s="287"/>
      <c r="C18" s="287" t="s">
        <v>415</v>
      </c>
      <c r="D18" s="287" t="s">
        <v>425</v>
      </c>
      <c r="E18" s="287" t="s">
        <v>435</v>
      </c>
      <c r="F18" s="287"/>
      <c r="G18" s="287"/>
      <c r="H18" s="293"/>
      <c r="I18" s="287"/>
      <c r="J18" s="288">
        <f t="shared" si="4"/>
        <v>0</v>
      </c>
      <c r="K18" s="288" t="s">
        <v>402</v>
      </c>
      <c r="L18" s="288"/>
      <c r="M18" s="287"/>
      <c r="N18" s="287"/>
      <c r="O18" s="287"/>
      <c r="P18" s="287"/>
      <c r="Q18" s="287"/>
      <c r="R18" s="287"/>
      <c r="S18" s="287"/>
      <c r="T18" s="287"/>
      <c r="U18" s="287"/>
      <c r="V18" s="287"/>
      <c r="W18" s="287"/>
      <c r="X18" s="289"/>
      <c r="Y18" s="290"/>
      <c r="Z18" s="291"/>
      <c r="AA18" s="287"/>
      <c r="AB18" s="287"/>
      <c r="AC18" s="287"/>
      <c r="AD18" s="287"/>
      <c r="AE18" s="287"/>
      <c r="AF18" s="287"/>
      <c r="AG18" s="287"/>
      <c r="AH18" s="287"/>
      <c r="AI18" s="287"/>
      <c r="AJ18" s="287"/>
      <c r="AK18" s="287"/>
      <c r="AL18" s="290"/>
      <c r="AM18" s="287"/>
      <c r="AN18" s="287"/>
      <c r="AO18" s="287"/>
      <c r="AP18" s="287"/>
      <c r="AQ18" s="287"/>
      <c r="AR18" s="287"/>
      <c r="AS18" s="287"/>
      <c r="AT18" s="287"/>
      <c r="AU18" s="287"/>
      <c r="AV18" s="287"/>
      <c r="AW18" s="287"/>
      <c r="AX18" s="287"/>
      <c r="AY18" s="290"/>
      <c r="AZ18" s="287"/>
      <c r="BA18" s="287"/>
      <c r="BB18" s="287"/>
      <c r="BC18" s="287"/>
      <c r="BD18" s="287"/>
      <c r="BE18" s="287"/>
      <c r="BF18" s="287"/>
      <c r="BG18" s="287"/>
      <c r="BH18" s="287"/>
      <c r="BI18" s="287"/>
      <c r="BJ18" s="287"/>
      <c r="BK18" s="287"/>
      <c r="BL18" s="290"/>
      <c r="BM18" s="287"/>
      <c r="BN18" s="287"/>
      <c r="BO18" s="287"/>
      <c r="BP18" s="287"/>
      <c r="BQ18" s="287"/>
      <c r="BR18" s="287"/>
      <c r="BS18" s="287"/>
      <c r="BT18" s="287"/>
      <c r="BU18" s="287"/>
      <c r="BV18" s="287"/>
      <c r="BW18" s="287"/>
      <c r="BX18" s="287"/>
      <c r="BY18" s="290"/>
    </row>
    <row r="19" spans="1:77" s="360" customFormat="1">
      <c r="A19" s="359"/>
      <c r="B19" s="293"/>
      <c r="C19" s="293"/>
      <c r="D19" s="293"/>
      <c r="E19" s="293" t="s">
        <v>500</v>
      </c>
      <c r="F19" s="293"/>
      <c r="G19" s="293"/>
      <c r="H19" s="293"/>
      <c r="I19" s="293"/>
      <c r="J19" s="354"/>
      <c r="K19" s="354"/>
      <c r="L19" s="354"/>
      <c r="M19" s="361">
        <v>7.0000000000000007E-2</v>
      </c>
      <c r="N19" s="361">
        <v>0.12</v>
      </c>
      <c r="O19" s="361">
        <v>0.12</v>
      </c>
      <c r="P19" s="361">
        <v>0.15</v>
      </c>
      <c r="Q19" s="361">
        <v>0.12</v>
      </c>
      <c r="R19" s="361">
        <v>0.08</v>
      </c>
      <c r="S19" s="361">
        <v>5.6666666666666671E-2</v>
      </c>
      <c r="T19" s="361">
        <v>5.6666666666666671E-2</v>
      </c>
      <c r="U19" s="361">
        <v>5.6666666666666671E-2</v>
      </c>
      <c r="V19" s="361">
        <v>5.6666666666666671E-2</v>
      </c>
      <c r="W19" s="361">
        <v>5.6666666666666671E-2</v>
      </c>
      <c r="X19" s="361">
        <v>5.6666666666666671E-2</v>
      </c>
      <c r="Y19" s="362">
        <f>SUM(M19:X19)</f>
        <v>0.99999999999999978</v>
      </c>
      <c r="Z19" s="363">
        <v>8.7333333333333305E-2</v>
      </c>
      <c r="AA19" s="363">
        <v>8.7333333333333305E-2</v>
      </c>
      <c r="AB19" s="363">
        <v>8.7333333333333305E-2</v>
      </c>
      <c r="AC19" s="363">
        <v>8.3333333333333301E-2</v>
      </c>
      <c r="AD19" s="363">
        <v>8.3333333333333301E-2</v>
      </c>
      <c r="AE19" s="364">
        <v>5.5833333333333623E-2</v>
      </c>
      <c r="AF19" s="363">
        <v>8.3333333333333301E-2</v>
      </c>
      <c r="AG19" s="363">
        <v>8.3333333333333301E-2</v>
      </c>
      <c r="AH19" s="363">
        <v>8.7333333333333305E-2</v>
      </c>
      <c r="AI19" s="363">
        <v>8.7333333333333305E-2</v>
      </c>
      <c r="AJ19" s="363">
        <v>8.7333333333333305E-2</v>
      </c>
      <c r="AK19" s="363">
        <v>8.6833333333333304E-2</v>
      </c>
      <c r="AL19" s="362">
        <f>SUM(Z19:AK19)</f>
        <v>0.99999999999999978</v>
      </c>
      <c r="AM19" s="363">
        <v>8.7333333333333305E-2</v>
      </c>
      <c r="AN19" s="363">
        <v>8.7333333333333305E-2</v>
      </c>
      <c r="AO19" s="363">
        <v>8.7333333333333305E-2</v>
      </c>
      <c r="AP19" s="363">
        <v>8.3333333333333301E-2</v>
      </c>
      <c r="AQ19" s="363">
        <v>8.3333333333333301E-2</v>
      </c>
      <c r="AR19" s="364">
        <v>5.5833333333333623E-2</v>
      </c>
      <c r="AS19" s="363">
        <v>8.3333333333333301E-2</v>
      </c>
      <c r="AT19" s="363">
        <v>8.3333333333333301E-2</v>
      </c>
      <c r="AU19" s="363">
        <v>8.7333333333333305E-2</v>
      </c>
      <c r="AV19" s="363">
        <v>8.7333333333333305E-2</v>
      </c>
      <c r="AW19" s="363">
        <v>8.7333333333333305E-2</v>
      </c>
      <c r="AX19" s="363">
        <v>8.6833333333333304E-2</v>
      </c>
      <c r="AY19" s="362">
        <f>SUM(AM19:AX19)</f>
        <v>0.99999999999999978</v>
      </c>
      <c r="AZ19" s="363">
        <v>8.7333333333333305E-2</v>
      </c>
      <c r="BA19" s="363">
        <v>8.7333333333333305E-2</v>
      </c>
      <c r="BB19" s="363">
        <v>8.7333333333333305E-2</v>
      </c>
      <c r="BC19" s="363">
        <v>8.3333333333333301E-2</v>
      </c>
      <c r="BD19" s="363">
        <v>8.3333333333333301E-2</v>
      </c>
      <c r="BE19" s="364">
        <v>5.5833333333333623E-2</v>
      </c>
      <c r="BF19" s="363">
        <v>8.3333333333333301E-2</v>
      </c>
      <c r="BG19" s="363">
        <v>8.3333333333333301E-2</v>
      </c>
      <c r="BH19" s="363">
        <v>8.7333333333333305E-2</v>
      </c>
      <c r="BI19" s="363">
        <v>8.7333333333333305E-2</v>
      </c>
      <c r="BJ19" s="363">
        <v>8.7333333333333305E-2</v>
      </c>
      <c r="BK19" s="363">
        <v>8.6833333333333304E-2</v>
      </c>
      <c r="BL19" s="362">
        <f>SUM(AZ19:BK19)</f>
        <v>0.99999999999999978</v>
      </c>
      <c r="BM19" s="363">
        <v>8.7333333333333305E-2</v>
      </c>
      <c r="BN19" s="363">
        <v>8.7333333333333305E-2</v>
      </c>
      <c r="BO19" s="363">
        <v>8.7333333333333305E-2</v>
      </c>
      <c r="BP19" s="363">
        <v>8.3333333333333301E-2</v>
      </c>
      <c r="BQ19" s="363">
        <v>8.3333333333333301E-2</v>
      </c>
      <c r="BR19" s="364">
        <v>5.5833333333333623E-2</v>
      </c>
      <c r="BS19" s="363">
        <v>8.3333333333333301E-2</v>
      </c>
      <c r="BT19" s="363">
        <v>8.3333333333333301E-2</v>
      </c>
      <c r="BU19" s="363">
        <v>8.7333333333333305E-2</v>
      </c>
      <c r="BV19" s="363">
        <v>8.7333333333333305E-2</v>
      </c>
      <c r="BW19" s="363">
        <v>8.7333333333333305E-2</v>
      </c>
      <c r="BX19" s="363">
        <v>8.6833333333333304E-2</v>
      </c>
      <c r="BY19" s="362">
        <f>SUM(BM19:BX19)</f>
        <v>0.99999999999999978</v>
      </c>
    </row>
    <row r="20" spans="1:77" s="292" customFormat="1">
      <c r="A20" s="286" t="s">
        <v>399</v>
      </c>
      <c r="B20" s="287"/>
      <c r="C20" s="287" t="s">
        <v>215</v>
      </c>
      <c r="D20" s="287" t="s">
        <v>276</v>
      </c>
      <c r="E20" s="287" t="s">
        <v>414</v>
      </c>
      <c r="F20" s="287"/>
      <c r="G20" s="287"/>
      <c r="H20" s="294"/>
      <c r="I20" s="287"/>
      <c r="J20" s="288">
        <f t="shared" ref="J20:J57" si="16">+Y20+AL20+AY20+BL20+BY20</f>
        <v>20179.6875</v>
      </c>
      <c r="K20" s="288" t="s">
        <v>402</v>
      </c>
      <c r="L20" s="288"/>
      <c r="M20" s="287">
        <f>+M19*$Y$20</f>
        <v>344.53125000000006</v>
      </c>
      <c r="N20" s="287">
        <f t="shared" ref="N20:X20" si="17">+N19*$Y$20</f>
        <v>590.625</v>
      </c>
      <c r="O20" s="287">
        <f t="shared" si="17"/>
        <v>590.625</v>
      </c>
      <c r="P20" s="287">
        <f t="shared" si="17"/>
        <v>738.28125</v>
      </c>
      <c r="Q20" s="287">
        <f t="shared" si="17"/>
        <v>590.625</v>
      </c>
      <c r="R20" s="287">
        <f t="shared" si="17"/>
        <v>393.75</v>
      </c>
      <c r="S20" s="287">
        <f t="shared" si="17"/>
        <v>278.90625</v>
      </c>
      <c r="T20" s="287">
        <f t="shared" si="17"/>
        <v>278.90625</v>
      </c>
      <c r="U20" s="287">
        <f t="shared" si="17"/>
        <v>278.90625</v>
      </c>
      <c r="V20" s="287">
        <f t="shared" si="17"/>
        <v>278.90625</v>
      </c>
      <c r="W20" s="287">
        <f t="shared" si="17"/>
        <v>278.90625</v>
      </c>
      <c r="X20" s="287">
        <f t="shared" si="17"/>
        <v>278.90625</v>
      </c>
      <c r="Y20" s="339">
        <f>+'Income Statement'!B61</f>
        <v>4921.875</v>
      </c>
      <c r="Z20" s="341">
        <f>+Z19*$AL$20</f>
        <v>386.85937499999989</v>
      </c>
      <c r="AA20" s="341">
        <f t="shared" ref="AA20:AK20" si="18">+AA19*$AL$20</f>
        <v>386.85937499999989</v>
      </c>
      <c r="AB20" s="341">
        <f t="shared" si="18"/>
        <v>386.85937499999989</v>
      </c>
      <c r="AC20" s="341">
        <f t="shared" si="18"/>
        <v>369.14062499999983</v>
      </c>
      <c r="AD20" s="341">
        <f t="shared" si="18"/>
        <v>369.14062499999983</v>
      </c>
      <c r="AE20" s="341">
        <f t="shared" si="18"/>
        <v>247.32421875000128</v>
      </c>
      <c r="AF20" s="341">
        <f t="shared" si="18"/>
        <v>369.14062499999983</v>
      </c>
      <c r="AG20" s="341">
        <f t="shared" si="18"/>
        <v>369.14062499999983</v>
      </c>
      <c r="AH20" s="341">
        <f t="shared" si="18"/>
        <v>386.85937499999989</v>
      </c>
      <c r="AI20" s="341">
        <f t="shared" si="18"/>
        <v>386.85937499999989</v>
      </c>
      <c r="AJ20" s="341">
        <f t="shared" si="18"/>
        <v>386.85937499999989</v>
      </c>
      <c r="AK20" s="341">
        <f t="shared" si="18"/>
        <v>384.64453124999989</v>
      </c>
      <c r="AL20" s="340">
        <f>+'Income Statement'!C61</f>
        <v>4429.6875</v>
      </c>
      <c r="AM20" s="341">
        <f>+AM19*$AY$20</f>
        <v>343.87499999999989</v>
      </c>
      <c r="AN20" s="341">
        <f t="shared" ref="AN20:AX20" si="19">+AN19*$AY$20</f>
        <v>343.87499999999989</v>
      </c>
      <c r="AO20" s="341">
        <f t="shared" si="19"/>
        <v>343.87499999999989</v>
      </c>
      <c r="AP20" s="341">
        <f t="shared" si="19"/>
        <v>328.12499999999989</v>
      </c>
      <c r="AQ20" s="341">
        <f t="shared" si="19"/>
        <v>328.12499999999989</v>
      </c>
      <c r="AR20" s="341">
        <f t="shared" si="19"/>
        <v>219.84375000000114</v>
      </c>
      <c r="AS20" s="341">
        <f t="shared" si="19"/>
        <v>328.12499999999989</v>
      </c>
      <c r="AT20" s="341">
        <f t="shared" si="19"/>
        <v>328.12499999999989</v>
      </c>
      <c r="AU20" s="341">
        <f t="shared" si="19"/>
        <v>343.87499999999989</v>
      </c>
      <c r="AV20" s="341">
        <f t="shared" si="19"/>
        <v>343.87499999999989</v>
      </c>
      <c r="AW20" s="341">
        <f t="shared" si="19"/>
        <v>343.87499999999989</v>
      </c>
      <c r="AX20" s="341">
        <f t="shared" si="19"/>
        <v>341.90624999999989</v>
      </c>
      <c r="AY20" s="340">
        <f>+'Income Statement'!D61</f>
        <v>3937.5</v>
      </c>
      <c r="AZ20" s="341">
        <f>+AZ19*$BL$20</f>
        <v>315.21874999999994</v>
      </c>
      <c r="BA20" s="341">
        <f t="shared" ref="BA20:BK20" si="20">+BA19*$BL$20</f>
        <v>315.21874999999994</v>
      </c>
      <c r="BB20" s="341">
        <f t="shared" si="20"/>
        <v>315.21874999999994</v>
      </c>
      <c r="BC20" s="341">
        <f t="shared" si="20"/>
        <v>300.78124999999994</v>
      </c>
      <c r="BD20" s="341">
        <f t="shared" si="20"/>
        <v>300.78124999999994</v>
      </c>
      <c r="BE20" s="341">
        <f t="shared" si="20"/>
        <v>201.52343750000108</v>
      </c>
      <c r="BF20" s="341">
        <f t="shared" si="20"/>
        <v>300.78124999999994</v>
      </c>
      <c r="BG20" s="341">
        <f t="shared" si="20"/>
        <v>300.78124999999994</v>
      </c>
      <c r="BH20" s="341">
        <f t="shared" si="20"/>
        <v>315.21874999999994</v>
      </c>
      <c r="BI20" s="341">
        <f t="shared" si="20"/>
        <v>315.21874999999994</v>
      </c>
      <c r="BJ20" s="341">
        <f t="shared" si="20"/>
        <v>315.21874999999994</v>
      </c>
      <c r="BK20" s="341">
        <f t="shared" si="20"/>
        <v>313.41406249999994</v>
      </c>
      <c r="BL20" s="340">
        <f>+'Income Statement'!E61</f>
        <v>3609.3750000000005</v>
      </c>
      <c r="BM20" s="341">
        <f>+BM19*$BY$20</f>
        <v>286.56249999999989</v>
      </c>
      <c r="BN20" s="341">
        <f t="shared" ref="BN20:BX20" si="21">+BN19*$BY$20</f>
        <v>286.56249999999989</v>
      </c>
      <c r="BO20" s="341">
        <f t="shared" si="21"/>
        <v>286.56249999999989</v>
      </c>
      <c r="BP20" s="341">
        <f t="shared" si="21"/>
        <v>273.43749999999989</v>
      </c>
      <c r="BQ20" s="341">
        <f t="shared" si="21"/>
        <v>273.43749999999989</v>
      </c>
      <c r="BR20" s="341">
        <f t="shared" si="21"/>
        <v>183.20312500000094</v>
      </c>
      <c r="BS20" s="341">
        <f t="shared" si="21"/>
        <v>273.43749999999989</v>
      </c>
      <c r="BT20" s="341">
        <f t="shared" si="21"/>
        <v>273.43749999999989</v>
      </c>
      <c r="BU20" s="341">
        <f t="shared" si="21"/>
        <v>286.56249999999989</v>
      </c>
      <c r="BV20" s="341">
        <f t="shared" si="21"/>
        <v>286.56249999999989</v>
      </c>
      <c r="BW20" s="341">
        <f t="shared" si="21"/>
        <v>286.56249999999989</v>
      </c>
      <c r="BX20" s="341">
        <f t="shared" si="21"/>
        <v>284.92187499999989</v>
      </c>
      <c r="BY20" s="340">
        <f>+'Income Statement'!F61</f>
        <v>3281.25</v>
      </c>
    </row>
    <row r="21" spans="1:77" s="292" customFormat="1">
      <c r="A21" s="286" t="s">
        <v>399</v>
      </c>
      <c r="B21" s="287"/>
      <c r="C21" s="287" t="s">
        <v>215</v>
      </c>
      <c r="D21" s="287" t="s">
        <v>279</v>
      </c>
      <c r="E21" s="287" t="s">
        <v>496</v>
      </c>
      <c r="F21" s="287"/>
      <c r="G21" s="287"/>
      <c r="H21" s="338"/>
      <c r="I21" s="287"/>
      <c r="J21" s="338">
        <f t="shared" si="16"/>
        <v>60642</v>
      </c>
      <c r="K21" s="288"/>
      <c r="L21" s="288"/>
      <c r="M21" s="287"/>
      <c r="N21" s="287"/>
      <c r="O21" s="287"/>
      <c r="P21" s="287"/>
      <c r="Q21" s="287"/>
      <c r="R21" s="287"/>
      <c r="S21" s="287"/>
      <c r="T21" s="287"/>
      <c r="U21" s="287"/>
      <c r="V21" s="287"/>
      <c r="W21" s="287"/>
      <c r="X21" s="289"/>
      <c r="Y21" s="290">
        <f>+'Income Statement'!B63</f>
        <v>1917</v>
      </c>
      <c r="Z21" s="291"/>
      <c r="AA21" s="287"/>
      <c r="AB21" s="287"/>
      <c r="AC21" s="287"/>
      <c r="AD21" s="287"/>
      <c r="AE21" s="287"/>
      <c r="AF21" s="287"/>
      <c r="AG21" s="287"/>
      <c r="AH21" s="287"/>
      <c r="AI21" s="287"/>
      <c r="AJ21" s="287"/>
      <c r="AK21" s="287"/>
      <c r="AL21" s="290">
        <f>+'Income Statement'!C63</f>
        <v>8775</v>
      </c>
      <c r="AM21" s="287"/>
      <c r="AN21" s="287"/>
      <c r="AO21" s="287"/>
      <c r="AP21" s="287"/>
      <c r="AQ21" s="287"/>
      <c r="AR21" s="287"/>
      <c r="AS21" s="287"/>
      <c r="AT21" s="287"/>
      <c r="AU21" s="287"/>
      <c r="AV21" s="287"/>
      <c r="AW21" s="287"/>
      <c r="AX21" s="287"/>
      <c r="AY21" s="290">
        <f>+'Income Statement'!D63</f>
        <v>12712.499999999998</v>
      </c>
      <c r="AZ21" s="287"/>
      <c r="BA21" s="287"/>
      <c r="BB21" s="287"/>
      <c r="BC21" s="287"/>
      <c r="BD21" s="287"/>
      <c r="BE21" s="287"/>
      <c r="BF21" s="287"/>
      <c r="BG21" s="287"/>
      <c r="BH21" s="287"/>
      <c r="BI21" s="287"/>
      <c r="BJ21" s="287"/>
      <c r="BK21" s="287"/>
      <c r="BL21" s="290">
        <f>+'Income Statement'!E63</f>
        <v>16650</v>
      </c>
      <c r="BM21" s="287"/>
      <c r="BN21" s="287"/>
      <c r="BO21" s="287"/>
      <c r="BP21" s="287"/>
      <c r="BQ21" s="287"/>
      <c r="BR21" s="287"/>
      <c r="BS21" s="287"/>
      <c r="BT21" s="287"/>
      <c r="BU21" s="287"/>
      <c r="BV21" s="287"/>
      <c r="BW21" s="287"/>
      <c r="BX21" s="287"/>
      <c r="BY21" s="290">
        <f>+'Income Statement'!F63</f>
        <v>20587.5</v>
      </c>
    </row>
    <row r="22" spans="1:77" s="292" customFormat="1">
      <c r="A22" s="286" t="s">
        <v>399</v>
      </c>
      <c r="B22" s="287"/>
      <c r="C22" s="287" t="s">
        <v>400</v>
      </c>
      <c r="D22" s="287" t="s">
        <v>279</v>
      </c>
      <c r="E22" s="287" t="s">
        <v>412</v>
      </c>
      <c r="F22" s="287"/>
      <c r="G22" s="287"/>
      <c r="H22" s="287" t="s">
        <v>413</v>
      </c>
      <c r="I22" s="287"/>
      <c r="J22" s="288">
        <f t="shared" si="16"/>
        <v>0</v>
      </c>
      <c r="K22" s="288" t="s">
        <v>402</v>
      </c>
      <c r="L22" s="288"/>
      <c r="M22" s="287"/>
      <c r="N22" s="287"/>
      <c r="O22" s="287"/>
      <c r="P22" s="287"/>
      <c r="Q22" s="287"/>
      <c r="R22" s="287"/>
      <c r="S22" s="287"/>
      <c r="T22" s="287"/>
      <c r="U22" s="287"/>
      <c r="V22" s="287"/>
      <c r="W22" s="287"/>
      <c r="X22" s="289"/>
      <c r="Y22" s="290"/>
      <c r="Z22" s="291"/>
      <c r="AA22" s="287"/>
      <c r="AB22" s="287"/>
      <c r="AC22" s="287"/>
      <c r="AD22" s="287"/>
      <c r="AE22" s="287"/>
      <c r="AF22" s="287"/>
      <c r="AG22" s="287"/>
      <c r="AH22" s="287"/>
      <c r="AI22" s="287"/>
      <c r="AJ22" s="287"/>
      <c r="AK22" s="287"/>
      <c r="AL22" s="290"/>
      <c r="AM22" s="287"/>
      <c r="AN22" s="287"/>
      <c r="AO22" s="287"/>
      <c r="AP22" s="287"/>
      <c r="AQ22" s="287"/>
      <c r="AR22" s="287"/>
      <c r="AS22" s="287"/>
      <c r="AT22" s="287"/>
      <c r="AU22" s="287"/>
      <c r="AV22" s="287"/>
      <c r="AW22" s="287"/>
      <c r="AX22" s="287"/>
      <c r="AY22" s="290"/>
      <c r="AZ22" s="287"/>
      <c r="BA22" s="287"/>
      <c r="BB22" s="287"/>
      <c r="BC22" s="287"/>
      <c r="BD22" s="287"/>
      <c r="BE22" s="287"/>
      <c r="BF22" s="287"/>
      <c r="BG22" s="287"/>
      <c r="BH22" s="287"/>
      <c r="BI22" s="287"/>
      <c r="BJ22" s="287"/>
      <c r="BK22" s="287"/>
      <c r="BL22" s="290"/>
      <c r="BM22" s="287"/>
      <c r="BN22" s="287"/>
      <c r="BO22" s="287"/>
      <c r="BP22" s="287"/>
      <c r="BQ22" s="287"/>
      <c r="BR22" s="287"/>
      <c r="BS22" s="287"/>
      <c r="BT22" s="287"/>
      <c r="BU22" s="287"/>
      <c r="BV22" s="287"/>
      <c r="BW22" s="287"/>
      <c r="BX22" s="287"/>
      <c r="BY22" s="290"/>
    </row>
    <row r="23" spans="1:77" s="292" customFormat="1">
      <c r="A23" s="286" t="s">
        <v>399</v>
      </c>
      <c r="B23" s="287"/>
      <c r="C23" s="287" t="s">
        <v>400</v>
      </c>
      <c r="D23" s="287" t="s">
        <v>279</v>
      </c>
      <c r="E23" s="287" t="s">
        <v>419</v>
      </c>
      <c r="F23" s="287"/>
      <c r="G23" s="287"/>
      <c r="H23" s="287" t="s">
        <v>413</v>
      </c>
      <c r="I23" s="287"/>
      <c r="J23" s="288">
        <f t="shared" si="16"/>
        <v>0</v>
      </c>
      <c r="K23" s="288" t="s">
        <v>402</v>
      </c>
      <c r="L23" s="288"/>
      <c r="M23" s="287"/>
      <c r="N23" s="287"/>
      <c r="O23" s="287"/>
      <c r="P23" s="287"/>
      <c r="Q23" s="287"/>
      <c r="R23" s="287"/>
      <c r="S23" s="287"/>
      <c r="T23" s="287"/>
      <c r="U23" s="287"/>
      <c r="V23" s="287"/>
      <c r="W23" s="287"/>
      <c r="X23" s="289"/>
      <c r="Y23" s="290"/>
      <c r="Z23" s="291"/>
      <c r="AA23" s="287"/>
      <c r="AB23" s="287"/>
      <c r="AC23" s="287"/>
      <c r="AD23" s="287"/>
      <c r="AE23" s="287"/>
      <c r="AF23" s="287"/>
      <c r="AG23" s="287"/>
      <c r="AH23" s="287"/>
      <c r="AI23" s="287"/>
      <c r="AJ23" s="287"/>
      <c r="AK23" s="287"/>
      <c r="AL23" s="290"/>
      <c r="AM23" s="287"/>
      <c r="AN23" s="287"/>
      <c r="AO23" s="287"/>
      <c r="AP23" s="287"/>
      <c r="AQ23" s="287"/>
      <c r="AR23" s="287"/>
      <c r="AS23" s="287"/>
      <c r="AT23" s="287"/>
      <c r="AU23" s="287"/>
      <c r="AV23" s="287"/>
      <c r="AW23" s="287"/>
      <c r="AX23" s="287"/>
      <c r="AY23" s="290"/>
      <c r="AZ23" s="287"/>
      <c r="BA23" s="287"/>
      <c r="BB23" s="287"/>
      <c r="BC23" s="287"/>
      <c r="BD23" s="287"/>
      <c r="BE23" s="287"/>
      <c r="BF23" s="287"/>
      <c r="BG23" s="287"/>
      <c r="BH23" s="287"/>
      <c r="BI23" s="287"/>
      <c r="BJ23" s="287"/>
      <c r="BK23" s="287"/>
      <c r="BL23" s="290"/>
      <c r="BM23" s="287"/>
      <c r="BN23" s="287"/>
      <c r="BO23" s="287"/>
      <c r="BP23" s="287"/>
      <c r="BQ23" s="287"/>
      <c r="BR23" s="287"/>
      <c r="BS23" s="287"/>
      <c r="BT23" s="287"/>
      <c r="BU23" s="287"/>
      <c r="BV23" s="287"/>
      <c r="BW23" s="287"/>
      <c r="BX23" s="287"/>
      <c r="BY23" s="290"/>
    </row>
    <row r="24" spans="1:77" s="292" customFormat="1">
      <c r="A24" s="286" t="s">
        <v>399</v>
      </c>
      <c r="B24" s="287"/>
      <c r="C24" s="287" t="s">
        <v>400</v>
      </c>
      <c r="D24" s="287" t="s">
        <v>279</v>
      </c>
      <c r="E24" s="287" t="s">
        <v>420</v>
      </c>
      <c r="F24" s="287"/>
      <c r="G24" s="287"/>
      <c r="H24" s="294" t="s">
        <v>413</v>
      </c>
      <c r="I24" s="287"/>
      <c r="J24" s="288">
        <f t="shared" si="16"/>
        <v>0</v>
      </c>
      <c r="K24" s="288" t="s">
        <v>402</v>
      </c>
      <c r="L24" s="288"/>
      <c r="M24" s="287"/>
      <c r="N24" s="287"/>
      <c r="O24" s="287"/>
      <c r="P24" s="287"/>
      <c r="Q24" s="287"/>
      <c r="R24" s="287"/>
      <c r="S24" s="287"/>
      <c r="T24" s="287"/>
      <c r="U24" s="287"/>
      <c r="V24" s="287"/>
      <c r="W24" s="287"/>
      <c r="X24" s="289"/>
      <c r="Y24" s="290"/>
      <c r="Z24" s="291"/>
      <c r="AA24" s="287"/>
      <c r="AB24" s="287"/>
      <c r="AC24" s="287"/>
      <c r="AD24" s="287"/>
      <c r="AE24" s="287"/>
      <c r="AF24" s="287"/>
      <c r="AG24" s="287"/>
      <c r="AH24" s="287"/>
      <c r="AI24" s="287"/>
      <c r="AJ24" s="287"/>
      <c r="AK24" s="287"/>
      <c r="AL24" s="290"/>
      <c r="AM24" s="287"/>
      <c r="AN24" s="287"/>
      <c r="AO24" s="287"/>
      <c r="AP24" s="287"/>
      <c r="AQ24" s="287"/>
      <c r="AR24" s="287"/>
      <c r="AS24" s="287"/>
      <c r="AT24" s="287"/>
      <c r="AU24" s="287"/>
      <c r="AV24" s="287"/>
      <c r="AW24" s="287"/>
      <c r="AX24" s="287"/>
      <c r="AY24" s="290"/>
      <c r="AZ24" s="287"/>
      <c r="BA24" s="287"/>
      <c r="BB24" s="287"/>
      <c r="BC24" s="287"/>
      <c r="BD24" s="287"/>
      <c r="BE24" s="287"/>
      <c r="BF24" s="287"/>
      <c r="BG24" s="287"/>
      <c r="BH24" s="287"/>
      <c r="BI24" s="287"/>
      <c r="BJ24" s="287"/>
      <c r="BK24" s="287"/>
      <c r="BL24" s="290"/>
      <c r="BM24" s="287"/>
      <c r="BN24" s="287"/>
      <c r="BO24" s="287"/>
      <c r="BP24" s="287"/>
      <c r="BQ24" s="287"/>
      <c r="BR24" s="287"/>
      <c r="BS24" s="287"/>
      <c r="BT24" s="287"/>
      <c r="BU24" s="287"/>
      <c r="BV24" s="287"/>
      <c r="BW24" s="287"/>
      <c r="BX24" s="287"/>
      <c r="BY24" s="290"/>
    </row>
    <row r="25" spans="1:77" s="292" customFormat="1">
      <c r="A25" s="286" t="s">
        <v>399</v>
      </c>
      <c r="B25" s="287"/>
      <c r="C25" s="287" t="s">
        <v>415</v>
      </c>
      <c r="D25" s="287" t="s">
        <v>279</v>
      </c>
      <c r="E25" s="287" t="s">
        <v>421</v>
      </c>
      <c r="F25" s="287"/>
      <c r="G25" s="287"/>
      <c r="H25" s="294"/>
      <c r="I25" s="287"/>
      <c r="J25" s="288">
        <f t="shared" si="16"/>
        <v>0</v>
      </c>
      <c r="K25" s="288" t="s">
        <v>402</v>
      </c>
      <c r="L25" s="288"/>
      <c r="M25" s="287"/>
      <c r="N25" s="287"/>
      <c r="O25" s="287"/>
      <c r="P25" s="287"/>
      <c r="Q25" s="287"/>
      <c r="R25" s="287"/>
      <c r="S25" s="287"/>
      <c r="T25" s="287"/>
      <c r="U25" s="287"/>
      <c r="V25" s="287"/>
      <c r="W25" s="287"/>
      <c r="X25" s="289"/>
      <c r="Y25" s="290"/>
      <c r="Z25" s="291"/>
      <c r="AA25" s="287"/>
      <c r="AB25" s="287"/>
      <c r="AC25" s="287"/>
      <c r="AD25" s="287"/>
      <c r="AE25" s="287"/>
      <c r="AF25" s="287"/>
      <c r="AG25" s="287"/>
      <c r="AH25" s="287"/>
      <c r="AI25" s="287"/>
      <c r="AJ25" s="287"/>
      <c r="AK25" s="287"/>
      <c r="AL25" s="290"/>
      <c r="AM25" s="287"/>
      <c r="AN25" s="287"/>
      <c r="AO25" s="287"/>
      <c r="AP25" s="287"/>
      <c r="AQ25" s="287"/>
      <c r="AR25" s="287"/>
      <c r="AS25" s="287"/>
      <c r="AT25" s="287"/>
      <c r="AU25" s="287"/>
      <c r="AV25" s="287"/>
      <c r="AW25" s="287"/>
      <c r="AX25" s="287"/>
      <c r="AY25" s="290"/>
      <c r="AZ25" s="287"/>
      <c r="BA25" s="287"/>
      <c r="BB25" s="287"/>
      <c r="BC25" s="287"/>
      <c r="BD25" s="287"/>
      <c r="BE25" s="287"/>
      <c r="BF25" s="287"/>
      <c r="BG25" s="287"/>
      <c r="BH25" s="287"/>
      <c r="BI25" s="287"/>
      <c r="BJ25" s="287"/>
      <c r="BK25" s="287"/>
      <c r="BL25" s="290"/>
      <c r="BM25" s="287"/>
      <c r="BN25" s="287"/>
      <c r="BO25" s="287"/>
      <c r="BP25" s="287"/>
      <c r="BQ25" s="287"/>
      <c r="BR25" s="287"/>
      <c r="BS25" s="287"/>
      <c r="BT25" s="287"/>
      <c r="BU25" s="287"/>
      <c r="BV25" s="287"/>
      <c r="BW25" s="287"/>
      <c r="BX25" s="287"/>
      <c r="BY25" s="290"/>
    </row>
    <row r="26" spans="1:77" s="292" customFormat="1">
      <c r="A26" s="286" t="s">
        <v>399</v>
      </c>
      <c r="B26" s="287"/>
      <c r="C26" s="287" t="s">
        <v>400</v>
      </c>
      <c r="D26" s="287" t="s">
        <v>279</v>
      </c>
      <c r="E26" s="287" t="s">
        <v>422</v>
      </c>
      <c r="F26" s="287"/>
      <c r="G26" s="287" t="s">
        <v>423</v>
      </c>
      <c r="H26" s="287"/>
      <c r="I26" s="287"/>
      <c r="J26" s="288">
        <f t="shared" si="16"/>
        <v>0</v>
      </c>
      <c r="K26" s="288" t="s">
        <v>402</v>
      </c>
      <c r="L26" s="288"/>
      <c r="M26" s="287"/>
      <c r="N26" s="287"/>
      <c r="O26" s="287"/>
      <c r="P26" s="287"/>
      <c r="Q26" s="287"/>
      <c r="R26" s="287"/>
      <c r="S26" s="287"/>
      <c r="T26" s="287"/>
      <c r="U26" s="287"/>
      <c r="V26" s="287"/>
      <c r="W26" s="287"/>
      <c r="X26" s="289"/>
      <c r="Y26" s="290"/>
      <c r="Z26" s="291"/>
      <c r="AA26" s="287"/>
      <c r="AB26" s="287"/>
      <c r="AC26" s="287"/>
      <c r="AD26" s="287"/>
      <c r="AE26" s="287"/>
      <c r="AF26" s="287"/>
      <c r="AG26" s="287"/>
      <c r="AH26" s="287"/>
      <c r="AI26" s="287"/>
      <c r="AJ26" s="287"/>
      <c r="AK26" s="287"/>
      <c r="AL26" s="290"/>
      <c r="AM26" s="287"/>
      <c r="AN26" s="287"/>
      <c r="AO26" s="287"/>
      <c r="AP26" s="287"/>
      <c r="AQ26" s="287"/>
      <c r="AR26" s="287"/>
      <c r="AS26" s="287"/>
      <c r="AT26" s="287"/>
      <c r="AU26" s="287"/>
      <c r="AV26" s="287"/>
      <c r="AW26" s="287"/>
      <c r="AX26" s="287"/>
      <c r="AY26" s="290"/>
      <c r="AZ26" s="287"/>
      <c r="BA26" s="287"/>
      <c r="BB26" s="287"/>
      <c r="BC26" s="287"/>
      <c r="BD26" s="287"/>
      <c r="BE26" s="287"/>
      <c r="BF26" s="287"/>
      <c r="BG26" s="287"/>
      <c r="BH26" s="287"/>
      <c r="BI26" s="287"/>
      <c r="BJ26" s="287"/>
      <c r="BK26" s="287"/>
      <c r="BL26" s="290"/>
      <c r="BM26" s="287"/>
      <c r="BN26" s="287"/>
      <c r="BO26" s="287"/>
      <c r="BP26" s="287"/>
      <c r="BQ26" s="287"/>
      <c r="BR26" s="287"/>
      <c r="BS26" s="287"/>
      <c r="BT26" s="287"/>
      <c r="BU26" s="287"/>
      <c r="BV26" s="287"/>
      <c r="BW26" s="287"/>
      <c r="BX26" s="287"/>
      <c r="BY26" s="290"/>
    </row>
    <row r="27" spans="1:77" s="292" customFormat="1">
      <c r="A27" s="286" t="s">
        <v>399</v>
      </c>
      <c r="B27" s="287"/>
      <c r="C27" s="287" t="s">
        <v>400</v>
      </c>
      <c r="D27" s="287" t="s">
        <v>279</v>
      </c>
      <c r="E27" s="287" t="s">
        <v>424</v>
      </c>
      <c r="F27" s="287"/>
      <c r="G27" s="287"/>
      <c r="H27" s="294"/>
      <c r="I27" s="287"/>
      <c r="J27" s="288">
        <f t="shared" si="16"/>
        <v>0</v>
      </c>
      <c r="K27" s="288" t="s">
        <v>402</v>
      </c>
      <c r="L27" s="288"/>
      <c r="M27" s="287"/>
      <c r="N27" s="287"/>
      <c r="O27" s="287"/>
      <c r="P27" s="287"/>
      <c r="Q27" s="287"/>
      <c r="R27" s="287"/>
      <c r="S27" s="287"/>
      <c r="T27" s="287"/>
      <c r="U27" s="287"/>
      <c r="V27" s="287"/>
      <c r="W27" s="287"/>
      <c r="X27" s="289"/>
      <c r="Y27" s="290"/>
      <c r="Z27" s="291"/>
      <c r="AA27" s="287"/>
      <c r="AB27" s="287"/>
      <c r="AC27" s="287"/>
      <c r="AD27" s="287"/>
      <c r="AE27" s="287"/>
      <c r="AF27" s="287"/>
      <c r="AG27" s="287"/>
      <c r="AH27" s="287"/>
      <c r="AI27" s="287"/>
      <c r="AJ27" s="287"/>
      <c r="AK27" s="287"/>
      <c r="AL27" s="290"/>
      <c r="AM27" s="287"/>
      <c r="AN27" s="287"/>
      <c r="AO27" s="287"/>
      <c r="AP27" s="287"/>
      <c r="AQ27" s="287"/>
      <c r="AR27" s="287"/>
      <c r="AS27" s="287"/>
      <c r="AT27" s="287"/>
      <c r="AU27" s="287"/>
      <c r="AV27" s="287"/>
      <c r="AW27" s="287"/>
      <c r="AX27" s="287"/>
      <c r="AY27" s="290"/>
      <c r="AZ27" s="287"/>
      <c r="BA27" s="287"/>
      <c r="BB27" s="287"/>
      <c r="BC27" s="287"/>
      <c r="BD27" s="287"/>
      <c r="BE27" s="287"/>
      <c r="BF27" s="287"/>
      <c r="BG27" s="287"/>
      <c r="BH27" s="287"/>
      <c r="BI27" s="287"/>
      <c r="BJ27" s="287"/>
      <c r="BK27" s="287"/>
      <c r="BL27" s="290"/>
      <c r="BM27" s="287"/>
      <c r="BN27" s="287"/>
      <c r="BO27" s="287"/>
      <c r="BP27" s="287"/>
      <c r="BQ27" s="287"/>
      <c r="BR27" s="287"/>
      <c r="BS27" s="287"/>
      <c r="BT27" s="287"/>
      <c r="BU27" s="287"/>
      <c r="BV27" s="287"/>
      <c r="BW27" s="287"/>
      <c r="BX27" s="287"/>
      <c r="BY27" s="290"/>
    </row>
    <row r="28" spans="1:77" s="292" customFormat="1">
      <c r="A28" s="286" t="s">
        <v>399</v>
      </c>
      <c r="B28" s="287"/>
      <c r="C28" s="287" t="s">
        <v>415</v>
      </c>
      <c r="D28" s="287" t="s">
        <v>279</v>
      </c>
      <c r="E28" s="287" t="s">
        <v>494</v>
      </c>
      <c r="F28" s="287"/>
      <c r="G28" s="287"/>
      <c r="H28" s="294"/>
      <c r="I28" s="287"/>
      <c r="J28" s="288">
        <f t="shared" si="16"/>
        <v>0</v>
      </c>
      <c r="K28" s="288" t="s">
        <v>402</v>
      </c>
      <c r="L28" s="288"/>
      <c r="M28" s="287"/>
      <c r="N28" s="287"/>
      <c r="O28" s="287"/>
      <c r="P28" s="287"/>
      <c r="Q28" s="287"/>
      <c r="R28" s="287"/>
      <c r="S28" s="287"/>
      <c r="T28" s="287"/>
      <c r="U28" s="287"/>
      <c r="V28" s="287"/>
      <c r="W28" s="287"/>
      <c r="X28" s="289"/>
      <c r="Y28" s="290"/>
      <c r="Z28" s="291"/>
      <c r="AA28" s="287"/>
      <c r="AB28" s="287"/>
      <c r="AC28" s="287"/>
      <c r="AD28" s="287"/>
      <c r="AE28" s="287"/>
      <c r="AF28" s="287"/>
      <c r="AG28" s="287"/>
      <c r="AH28" s="287"/>
      <c r="AI28" s="287"/>
      <c r="AJ28" s="287"/>
      <c r="AK28" s="287"/>
      <c r="AL28" s="290"/>
      <c r="AM28" s="287"/>
      <c r="AN28" s="287"/>
      <c r="AO28" s="287"/>
      <c r="AP28" s="287"/>
      <c r="AQ28" s="287"/>
      <c r="AR28" s="287"/>
      <c r="AS28" s="287"/>
      <c r="AT28" s="287"/>
      <c r="AU28" s="287"/>
      <c r="AV28" s="287"/>
      <c r="AW28" s="287"/>
      <c r="AX28" s="287"/>
      <c r="AY28" s="290"/>
      <c r="AZ28" s="287"/>
      <c r="BA28" s="287"/>
      <c r="BB28" s="287"/>
      <c r="BC28" s="287"/>
      <c r="BD28" s="287"/>
      <c r="BE28" s="287"/>
      <c r="BF28" s="287"/>
      <c r="BG28" s="287"/>
      <c r="BH28" s="287"/>
      <c r="BI28" s="287"/>
      <c r="BJ28" s="287"/>
      <c r="BK28" s="287"/>
      <c r="BL28" s="290"/>
      <c r="BM28" s="287"/>
      <c r="BN28" s="287"/>
      <c r="BO28" s="287"/>
      <c r="BP28" s="287"/>
      <c r="BQ28" s="287"/>
      <c r="BR28" s="287"/>
      <c r="BS28" s="287"/>
      <c r="BT28" s="287"/>
      <c r="BU28" s="287"/>
      <c r="BV28" s="287"/>
      <c r="BW28" s="287"/>
      <c r="BX28" s="287"/>
      <c r="BY28" s="290"/>
    </row>
    <row r="29" spans="1:77" s="292" customFormat="1">
      <c r="A29" s="286" t="s">
        <v>399</v>
      </c>
      <c r="B29" s="287"/>
      <c r="C29" s="287" t="s">
        <v>400</v>
      </c>
      <c r="D29" s="287" t="s">
        <v>279</v>
      </c>
      <c r="E29" s="287" t="s">
        <v>432</v>
      </c>
      <c r="F29" s="287"/>
      <c r="G29" s="287"/>
      <c r="H29" s="294"/>
      <c r="I29" s="287"/>
      <c r="J29" s="288">
        <f t="shared" si="16"/>
        <v>0</v>
      </c>
      <c r="K29" s="288" t="s">
        <v>402</v>
      </c>
      <c r="L29" s="288"/>
      <c r="M29" s="287"/>
      <c r="N29" s="287"/>
      <c r="O29" s="287"/>
      <c r="P29" s="287"/>
      <c r="Q29" s="287"/>
      <c r="R29" s="287"/>
      <c r="S29" s="287"/>
      <c r="T29" s="287"/>
      <c r="U29" s="287"/>
      <c r="V29" s="287"/>
      <c r="W29" s="287"/>
      <c r="X29" s="289"/>
      <c r="Y29" s="290"/>
      <c r="Z29" s="291"/>
      <c r="AA29" s="287"/>
      <c r="AB29" s="287"/>
      <c r="AC29" s="287"/>
      <c r="AD29" s="287"/>
      <c r="AE29" s="287"/>
      <c r="AF29" s="287"/>
      <c r="AG29" s="287"/>
      <c r="AH29" s="287"/>
      <c r="AI29" s="287"/>
      <c r="AJ29" s="287"/>
      <c r="AK29" s="287"/>
      <c r="AL29" s="290"/>
      <c r="AM29" s="287"/>
      <c r="AN29" s="287"/>
      <c r="AO29" s="287"/>
      <c r="AP29" s="287"/>
      <c r="AQ29" s="287"/>
      <c r="AR29" s="287"/>
      <c r="AS29" s="287"/>
      <c r="AT29" s="287"/>
      <c r="AU29" s="287"/>
      <c r="AV29" s="287"/>
      <c r="AW29" s="287"/>
      <c r="AX29" s="287"/>
      <c r="AY29" s="290"/>
      <c r="AZ29" s="287"/>
      <c r="BA29" s="287"/>
      <c r="BB29" s="287"/>
      <c r="BC29" s="287"/>
      <c r="BD29" s="287"/>
      <c r="BE29" s="287"/>
      <c r="BF29" s="287"/>
      <c r="BG29" s="287"/>
      <c r="BH29" s="287"/>
      <c r="BI29" s="287"/>
      <c r="BJ29" s="287"/>
      <c r="BK29" s="287"/>
      <c r="BL29" s="290"/>
      <c r="BM29" s="287"/>
      <c r="BN29" s="287"/>
      <c r="BO29" s="287"/>
      <c r="BP29" s="287"/>
      <c r="BQ29" s="287"/>
      <c r="BR29" s="287"/>
      <c r="BS29" s="287"/>
      <c r="BT29" s="287"/>
      <c r="BU29" s="287"/>
      <c r="BV29" s="287"/>
      <c r="BW29" s="287"/>
      <c r="BX29" s="287"/>
      <c r="BY29" s="290"/>
    </row>
    <row r="30" spans="1:77" s="292" customFormat="1">
      <c r="A30" s="286" t="s">
        <v>399</v>
      </c>
      <c r="B30" s="287"/>
      <c r="C30" s="287" t="s">
        <v>415</v>
      </c>
      <c r="D30" s="287" t="s">
        <v>279</v>
      </c>
      <c r="E30" s="287" t="s">
        <v>436</v>
      </c>
      <c r="F30" s="287"/>
      <c r="G30" s="287"/>
      <c r="H30" s="294"/>
      <c r="I30" s="287"/>
      <c r="J30" s="288">
        <f t="shared" si="16"/>
        <v>0</v>
      </c>
      <c r="K30" s="288" t="s">
        <v>402</v>
      </c>
      <c r="L30" s="288"/>
      <c r="M30" s="287"/>
      <c r="N30" s="287"/>
      <c r="O30" s="287"/>
      <c r="P30" s="287"/>
      <c r="Q30" s="287"/>
      <c r="R30" s="287"/>
      <c r="S30" s="287"/>
      <c r="T30" s="287"/>
      <c r="U30" s="287"/>
      <c r="V30" s="287"/>
      <c r="W30" s="287"/>
      <c r="X30" s="289"/>
      <c r="Y30" s="290"/>
      <c r="Z30" s="291"/>
      <c r="AA30" s="287"/>
      <c r="AB30" s="287"/>
      <c r="AC30" s="287"/>
      <c r="AD30" s="287"/>
      <c r="AE30" s="287"/>
      <c r="AF30" s="287"/>
      <c r="AG30" s="287"/>
      <c r="AH30" s="287"/>
      <c r="AI30" s="287"/>
      <c r="AJ30" s="287"/>
      <c r="AK30" s="287"/>
      <c r="AL30" s="290"/>
      <c r="AM30" s="287"/>
      <c r="AN30" s="287"/>
      <c r="AO30" s="287"/>
      <c r="AP30" s="287"/>
      <c r="AQ30" s="287"/>
      <c r="AR30" s="287"/>
      <c r="AS30" s="287"/>
      <c r="AT30" s="287"/>
      <c r="AU30" s="287"/>
      <c r="AV30" s="287"/>
      <c r="AW30" s="287"/>
      <c r="AX30" s="287"/>
      <c r="AY30" s="290"/>
      <c r="AZ30" s="287"/>
      <c r="BA30" s="287"/>
      <c r="BB30" s="287"/>
      <c r="BC30" s="287"/>
      <c r="BD30" s="287"/>
      <c r="BE30" s="287"/>
      <c r="BF30" s="287"/>
      <c r="BG30" s="287"/>
      <c r="BH30" s="287"/>
      <c r="BI30" s="287"/>
      <c r="BJ30" s="287"/>
      <c r="BK30" s="287"/>
      <c r="BL30" s="290"/>
      <c r="BM30" s="287"/>
      <c r="BN30" s="287"/>
      <c r="BO30" s="287"/>
      <c r="BP30" s="287"/>
      <c r="BQ30" s="287"/>
      <c r="BR30" s="287"/>
      <c r="BS30" s="287"/>
      <c r="BT30" s="287"/>
      <c r="BU30" s="287"/>
      <c r="BV30" s="287"/>
      <c r="BW30" s="287"/>
      <c r="BX30" s="287"/>
      <c r="BY30" s="290"/>
    </row>
    <row r="31" spans="1:77" s="292" customFormat="1">
      <c r="A31" s="286" t="s">
        <v>399</v>
      </c>
      <c r="B31" s="287"/>
      <c r="C31" s="287" t="s">
        <v>400</v>
      </c>
      <c r="D31" s="287" t="s">
        <v>279</v>
      </c>
      <c r="E31" s="287" t="s">
        <v>437</v>
      </c>
      <c r="F31" s="287"/>
      <c r="G31" s="287"/>
      <c r="H31" s="287"/>
      <c r="I31" s="287"/>
      <c r="J31" s="288">
        <f t="shared" si="16"/>
        <v>0</v>
      </c>
      <c r="K31" s="288" t="s">
        <v>402</v>
      </c>
      <c r="L31" s="288"/>
      <c r="M31" s="287"/>
      <c r="N31" s="287"/>
      <c r="O31" s="287"/>
      <c r="P31" s="287"/>
      <c r="Q31" s="287"/>
      <c r="R31" s="287"/>
      <c r="S31" s="287"/>
      <c r="T31" s="287"/>
      <c r="U31" s="287"/>
      <c r="V31" s="287"/>
      <c r="W31" s="287"/>
      <c r="X31" s="289"/>
      <c r="Y31" s="290"/>
      <c r="Z31" s="291"/>
      <c r="AA31" s="287"/>
      <c r="AB31" s="287"/>
      <c r="AC31" s="287"/>
      <c r="AD31" s="287"/>
      <c r="AE31" s="287"/>
      <c r="AF31" s="287"/>
      <c r="AG31" s="287"/>
      <c r="AH31" s="287"/>
      <c r="AI31" s="287"/>
      <c r="AJ31" s="287"/>
      <c r="AK31" s="287"/>
      <c r="AL31" s="290"/>
      <c r="AM31" s="287"/>
      <c r="AN31" s="287"/>
      <c r="AO31" s="287"/>
      <c r="AP31" s="287"/>
      <c r="AQ31" s="287"/>
      <c r="AR31" s="287"/>
      <c r="AS31" s="287"/>
      <c r="AT31" s="287"/>
      <c r="AU31" s="287"/>
      <c r="AV31" s="287"/>
      <c r="AW31" s="287"/>
      <c r="AX31" s="287"/>
      <c r="AY31" s="290"/>
      <c r="AZ31" s="287"/>
      <c r="BA31" s="287"/>
      <c r="BB31" s="287"/>
      <c r="BC31" s="287"/>
      <c r="BD31" s="287"/>
      <c r="BE31" s="287"/>
      <c r="BF31" s="287"/>
      <c r="BG31" s="287"/>
      <c r="BH31" s="287"/>
      <c r="BI31" s="287"/>
      <c r="BJ31" s="287"/>
      <c r="BK31" s="287"/>
      <c r="BL31" s="290"/>
      <c r="BM31" s="287"/>
      <c r="BN31" s="287"/>
      <c r="BO31" s="287"/>
      <c r="BP31" s="287"/>
      <c r="BQ31" s="287"/>
      <c r="BR31" s="287"/>
      <c r="BS31" s="287"/>
      <c r="BT31" s="287"/>
      <c r="BU31" s="287"/>
      <c r="BV31" s="287"/>
      <c r="BW31" s="287"/>
      <c r="BX31" s="287"/>
      <c r="BY31" s="290"/>
    </row>
    <row r="32" spans="1:77" s="292" customFormat="1">
      <c r="A32" s="286" t="s">
        <v>399</v>
      </c>
      <c r="B32" s="287"/>
      <c r="C32" s="287" t="s">
        <v>400</v>
      </c>
      <c r="D32" s="287" t="s">
        <v>279</v>
      </c>
      <c r="E32" s="287" t="s">
        <v>438</v>
      </c>
      <c r="F32" s="287"/>
      <c r="G32" s="287"/>
      <c r="H32" s="287"/>
      <c r="I32" s="287"/>
      <c r="J32" s="288">
        <f t="shared" si="16"/>
        <v>0</v>
      </c>
      <c r="K32" s="288" t="s">
        <v>402</v>
      </c>
      <c r="L32" s="288"/>
      <c r="M32" s="287"/>
      <c r="N32" s="287"/>
      <c r="O32" s="287"/>
      <c r="P32" s="287"/>
      <c r="Q32" s="287"/>
      <c r="R32" s="287"/>
      <c r="S32" s="287"/>
      <c r="T32" s="287"/>
      <c r="U32" s="287"/>
      <c r="V32" s="287"/>
      <c r="W32" s="287"/>
      <c r="X32" s="289"/>
      <c r="Y32" s="290"/>
      <c r="Z32" s="291"/>
      <c r="AA32" s="287"/>
      <c r="AB32" s="287"/>
      <c r="AC32" s="287"/>
      <c r="AD32" s="287"/>
      <c r="AE32" s="287"/>
      <c r="AF32" s="287"/>
      <c r="AG32" s="287"/>
      <c r="AH32" s="287"/>
      <c r="AI32" s="287"/>
      <c r="AJ32" s="287"/>
      <c r="AK32" s="287"/>
      <c r="AL32" s="290"/>
      <c r="AM32" s="287"/>
      <c r="AN32" s="287"/>
      <c r="AO32" s="287"/>
      <c r="AP32" s="287"/>
      <c r="AQ32" s="287"/>
      <c r="AR32" s="287"/>
      <c r="AS32" s="287"/>
      <c r="AT32" s="287"/>
      <c r="AU32" s="287"/>
      <c r="AV32" s="287"/>
      <c r="AW32" s="287"/>
      <c r="AX32" s="287"/>
      <c r="AY32" s="290"/>
      <c r="AZ32" s="287"/>
      <c r="BA32" s="287"/>
      <c r="BB32" s="287"/>
      <c r="BC32" s="287"/>
      <c r="BD32" s="287"/>
      <c r="BE32" s="287"/>
      <c r="BF32" s="287"/>
      <c r="BG32" s="287"/>
      <c r="BH32" s="287"/>
      <c r="BI32" s="287"/>
      <c r="BJ32" s="287"/>
      <c r="BK32" s="287"/>
      <c r="BL32" s="290"/>
      <c r="BM32" s="287"/>
      <c r="BN32" s="287"/>
      <c r="BO32" s="287"/>
      <c r="BP32" s="287"/>
      <c r="BQ32" s="287"/>
      <c r="BR32" s="287"/>
      <c r="BS32" s="287"/>
      <c r="BT32" s="287"/>
      <c r="BU32" s="287"/>
      <c r="BV32" s="287"/>
      <c r="BW32" s="287"/>
      <c r="BX32" s="287"/>
      <c r="BY32" s="290"/>
    </row>
    <row r="33" spans="1:77" s="292" customFormat="1">
      <c r="A33" s="286" t="s">
        <v>399</v>
      </c>
      <c r="B33" s="287"/>
      <c r="C33" s="287" t="s">
        <v>400</v>
      </c>
      <c r="D33" s="287" t="s">
        <v>279</v>
      </c>
      <c r="E33" s="287" t="s">
        <v>428</v>
      </c>
      <c r="F33" s="287"/>
      <c r="G33" s="287"/>
      <c r="H33" s="293"/>
      <c r="I33" s="287"/>
      <c r="J33" s="288">
        <f t="shared" si="16"/>
        <v>0</v>
      </c>
      <c r="K33" s="288" t="s">
        <v>402</v>
      </c>
      <c r="L33" s="288"/>
      <c r="M33" s="287"/>
      <c r="N33" s="287"/>
      <c r="O33" s="287"/>
      <c r="P33" s="287"/>
      <c r="Q33" s="287"/>
      <c r="R33" s="287"/>
      <c r="S33" s="287"/>
      <c r="T33" s="287"/>
      <c r="U33" s="287"/>
      <c r="V33" s="287"/>
      <c r="W33" s="287"/>
      <c r="X33" s="289"/>
      <c r="Y33" s="290"/>
      <c r="Z33" s="291"/>
      <c r="AA33" s="287"/>
      <c r="AB33" s="287"/>
      <c r="AC33" s="287"/>
      <c r="AD33" s="287"/>
      <c r="AE33" s="287"/>
      <c r="AF33" s="287"/>
      <c r="AG33" s="287"/>
      <c r="AH33" s="287"/>
      <c r="AI33" s="287"/>
      <c r="AJ33" s="287"/>
      <c r="AK33" s="287"/>
      <c r="AL33" s="290"/>
      <c r="AM33" s="287"/>
      <c r="AN33" s="287"/>
      <c r="AO33" s="287"/>
      <c r="AP33" s="287"/>
      <c r="AQ33" s="287"/>
      <c r="AR33" s="287"/>
      <c r="AS33" s="287"/>
      <c r="AT33" s="287"/>
      <c r="AU33" s="287"/>
      <c r="AV33" s="287"/>
      <c r="AW33" s="287"/>
      <c r="AX33" s="287"/>
      <c r="AY33" s="290"/>
      <c r="AZ33" s="287"/>
      <c r="BA33" s="287"/>
      <c r="BB33" s="287"/>
      <c r="BC33" s="287"/>
      <c r="BD33" s="287"/>
      <c r="BE33" s="287"/>
      <c r="BF33" s="287"/>
      <c r="BG33" s="287"/>
      <c r="BH33" s="287"/>
      <c r="BI33" s="287"/>
      <c r="BJ33" s="287"/>
      <c r="BK33" s="287"/>
      <c r="BL33" s="290"/>
      <c r="BM33" s="287"/>
      <c r="BN33" s="287"/>
      <c r="BO33" s="287"/>
      <c r="BP33" s="287"/>
      <c r="BQ33" s="287"/>
      <c r="BR33" s="287"/>
      <c r="BS33" s="287"/>
      <c r="BT33" s="287"/>
      <c r="BU33" s="287"/>
      <c r="BV33" s="287"/>
      <c r="BW33" s="287"/>
      <c r="BX33" s="287"/>
      <c r="BY33" s="290"/>
    </row>
    <row r="34" spans="1:77" s="292" customFormat="1">
      <c r="A34" s="286" t="s">
        <v>399</v>
      </c>
      <c r="B34" s="287"/>
      <c r="C34" s="287" t="s">
        <v>400</v>
      </c>
      <c r="D34" s="287" t="s">
        <v>279</v>
      </c>
      <c r="E34" s="287" t="s">
        <v>429</v>
      </c>
      <c r="F34" s="287"/>
      <c r="G34" s="287"/>
      <c r="H34" s="293"/>
      <c r="I34" s="287"/>
      <c r="J34" s="288">
        <f t="shared" si="16"/>
        <v>0</v>
      </c>
      <c r="K34" s="288" t="s">
        <v>402</v>
      </c>
      <c r="L34" s="288"/>
      <c r="M34" s="287"/>
      <c r="N34" s="287"/>
      <c r="O34" s="287"/>
      <c r="P34" s="287"/>
      <c r="Q34" s="287"/>
      <c r="R34" s="287"/>
      <c r="S34" s="287"/>
      <c r="T34" s="287"/>
      <c r="U34" s="287"/>
      <c r="V34" s="287"/>
      <c r="W34" s="287"/>
      <c r="X34" s="289"/>
      <c r="Y34" s="290"/>
      <c r="Z34" s="291"/>
      <c r="AA34" s="287"/>
      <c r="AB34" s="287"/>
      <c r="AC34" s="287"/>
      <c r="AD34" s="287"/>
      <c r="AE34" s="287"/>
      <c r="AF34" s="287"/>
      <c r="AG34" s="287"/>
      <c r="AH34" s="287"/>
      <c r="AI34" s="287"/>
      <c r="AJ34" s="287"/>
      <c r="AK34" s="287"/>
      <c r="AL34" s="290"/>
      <c r="AM34" s="287"/>
      <c r="AN34" s="287"/>
      <c r="AO34" s="287"/>
      <c r="AP34" s="287"/>
      <c r="AQ34" s="287"/>
      <c r="AR34" s="287"/>
      <c r="AS34" s="287"/>
      <c r="AT34" s="287"/>
      <c r="AU34" s="287"/>
      <c r="AV34" s="287"/>
      <c r="AW34" s="287"/>
      <c r="AX34" s="287"/>
      <c r="AY34" s="290"/>
      <c r="AZ34" s="287"/>
      <c r="BA34" s="287"/>
      <c r="BB34" s="287"/>
      <c r="BC34" s="287"/>
      <c r="BD34" s="287"/>
      <c r="BE34" s="287"/>
      <c r="BF34" s="287"/>
      <c r="BG34" s="287"/>
      <c r="BH34" s="287"/>
      <c r="BI34" s="287"/>
      <c r="BJ34" s="287"/>
      <c r="BK34" s="287"/>
      <c r="BL34" s="290"/>
      <c r="BM34" s="287"/>
      <c r="BN34" s="287"/>
      <c r="BO34" s="287"/>
      <c r="BP34" s="287"/>
      <c r="BQ34" s="287"/>
      <c r="BR34" s="287"/>
      <c r="BS34" s="287"/>
      <c r="BT34" s="287"/>
      <c r="BU34" s="287"/>
      <c r="BV34" s="287"/>
      <c r="BW34" s="287"/>
      <c r="BX34" s="287"/>
      <c r="BY34" s="290"/>
    </row>
    <row r="35" spans="1:77" s="292" customFormat="1">
      <c r="A35" s="286" t="s">
        <v>399</v>
      </c>
      <c r="B35" s="287"/>
      <c r="C35" s="287" t="s">
        <v>400</v>
      </c>
      <c r="D35" s="287" t="s">
        <v>279</v>
      </c>
      <c r="E35" s="287" t="s">
        <v>440</v>
      </c>
      <c r="F35" s="287"/>
      <c r="G35" s="287"/>
      <c r="H35" s="294"/>
      <c r="I35" s="287"/>
      <c r="J35" s="288">
        <f t="shared" si="16"/>
        <v>0</v>
      </c>
      <c r="K35" s="288" t="s">
        <v>402</v>
      </c>
      <c r="L35" s="288"/>
      <c r="M35" s="287"/>
      <c r="N35" s="287"/>
      <c r="O35" s="287"/>
      <c r="P35" s="287"/>
      <c r="Q35" s="287"/>
      <c r="R35" s="287"/>
      <c r="S35" s="287"/>
      <c r="T35" s="287"/>
      <c r="U35" s="287"/>
      <c r="V35" s="287"/>
      <c r="W35" s="287"/>
      <c r="X35" s="289"/>
      <c r="Y35" s="290"/>
      <c r="Z35" s="291"/>
      <c r="AA35" s="287"/>
      <c r="AB35" s="287"/>
      <c r="AC35" s="287"/>
      <c r="AD35" s="287"/>
      <c r="AE35" s="287"/>
      <c r="AF35" s="287"/>
      <c r="AG35" s="287"/>
      <c r="AH35" s="287"/>
      <c r="AI35" s="287"/>
      <c r="AJ35" s="287"/>
      <c r="AK35" s="287"/>
      <c r="AL35" s="290"/>
      <c r="AM35" s="287"/>
      <c r="AN35" s="287"/>
      <c r="AO35" s="287"/>
      <c r="AP35" s="287"/>
      <c r="AQ35" s="287"/>
      <c r="AR35" s="287"/>
      <c r="AS35" s="287"/>
      <c r="AT35" s="287"/>
      <c r="AU35" s="287"/>
      <c r="AV35" s="287"/>
      <c r="AW35" s="287"/>
      <c r="AX35" s="287"/>
      <c r="AY35" s="290"/>
      <c r="AZ35" s="287"/>
      <c r="BA35" s="287"/>
      <c r="BB35" s="287"/>
      <c r="BC35" s="287"/>
      <c r="BD35" s="287"/>
      <c r="BE35" s="287"/>
      <c r="BF35" s="287"/>
      <c r="BG35" s="287"/>
      <c r="BH35" s="287"/>
      <c r="BI35" s="287"/>
      <c r="BJ35" s="287"/>
      <c r="BK35" s="287"/>
      <c r="BL35" s="290"/>
      <c r="BM35" s="287"/>
      <c r="BN35" s="287"/>
      <c r="BO35" s="287"/>
      <c r="BP35" s="287"/>
      <c r="BQ35" s="287"/>
      <c r="BR35" s="287"/>
      <c r="BS35" s="287"/>
      <c r="BT35" s="287"/>
      <c r="BU35" s="287"/>
      <c r="BV35" s="287"/>
      <c r="BW35" s="287"/>
      <c r="BX35" s="287"/>
      <c r="BY35" s="290"/>
    </row>
    <row r="36" spans="1:77" s="292" customFormat="1">
      <c r="A36" s="286" t="s">
        <v>399</v>
      </c>
      <c r="B36" s="287"/>
      <c r="C36" s="287" t="s">
        <v>400</v>
      </c>
      <c r="D36" s="287" t="s">
        <v>279</v>
      </c>
      <c r="E36" s="287" t="s">
        <v>441</v>
      </c>
      <c r="F36" s="287"/>
      <c r="G36" s="287"/>
      <c r="H36" s="294"/>
      <c r="I36" s="287"/>
      <c r="J36" s="288">
        <f t="shared" si="16"/>
        <v>0</v>
      </c>
      <c r="K36" s="288" t="s">
        <v>402</v>
      </c>
      <c r="L36" s="288"/>
      <c r="M36" s="287"/>
      <c r="N36" s="287"/>
      <c r="O36" s="287"/>
      <c r="P36" s="287"/>
      <c r="Q36" s="287"/>
      <c r="R36" s="287"/>
      <c r="S36" s="287"/>
      <c r="T36" s="287"/>
      <c r="U36" s="287"/>
      <c r="V36" s="287"/>
      <c r="W36" s="287"/>
      <c r="X36" s="289"/>
      <c r="Y36" s="290"/>
      <c r="Z36" s="291"/>
      <c r="AA36" s="287"/>
      <c r="AB36" s="287"/>
      <c r="AC36" s="287"/>
      <c r="AD36" s="287"/>
      <c r="AE36" s="287"/>
      <c r="AF36" s="287"/>
      <c r="AG36" s="287"/>
      <c r="AH36" s="287"/>
      <c r="AI36" s="287"/>
      <c r="AJ36" s="287"/>
      <c r="AK36" s="287"/>
      <c r="AL36" s="290"/>
      <c r="AM36" s="287"/>
      <c r="AN36" s="287"/>
      <c r="AO36" s="287"/>
      <c r="AP36" s="287"/>
      <c r="AQ36" s="287"/>
      <c r="AR36" s="287"/>
      <c r="AS36" s="287"/>
      <c r="AT36" s="287"/>
      <c r="AU36" s="287"/>
      <c r="AV36" s="287"/>
      <c r="AW36" s="287"/>
      <c r="AX36" s="287"/>
      <c r="AY36" s="290"/>
      <c r="AZ36" s="287"/>
      <c r="BA36" s="287"/>
      <c r="BB36" s="287"/>
      <c r="BC36" s="287"/>
      <c r="BD36" s="287"/>
      <c r="BE36" s="287"/>
      <c r="BF36" s="287"/>
      <c r="BG36" s="287"/>
      <c r="BH36" s="287"/>
      <c r="BI36" s="287"/>
      <c r="BJ36" s="287"/>
      <c r="BK36" s="287"/>
      <c r="BL36" s="290"/>
      <c r="BM36" s="287"/>
      <c r="BN36" s="287"/>
      <c r="BO36" s="287"/>
      <c r="BP36" s="287"/>
      <c r="BQ36" s="287"/>
      <c r="BR36" s="287"/>
      <c r="BS36" s="287"/>
      <c r="BT36" s="287"/>
      <c r="BU36" s="287"/>
      <c r="BV36" s="287"/>
      <c r="BW36" s="287"/>
      <c r="BX36" s="287"/>
      <c r="BY36" s="290"/>
    </row>
    <row r="37" spans="1:77" s="292" customFormat="1">
      <c r="A37" s="286" t="s">
        <v>399</v>
      </c>
      <c r="B37" s="287"/>
      <c r="C37" s="287" t="s">
        <v>400</v>
      </c>
      <c r="D37" s="287" t="s">
        <v>279</v>
      </c>
      <c r="E37" s="287" t="s">
        <v>442</v>
      </c>
      <c r="F37" s="287"/>
      <c r="G37" s="287"/>
      <c r="H37" s="294"/>
      <c r="I37" s="287"/>
      <c r="J37" s="288">
        <f t="shared" si="16"/>
        <v>0</v>
      </c>
      <c r="K37" s="288" t="s">
        <v>402</v>
      </c>
      <c r="L37" s="288"/>
      <c r="M37" s="287"/>
      <c r="N37" s="287"/>
      <c r="O37" s="287"/>
      <c r="P37" s="287"/>
      <c r="Q37" s="287"/>
      <c r="R37" s="287"/>
      <c r="S37" s="287"/>
      <c r="T37" s="287"/>
      <c r="U37" s="287"/>
      <c r="V37" s="287"/>
      <c r="W37" s="287"/>
      <c r="X37" s="289"/>
      <c r="Y37" s="290"/>
      <c r="Z37" s="291"/>
      <c r="AA37" s="287"/>
      <c r="AB37" s="287"/>
      <c r="AC37" s="287"/>
      <c r="AD37" s="287"/>
      <c r="AE37" s="287"/>
      <c r="AF37" s="287"/>
      <c r="AG37" s="287"/>
      <c r="AH37" s="287"/>
      <c r="AI37" s="287"/>
      <c r="AJ37" s="287"/>
      <c r="AK37" s="287"/>
      <c r="AL37" s="290"/>
      <c r="AM37" s="287"/>
      <c r="AN37" s="287"/>
      <c r="AO37" s="287"/>
      <c r="AP37" s="287"/>
      <c r="AQ37" s="287"/>
      <c r="AR37" s="287"/>
      <c r="AS37" s="287"/>
      <c r="AT37" s="287"/>
      <c r="AU37" s="287"/>
      <c r="AV37" s="287"/>
      <c r="AW37" s="287"/>
      <c r="AX37" s="287"/>
      <c r="AY37" s="290"/>
      <c r="AZ37" s="287"/>
      <c r="BA37" s="287"/>
      <c r="BB37" s="287"/>
      <c r="BC37" s="287"/>
      <c r="BD37" s="287"/>
      <c r="BE37" s="287"/>
      <c r="BF37" s="287"/>
      <c r="BG37" s="287"/>
      <c r="BH37" s="287"/>
      <c r="BI37" s="287"/>
      <c r="BJ37" s="287"/>
      <c r="BK37" s="287"/>
      <c r="BL37" s="290"/>
      <c r="BM37" s="287"/>
      <c r="BN37" s="287"/>
      <c r="BO37" s="287"/>
      <c r="BP37" s="287"/>
      <c r="BQ37" s="287"/>
      <c r="BR37" s="287"/>
      <c r="BS37" s="287"/>
      <c r="BT37" s="287"/>
      <c r="BU37" s="287"/>
      <c r="BV37" s="287"/>
      <c r="BW37" s="287"/>
      <c r="BX37" s="287"/>
      <c r="BY37" s="290"/>
    </row>
    <row r="38" spans="1:77" s="292" customFormat="1">
      <c r="A38" s="286" t="s">
        <v>399</v>
      </c>
      <c r="B38" s="287"/>
      <c r="C38" s="287" t="s">
        <v>400</v>
      </c>
      <c r="D38" s="287" t="s">
        <v>279</v>
      </c>
      <c r="E38" s="287" t="s">
        <v>443</v>
      </c>
      <c r="F38" s="287"/>
      <c r="G38" s="287"/>
      <c r="H38" s="294"/>
      <c r="I38" s="287"/>
      <c r="J38" s="288">
        <f t="shared" si="16"/>
        <v>0</v>
      </c>
      <c r="K38" s="288" t="s">
        <v>402</v>
      </c>
      <c r="L38" s="288"/>
      <c r="M38" s="287"/>
      <c r="N38" s="287"/>
      <c r="O38" s="287"/>
      <c r="P38" s="287"/>
      <c r="Q38" s="287"/>
      <c r="R38" s="287"/>
      <c r="S38" s="287"/>
      <c r="T38" s="287"/>
      <c r="U38" s="287"/>
      <c r="V38" s="287"/>
      <c r="W38" s="287"/>
      <c r="X38" s="289"/>
      <c r="Y38" s="290"/>
      <c r="Z38" s="291"/>
      <c r="AA38" s="287"/>
      <c r="AB38" s="287"/>
      <c r="AC38" s="287"/>
      <c r="AD38" s="287"/>
      <c r="AE38" s="287"/>
      <c r="AF38" s="287"/>
      <c r="AG38" s="287"/>
      <c r="AH38" s="287"/>
      <c r="AI38" s="287"/>
      <c r="AJ38" s="287"/>
      <c r="AK38" s="287"/>
      <c r="AL38" s="290"/>
      <c r="AM38" s="287"/>
      <c r="AN38" s="287"/>
      <c r="AO38" s="287"/>
      <c r="AP38" s="287"/>
      <c r="AQ38" s="287"/>
      <c r="AR38" s="287"/>
      <c r="AS38" s="287"/>
      <c r="AT38" s="287"/>
      <c r="AU38" s="287"/>
      <c r="AV38" s="287"/>
      <c r="AW38" s="287"/>
      <c r="AX38" s="287"/>
      <c r="AY38" s="290"/>
      <c r="AZ38" s="287"/>
      <c r="BA38" s="287"/>
      <c r="BB38" s="287"/>
      <c r="BC38" s="287"/>
      <c r="BD38" s="287"/>
      <c r="BE38" s="287"/>
      <c r="BF38" s="287"/>
      <c r="BG38" s="287"/>
      <c r="BH38" s="287"/>
      <c r="BI38" s="287"/>
      <c r="BJ38" s="287"/>
      <c r="BK38" s="287"/>
      <c r="BL38" s="290"/>
      <c r="BM38" s="287"/>
      <c r="BN38" s="287"/>
      <c r="BO38" s="287"/>
      <c r="BP38" s="287"/>
      <c r="BQ38" s="287"/>
      <c r="BR38" s="287"/>
      <c r="BS38" s="287"/>
      <c r="BT38" s="287"/>
      <c r="BU38" s="287"/>
      <c r="BV38" s="287"/>
      <c r="BW38" s="287"/>
      <c r="BX38" s="287"/>
      <c r="BY38" s="290"/>
    </row>
    <row r="39" spans="1:77" s="292" customFormat="1">
      <c r="A39" s="286" t="s">
        <v>399</v>
      </c>
      <c r="B39" s="287"/>
      <c r="C39" s="287" t="s">
        <v>400</v>
      </c>
      <c r="D39" s="287" t="s">
        <v>279</v>
      </c>
      <c r="E39" s="287" t="s">
        <v>444</v>
      </c>
      <c r="F39" s="287"/>
      <c r="G39" s="287"/>
      <c r="H39" s="294"/>
      <c r="I39" s="287"/>
      <c r="J39" s="288">
        <f t="shared" si="16"/>
        <v>0</v>
      </c>
      <c r="K39" s="288" t="s">
        <v>402</v>
      </c>
      <c r="L39" s="288"/>
      <c r="M39" s="287"/>
      <c r="N39" s="287"/>
      <c r="O39" s="287"/>
      <c r="P39" s="287"/>
      <c r="Q39" s="287"/>
      <c r="R39" s="287"/>
      <c r="S39" s="287"/>
      <c r="T39" s="287"/>
      <c r="U39" s="287"/>
      <c r="V39" s="287"/>
      <c r="W39" s="287"/>
      <c r="X39" s="289"/>
      <c r="Y39" s="290"/>
      <c r="Z39" s="291"/>
      <c r="AA39" s="287"/>
      <c r="AB39" s="287"/>
      <c r="AC39" s="287"/>
      <c r="AD39" s="287"/>
      <c r="AE39" s="287"/>
      <c r="AF39" s="287"/>
      <c r="AG39" s="287"/>
      <c r="AH39" s="287"/>
      <c r="AI39" s="287"/>
      <c r="AJ39" s="287"/>
      <c r="AK39" s="287"/>
      <c r="AL39" s="290"/>
      <c r="AM39" s="287"/>
      <c r="AN39" s="287"/>
      <c r="AO39" s="287"/>
      <c r="AP39" s="287"/>
      <c r="AQ39" s="287"/>
      <c r="AR39" s="287"/>
      <c r="AS39" s="287"/>
      <c r="AT39" s="287"/>
      <c r="AU39" s="287"/>
      <c r="AV39" s="287"/>
      <c r="AW39" s="287"/>
      <c r="AX39" s="287"/>
      <c r="AY39" s="290"/>
      <c r="AZ39" s="287"/>
      <c r="BA39" s="287"/>
      <c r="BB39" s="287"/>
      <c r="BC39" s="287"/>
      <c r="BD39" s="287"/>
      <c r="BE39" s="287"/>
      <c r="BF39" s="287"/>
      <c r="BG39" s="287"/>
      <c r="BH39" s="287"/>
      <c r="BI39" s="287"/>
      <c r="BJ39" s="287"/>
      <c r="BK39" s="287"/>
      <c r="BL39" s="290"/>
      <c r="BM39" s="287"/>
      <c r="BN39" s="287"/>
      <c r="BO39" s="287"/>
      <c r="BP39" s="287"/>
      <c r="BQ39" s="287"/>
      <c r="BR39" s="287"/>
      <c r="BS39" s="287"/>
      <c r="BT39" s="287"/>
      <c r="BU39" s="287"/>
      <c r="BV39" s="287"/>
      <c r="BW39" s="287"/>
      <c r="BX39" s="287"/>
      <c r="BY39" s="290"/>
    </row>
    <row r="40" spans="1:77" s="292" customFormat="1">
      <c r="A40" s="286" t="s">
        <v>399</v>
      </c>
      <c r="B40" s="287"/>
      <c r="C40" s="287" t="s">
        <v>400</v>
      </c>
      <c r="D40" s="287" t="s">
        <v>279</v>
      </c>
      <c r="E40" s="287" t="s">
        <v>445</v>
      </c>
      <c r="F40" s="287"/>
      <c r="G40" s="287"/>
      <c r="H40" s="294"/>
      <c r="I40" s="287"/>
      <c r="J40" s="288">
        <f t="shared" si="16"/>
        <v>0</v>
      </c>
      <c r="K40" s="288" t="s">
        <v>402</v>
      </c>
      <c r="L40" s="288"/>
      <c r="M40" s="287"/>
      <c r="N40" s="287"/>
      <c r="O40" s="287"/>
      <c r="P40" s="287"/>
      <c r="Q40" s="287"/>
      <c r="R40" s="287"/>
      <c r="S40" s="287"/>
      <c r="T40" s="287"/>
      <c r="U40" s="287"/>
      <c r="V40" s="287"/>
      <c r="W40" s="287"/>
      <c r="X40" s="289"/>
      <c r="Y40" s="290"/>
      <c r="Z40" s="291"/>
      <c r="AA40" s="287"/>
      <c r="AB40" s="287"/>
      <c r="AC40" s="287"/>
      <c r="AD40" s="287"/>
      <c r="AE40" s="287"/>
      <c r="AF40" s="287"/>
      <c r="AG40" s="287"/>
      <c r="AH40" s="287"/>
      <c r="AI40" s="287"/>
      <c r="AJ40" s="287"/>
      <c r="AK40" s="287"/>
      <c r="AL40" s="290"/>
      <c r="AM40" s="287"/>
      <c r="AN40" s="287"/>
      <c r="AO40" s="287"/>
      <c r="AP40" s="287"/>
      <c r="AQ40" s="287"/>
      <c r="AR40" s="287"/>
      <c r="AS40" s="287"/>
      <c r="AT40" s="287"/>
      <c r="AU40" s="287"/>
      <c r="AV40" s="287"/>
      <c r="AW40" s="287"/>
      <c r="AX40" s="287"/>
      <c r="AY40" s="290"/>
      <c r="AZ40" s="287"/>
      <c r="BA40" s="287"/>
      <c r="BB40" s="287"/>
      <c r="BC40" s="287"/>
      <c r="BD40" s="287"/>
      <c r="BE40" s="287"/>
      <c r="BF40" s="287"/>
      <c r="BG40" s="287"/>
      <c r="BH40" s="287"/>
      <c r="BI40" s="287"/>
      <c r="BJ40" s="287"/>
      <c r="BK40" s="287"/>
      <c r="BL40" s="290"/>
      <c r="BM40" s="287"/>
      <c r="BN40" s="287"/>
      <c r="BO40" s="287"/>
      <c r="BP40" s="287"/>
      <c r="BQ40" s="287"/>
      <c r="BR40" s="287"/>
      <c r="BS40" s="287"/>
      <c r="BT40" s="287"/>
      <c r="BU40" s="287"/>
      <c r="BV40" s="287"/>
      <c r="BW40" s="287"/>
      <c r="BX40" s="287"/>
      <c r="BY40" s="290"/>
    </row>
    <row r="41" spans="1:77" s="292" customFormat="1">
      <c r="A41" s="286" t="s">
        <v>399</v>
      </c>
      <c r="B41" s="287"/>
      <c r="C41" s="287" t="s">
        <v>400</v>
      </c>
      <c r="D41" s="287" t="s">
        <v>279</v>
      </c>
      <c r="E41" s="287" t="s">
        <v>446</v>
      </c>
      <c r="F41" s="287"/>
      <c r="G41" s="287"/>
      <c r="H41" s="294"/>
      <c r="I41" s="287"/>
      <c r="J41" s="288">
        <f t="shared" si="16"/>
        <v>0</v>
      </c>
      <c r="K41" s="288" t="s">
        <v>402</v>
      </c>
      <c r="L41" s="288"/>
      <c r="M41" s="287"/>
      <c r="N41" s="287"/>
      <c r="O41" s="287"/>
      <c r="P41" s="287"/>
      <c r="Q41" s="287"/>
      <c r="R41" s="287"/>
      <c r="S41" s="287"/>
      <c r="T41" s="287"/>
      <c r="U41" s="287"/>
      <c r="V41" s="287"/>
      <c r="W41" s="287"/>
      <c r="X41" s="289"/>
      <c r="Y41" s="290"/>
      <c r="Z41" s="291"/>
      <c r="AA41" s="287"/>
      <c r="AB41" s="287"/>
      <c r="AC41" s="287"/>
      <c r="AD41" s="287"/>
      <c r="AE41" s="287"/>
      <c r="AF41" s="287"/>
      <c r="AG41" s="287"/>
      <c r="AH41" s="287"/>
      <c r="AI41" s="287"/>
      <c r="AJ41" s="287"/>
      <c r="AK41" s="287"/>
      <c r="AL41" s="290"/>
      <c r="AM41" s="287"/>
      <c r="AN41" s="287"/>
      <c r="AO41" s="287"/>
      <c r="AP41" s="287"/>
      <c r="AQ41" s="287"/>
      <c r="AR41" s="287"/>
      <c r="AS41" s="287"/>
      <c r="AT41" s="287"/>
      <c r="AU41" s="287"/>
      <c r="AV41" s="287"/>
      <c r="AW41" s="287"/>
      <c r="AX41" s="287"/>
      <c r="AY41" s="290"/>
      <c r="AZ41" s="287"/>
      <c r="BA41" s="287"/>
      <c r="BB41" s="287"/>
      <c r="BC41" s="287"/>
      <c r="BD41" s="287"/>
      <c r="BE41" s="287"/>
      <c r="BF41" s="287"/>
      <c r="BG41" s="287"/>
      <c r="BH41" s="287"/>
      <c r="BI41" s="287"/>
      <c r="BJ41" s="287"/>
      <c r="BK41" s="287"/>
      <c r="BL41" s="290"/>
      <c r="BM41" s="287"/>
      <c r="BN41" s="287"/>
      <c r="BO41" s="287"/>
      <c r="BP41" s="287"/>
      <c r="BQ41" s="287"/>
      <c r="BR41" s="287"/>
      <c r="BS41" s="287"/>
      <c r="BT41" s="287"/>
      <c r="BU41" s="287"/>
      <c r="BV41" s="287"/>
      <c r="BW41" s="287"/>
      <c r="BX41" s="287"/>
      <c r="BY41" s="290"/>
    </row>
    <row r="42" spans="1:77" s="292" customFormat="1" ht="31.5">
      <c r="A42" s="286" t="s">
        <v>399</v>
      </c>
      <c r="B42" s="287"/>
      <c r="C42" s="287" t="s">
        <v>415</v>
      </c>
      <c r="D42" s="287" t="s">
        <v>279</v>
      </c>
      <c r="E42" s="287" t="s">
        <v>452</v>
      </c>
      <c r="F42" s="287"/>
      <c r="G42" s="295" t="s">
        <v>453</v>
      </c>
      <c r="H42" s="293"/>
      <c r="I42" s="295"/>
      <c r="J42" s="288">
        <f t="shared" si="16"/>
        <v>0</v>
      </c>
      <c r="K42" s="288" t="s">
        <v>402</v>
      </c>
      <c r="L42" s="288"/>
      <c r="M42" s="287"/>
      <c r="N42" s="287"/>
      <c r="O42" s="287"/>
      <c r="P42" s="287"/>
      <c r="Q42" s="287"/>
      <c r="R42" s="287"/>
      <c r="S42" s="287"/>
      <c r="T42" s="287"/>
      <c r="U42" s="287"/>
      <c r="V42" s="287"/>
      <c r="W42" s="287"/>
      <c r="X42" s="289"/>
      <c r="Y42" s="290"/>
      <c r="Z42" s="291"/>
      <c r="AA42" s="287"/>
      <c r="AB42" s="287"/>
      <c r="AC42" s="287"/>
      <c r="AD42" s="287"/>
      <c r="AE42" s="287"/>
      <c r="AF42" s="287"/>
      <c r="AG42" s="287"/>
      <c r="AH42" s="287"/>
      <c r="AI42" s="287"/>
      <c r="AJ42" s="287"/>
      <c r="AK42" s="287"/>
      <c r="AL42" s="290"/>
      <c r="AM42" s="287"/>
      <c r="AN42" s="287"/>
      <c r="AO42" s="287"/>
      <c r="AP42" s="287"/>
      <c r="AQ42" s="287"/>
      <c r="AR42" s="287"/>
      <c r="AS42" s="287"/>
      <c r="AT42" s="287"/>
      <c r="AU42" s="287"/>
      <c r="AV42" s="287"/>
      <c r="AW42" s="287"/>
      <c r="AX42" s="287"/>
      <c r="AY42" s="290"/>
      <c r="AZ42" s="287"/>
      <c r="BA42" s="287"/>
      <c r="BB42" s="287"/>
      <c r="BC42" s="287"/>
      <c r="BD42" s="287"/>
      <c r="BE42" s="287"/>
      <c r="BF42" s="287"/>
      <c r="BG42" s="287"/>
      <c r="BH42" s="287"/>
      <c r="BI42" s="287"/>
      <c r="BJ42" s="287"/>
      <c r="BK42" s="287"/>
      <c r="BL42" s="290"/>
      <c r="BM42" s="287"/>
      <c r="BN42" s="287"/>
      <c r="BO42" s="287"/>
      <c r="BP42" s="287"/>
      <c r="BQ42" s="287"/>
      <c r="BR42" s="287"/>
      <c r="BS42" s="287"/>
      <c r="BT42" s="287"/>
      <c r="BU42" s="287"/>
      <c r="BV42" s="287"/>
      <c r="BW42" s="287"/>
      <c r="BX42" s="287"/>
      <c r="BY42" s="290"/>
    </row>
    <row r="43" spans="1:77" s="292" customFormat="1">
      <c r="A43" s="286" t="s">
        <v>399</v>
      </c>
      <c r="B43" s="287"/>
      <c r="C43" s="287" t="s">
        <v>415</v>
      </c>
      <c r="D43" s="287" t="s">
        <v>279</v>
      </c>
      <c r="E43" s="287" t="s">
        <v>449</v>
      </c>
      <c r="F43" s="287"/>
      <c r="G43" s="287"/>
      <c r="H43" s="293"/>
      <c r="I43" s="287"/>
      <c r="J43" s="288">
        <f t="shared" si="16"/>
        <v>0</v>
      </c>
      <c r="K43" s="288" t="s">
        <v>402</v>
      </c>
      <c r="L43" s="288"/>
      <c r="M43" s="287"/>
      <c r="N43" s="287"/>
      <c r="O43" s="287"/>
      <c r="P43" s="287"/>
      <c r="Q43" s="287"/>
      <c r="R43" s="287"/>
      <c r="S43" s="287"/>
      <c r="T43" s="287"/>
      <c r="U43" s="287"/>
      <c r="V43" s="287"/>
      <c r="W43" s="287"/>
      <c r="X43" s="289"/>
      <c r="Y43" s="290"/>
      <c r="Z43" s="291"/>
      <c r="AA43" s="287"/>
      <c r="AB43" s="287"/>
      <c r="AC43" s="287"/>
      <c r="AD43" s="287"/>
      <c r="AE43" s="287"/>
      <c r="AF43" s="287"/>
      <c r="AG43" s="287"/>
      <c r="AH43" s="287"/>
      <c r="AI43" s="287"/>
      <c r="AJ43" s="287"/>
      <c r="AK43" s="287"/>
      <c r="AL43" s="290"/>
      <c r="AM43" s="287"/>
      <c r="AN43" s="287"/>
      <c r="AO43" s="287"/>
      <c r="AP43" s="287"/>
      <c r="AQ43" s="287"/>
      <c r="AR43" s="287"/>
      <c r="AS43" s="287"/>
      <c r="AT43" s="287"/>
      <c r="AU43" s="287"/>
      <c r="AV43" s="287"/>
      <c r="AW43" s="287"/>
      <c r="AX43" s="287"/>
      <c r="AY43" s="290"/>
      <c r="AZ43" s="287"/>
      <c r="BA43" s="287"/>
      <c r="BB43" s="287"/>
      <c r="BC43" s="287"/>
      <c r="BD43" s="287"/>
      <c r="BE43" s="287"/>
      <c r="BF43" s="287"/>
      <c r="BG43" s="287"/>
      <c r="BH43" s="287"/>
      <c r="BI43" s="287"/>
      <c r="BJ43" s="287"/>
      <c r="BK43" s="287"/>
      <c r="BL43" s="290"/>
      <c r="BM43" s="287"/>
      <c r="BN43" s="287"/>
      <c r="BO43" s="287"/>
      <c r="BP43" s="287"/>
      <c r="BQ43" s="287"/>
      <c r="BR43" s="287"/>
      <c r="BS43" s="287"/>
      <c r="BT43" s="287"/>
      <c r="BU43" s="287"/>
      <c r="BV43" s="287"/>
      <c r="BW43" s="287"/>
      <c r="BX43" s="287"/>
      <c r="BY43" s="290"/>
    </row>
    <row r="44" spans="1:77" s="292" customFormat="1">
      <c r="A44" s="286" t="s">
        <v>399</v>
      </c>
      <c r="B44" s="287"/>
      <c r="C44" s="287" t="s">
        <v>400</v>
      </c>
      <c r="D44" s="287" t="s">
        <v>279</v>
      </c>
      <c r="E44" s="287" t="s">
        <v>450</v>
      </c>
      <c r="F44" s="287"/>
      <c r="G44" s="287"/>
      <c r="H44" s="293"/>
      <c r="I44" s="287"/>
      <c r="J44" s="288">
        <f t="shared" si="16"/>
        <v>0</v>
      </c>
      <c r="K44" s="288" t="s">
        <v>402</v>
      </c>
      <c r="L44" s="288"/>
      <c r="M44" s="287"/>
      <c r="N44" s="287"/>
      <c r="O44" s="287"/>
      <c r="P44" s="287"/>
      <c r="Q44" s="287"/>
      <c r="R44" s="287"/>
      <c r="S44" s="287"/>
      <c r="T44" s="287"/>
      <c r="U44" s="287"/>
      <c r="V44" s="287"/>
      <c r="W44" s="287"/>
      <c r="X44" s="289"/>
      <c r="Y44" s="290"/>
      <c r="Z44" s="291"/>
      <c r="AA44" s="287"/>
      <c r="AB44" s="287"/>
      <c r="AC44" s="287"/>
      <c r="AD44" s="287"/>
      <c r="AE44" s="287"/>
      <c r="AF44" s="287"/>
      <c r="AG44" s="287"/>
      <c r="AH44" s="287"/>
      <c r="AI44" s="287"/>
      <c r="AJ44" s="287"/>
      <c r="AK44" s="287"/>
      <c r="AL44" s="290"/>
      <c r="AM44" s="287"/>
      <c r="AN44" s="287"/>
      <c r="AO44" s="287"/>
      <c r="AP44" s="287"/>
      <c r="AQ44" s="287"/>
      <c r="AR44" s="287"/>
      <c r="AS44" s="287"/>
      <c r="AT44" s="287"/>
      <c r="AU44" s="287"/>
      <c r="AV44" s="287"/>
      <c r="AW44" s="287"/>
      <c r="AX44" s="287"/>
      <c r="AY44" s="290"/>
      <c r="AZ44" s="287"/>
      <c r="BA44" s="287"/>
      <c r="BB44" s="287"/>
      <c r="BC44" s="287"/>
      <c r="BD44" s="287"/>
      <c r="BE44" s="287"/>
      <c r="BF44" s="287"/>
      <c r="BG44" s="287"/>
      <c r="BH44" s="287"/>
      <c r="BI44" s="287"/>
      <c r="BJ44" s="287"/>
      <c r="BK44" s="287"/>
      <c r="BL44" s="290"/>
      <c r="BM44" s="287"/>
      <c r="BN44" s="287"/>
      <c r="BO44" s="287"/>
      <c r="BP44" s="287"/>
      <c r="BQ44" s="287"/>
      <c r="BR44" s="287"/>
      <c r="BS44" s="287"/>
      <c r="BT44" s="287"/>
      <c r="BU44" s="287"/>
      <c r="BV44" s="287"/>
      <c r="BW44" s="287"/>
      <c r="BX44" s="287"/>
      <c r="BY44" s="290"/>
    </row>
    <row r="45" spans="1:77" s="292" customFormat="1">
      <c r="A45" s="286" t="s">
        <v>399</v>
      </c>
      <c r="B45" s="287"/>
      <c r="C45" s="287" t="s">
        <v>400</v>
      </c>
      <c r="D45" s="287" t="s">
        <v>279</v>
      </c>
      <c r="E45" s="287" t="s">
        <v>451</v>
      </c>
      <c r="F45" s="287"/>
      <c r="G45" s="287"/>
      <c r="H45" s="293">
        <v>0.04</v>
      </c>
      <c r="I45" s="287" t="s">
        <v>402</v>
      </c>
      <c r="J45" s="288">
        <f t="shared" si="16"/>
        <v>0</v>
      </c>
      <c r="K45" s="288" t="s">
        <v>402</v>
      </c>
      <c r="L45" s="288"/>
      <c r="M45" s="287"/>
      <c r="N45" s="287"/>
      <c r="O45" s="287"/>
      <c r="P45" s="287"/>
      <c r="Q45" s="287"/>
      <c r="R45" s="287"/>
      <c r="S45" s="287"/>
      <c r="T45" s="287"/>
      <c r="U45" s="287"/>
      <c r="V45" s="287"/>
      <c r="W45" s="287"/>
      <c r="X45" s="289"/>
      <c r="Y45" s="290"/>
      <c r="Z45" s="291"/>
      <c r="AA45" s="287"/>
      <c r="AB45" s="287"/>
      <c r="AC45" s="287"/>
      <c r="AD45" s="287"/>
      <c r="AE45" s="287"/>
      <c r="AF45" s="287"/>
      <c r="AG45" s="287"/>
      <c r="AH45" s="287"/>
      <c r="AI45" s="287"/>
      <c r="AJ45" s="287"/>
      <c r="AK45" s="287"/>
      <c r="AL45" s="290"/>
      <c r="AM45" s="287"/>
      <c r="AN45" s="287"/>
      <c r="AO45" s="287"/>
      <c r="AP45" s="287"/>
      <c r="AQ45" s="287"/>
      <c r="AR45" s="287"/>
      <c r="AS45" s="287"/>
      <c r="AT45" s="287"/>
      <c r="AU45" s="287"/>
      <c r="AV45" s="287"/>
      <c r="AW45" s="287"/>
      <c r="AX45" s="287"/>
      <c r="AY45" s="290"/>
      <c r="AZ45" s="287"/>
      <c r="BA45" s="287"/>
      <c r="BB45" s="287"/>
      <c r="BC45" s="287"/>
      <c r="BD45" s="287"/>
      <c r="BE45" s="287"/>
      <c r="BF45" s="287"/>
      <c r="BG45" s="287"/>
      <c r="BH45" s="287"/>
      <c r="BI45" s="287"/>
      <c r="BJ45" s="287"/>
      <c r="BK45" s="287"/>
      <c r="BL45" s="290"/>
      <c r="BM45" s="287"/>
      <c r="BN45" s="287"/>
      <c r="BO45" s="287"/>
      <c r="BP45" s="287"/>
      <c r="BQ45" s="287"/>
      <c r="BR45" s="287"/>
      <c r="BS45" s="287"/>
      <c r="BT45" s="287"/>
      <c r="BU45" s="287"/>
      <c r="BV45" s="287"/>
      <c r="BW45" s="287"/>
      <c r="BX45" s="287"/>
      <c r="BY45" s="290"/>
    </row>
    <row r="46" spans="1:77" s="292" customFormat="1">
      <c r="A46" s="286" t="s">
        <v>399</v>
      </c>
      <c r="B46" s="287"/>
      <c r="C46" s="287" t="s">
        <v>215</v>
      </c>
      <c r="D46" s="287" t="s">
        <v>416</v>
      </c>
      <c r="E46" s="287" t="s">
        <v>495</v>
      </c>
      <c r="F46" s="287"/>
      <c r="G46" s="295"/>
      <c r="H46" s="293"/>
      <c r="I46" s="295"/>
      <c r="J46" s="338">
        <f t="shared" si="16"/>
        <v>76545</v>
      </c>
      <c r="K46" s="288"/>
      <c r="L46" s="288"/>
      <c r="M46" s="287"/>
      <c r="N46" s="287"/>
      <c r="O46" s="287"/>
      <c r="P46" s="287"/>
      <c r="Q46" s="287"/>
      <c r="R46" s="287"/>
      <c r="S46" s="287"/>
      <c r="T46" s="287"/>
      <c r="U46" s="287"/>
      <c r="V46" s="287"/>
      <c r="W46" s="287"/>
      <c r="X46" s="289"/>
      <c r="Y46" s="290">
        <f>+'Income Statement'!B62</f>
        <v>945</v>
      </c>
      <c r="Z46" s="291"/>
      <c r="AA46" s="287"/>
      <c r="AB46" s="287"/>
      <c r="AC46" s="287"/>
      <c r="AD46" s="287"/>
      <c r="AE46" s="287"/>
      <c r="AF46" s="287"/>
      <c r="AG46" s="287"/>
      <c r="AH46" s="287"/>
      <c r="AI46" s="287"/>
      <c r="AJ46" s="287"/>
      <c r="AK46" s="287"/>
      <c r="AL46" s="290">
        <f>+'Income Statement'!C62</f>
        <v>23625</v>
      </c>
      <c r="AM46" s="290">
        <f>+'Income Statement'!P62</f>
        <v>0</v>
      </c>
      <c r="AN46" s="290">
        <f>+'Income Statement'!Q62</f>
        <v>0</v>
      </c>
      <c r="AO46" s="290">
        <f>+'Income Statement'!R62</f>
        <v>0</v>
      </c>
      <c r="AP46" s="290">
        <f>+'Income Statement'!S62</f>
        <v>0</v>
      </c>
      <c r="AQ46" s="290">
        <f>+'Income Statement'!T62</f>
        <v>0</v>
      </c>
      <c r="AR46" s="290">
        <f>+'Income Statement'!U62</f>
        <v>0</v>
      </c>
      <c r="AS46" s="290">
        <f>+'Income Statement'!V62</f>
        <v>0</v>
      </c>
      <c r="AT46" s="290">
        <f>+'Income Statement'!W62</f>
        <v>0</v>
      </c>
      <c r="AU46" s="290">
        <f>+'Income Statement'!X62</f>
        <v>0</v>
      </c>
      <c r="AV46" s="290">
        <f>+'Income Statement'!Y62</f>
        <v>0</v>
      </c>
      <c r="AW46" s="290">
        <f>+'Income Statement'!Z62</f>
        <v>0</v>
      </c>
      <c r="AX46" s="290">
        <f>+'Income Statement'!AA62</f>
        <v>0</v>
      </c>
      <c r="AY46" s="290">
        <f>+'Income Statement'!D62</f>
        <v>18900</v>
      </c>
      <c r="AZ46" s="290">
        <f>+'Income Statement'!AC62</f>
        <v>0</v>
      </c>
      <c r="BA46" s="290">
        <f>+'Income Statement'!AD62</f>
        <v>0</v>
      </c>
      <c r="BB46" s="290">
        <f>+'Income Statement'!AE62</f>
        <v>0</v>
      </c>
      <c r="BC46" s="290">
        <f>+'Income Statement'!AF62</f>
        <v>0</v>
      </c>
      <c r="BD46" s="290">
        <f>+'Income Statement'!AG62</f>
        <v>0</v>
      </c>
      <c r="BE46" s="290">
        <f>+'Income Statement'!AH62</f>
        <v>0</v>
      </c>
      <c r="BF46" s="290">
        <f>+'Income Statement'!AI62</f>
        <v>0</v>
      </c>
      <c r="BG46" s="290">
        <f>+'Income Statement'!AJ62</f>
        <v>0</v>
      </c>
      <c r="BH46" s="290">
        <f>+'Income Statement'!AK62</f>
        <v>0</v>
      </c>
      <c r="BI46" s="290">
        <f>+'Income Statement'!AL62</f>
        <v>0</v>
      </c>
      <c r="BJ46" s="290">
        <f>+'Income Statement'!AM62</f>
        <v>0</v>
      </c>
      <c r="BK46" s="290">
        <f>+'Income Statement'!AN62</f>
        <v>0</v>
      </c>
      <c r="BL46" s="290">
        <f>+'Income Statement'!E62</f>
        <v>17325</v>
      </c>
      <c r="BM46" s="290">
        <f>+'Income Statement'!AP62</f>
        <v>0</v>
      </c>
      <c r="BN46" s="290">
        <f>+'Income Statement'!AQ62</f>
        <v>0</v>
      </c>
      <c r="BO46" s="290">
        <f>+'Income Statement'!AR62</f>
        <v>0</v>
      </c>
      <c r="BP46" s="290">
        <f>+'Income Statement'!AS62</f>
        <v>0</v>
      </c>
      <c r="BQ46" s="290">
        <f>+'Income Statement'!AT62</f>
        <v>0</v>
      </c>
      <c r="BR46" s="290">
        <f>+'Income Statement'!AU62</f>
        <v>0</v>
      </c>
      <c r="BS46" s="290">
        <f>+'Income Statement'!AV62</f>
        <v>0</v>
      </c>
      <c r="BT46" s="290">
        <f>+'Income Statement'!AW62</f>
        <v>0</v>
      </c>
      <c r="BU46" s="290">
        <f>+'Income Statement'!AX62</f>
        <v>0</v>
      </c>
      <c r="BV46" s="290">
        <f>+'Income Statement'!AY62</f>
        <v>0</v>
      </c>
      <c r="BW46" s="290">
        <f>+'Income Statement'!AZ62</f>
        <v>0</v>
      </c>
      <c r="BX46" s="290">
        <f>+'Income Statement'!BA62</f>
        <v>0</v>
      </c>
      <c r="BY46" s="290">
        <f>+'Income Statement'!F62</f>
        <v>15750</v>
      </c>
    </row>
    <row r="47" spans="1:77" s="292" customFormat="1">
      <c r="A47" s="286" t="s">
        <v>399</v>
      </c>
      <c r="B47" s="287"/>
      <c r="C47" s="287" t="s">
        <v>415</v>
      </c>
      <c r="D47" s="287" t="s">
        <v>416</v>
      </c>
      <c r="E47" s="287" t="s">
        <v>417</v>
      </c>
      <c r="F47" s="287"/>
      <c r="G47" s="287"/>
      <c r="H47" s="287" t="s">
        <v>418</v>
      </c>
      <c r="I47" s="287"/>
      <c r="J47" s="288">
        <f t="shared" si="16"/>
        <v>0</v>
      </c>
      <c r="K47" s="288" t="s">
        <v>402</v>
      </c>
      <c r="L47" s="288"/>
      <c r="M47" s="287"/>
      <c r="N47" s="287"/>
      <c r="O47" s="287"/>
      <c r="P47" s="287"/>
      <c r="Q47" s="287"/>
      <c r="R47" s="287"/>
      <c r="S47" s="287"/>
      <c r="T47" s="287"/>
      <c r="U47" s="287"/>
      <c r="V47" s="287"/>
      <c r="W47" s="287"/>
      <c r="X47" s="289"/>
      <c r="Y47" s="290"/>
      <c r="Z47" s="291"/>
      <c r="AA47" s="287"/>
      <c r="AB47" s="287"/>
      <c r="AC47" s="287"/>
      <c r="AD47" s="287"/>
      <c r="AE47" s="287"/>
      <c r="AF47" s="287"/>
      <c r="AG47" s="287"/>
      <c r="AH47" s="287"/>
      <c r="AI47" s="287"/>
      <c r="AJ47" s="287"/>
      <c r="AK47" s="287"/>
      <c r="AL47" s="290"/>
      <c r="AM47" s="287"/>
      <c r="AN47" s="287"/>
      <c r="AO47" s="287"/>
      <c r="AP47" s="287"/>
      <c r="AQ47" s="287"/>
      <c r="AR47" s="287"/>
      <c r="AS47" s="287"/>
      <c r="AT47" s="287"/>
      <c r="AU47" s="287"/>
      <c r="AV47" s="287"/>
      <c r="AW47" s="287"/>
      <c r="AX47" s="287"/>
      <c r="AY47" s="290"/>
      <c r="AZ47" s="287"/>
      <c r="BA47" s="287"/>
      <c r="BB47" s="287"/>
      <c r="BC47" s="287"/>
      <c r="BD47" s="287"/>
      <c r="BE47" s="287"/>
      <c r="BF47" s="287"/>
      <c r="BG47" s="287"/>
      <c r="BH47" s="287"/>
      <c r="BI47" s="287"/>
      <c r="BJ47" s="287"/>
      <c r="BK47" s="287"/>
      <c r="BL47" s="290"/>
      <c r="BM47" s="287"/>
      <c r="BN47" s="287"/>
      <c r="BO47" s="287"/>
      <c r="BP47" s="287"/>
      <c r="BQ47" s="287"/>
      <c r="BR47" s="287"/>
      <c r="BS47" s="287"/>
      <c r="BT47" s="287"/>
      <c r="BU47" s="287"/>
      <c r="BV47" s="287"/>
      <c r="BW47" s="287"/>
      <c r="BX47" s="287"/>
      <c r="BY47" s="290"/>
    </row>
    <row r="48" spans="1:77" s="292" customFormat="1">
      <c r="A48" s="286" t="s">
        <v>399</v>
      </c>
      <c r="B48" s="287"/>
      <c r="C48" s="287" t="s">
        <v>415</v>
      </c>
      <c r="D48" s="287" t="s">
        <v>416</v>
      </c>
      <c r="E48" s="287" t="s">
        <v>447</v>
      </c>
      <c r="F48" s="287"/>
      <c r="G48" s="287"/>
      <c r="H48" s="294"/>
      <c r="I48" s="287"/>
      <c r="J48" s="288">
        <f t="shared" si="16"/>
        <v>0</v>
      </c>
      <c r="K48" s="288" t="s">
        <v>402</v>
      </c>
      <c r="L48" s="288"/>
      <c r="M48" s="287"/>
      <c r="N48" s="287"/>
      <c r="O48" s="287"/>
      <c r="P48" s="287"/>
      <c r="Q48" s="287"/>
      <c r="R48" s="287"/>
      <c r="S48" s="287"/>
      <c r="T48" s="287"/>
      <c r="U48" s="287"/>
      <c r="V48" s="287"/>
      <c r="W48" s="287"/>
      <c r="X48" s="289"/>
      <c r="Y48" s="290"/>
      <c r="Z48" s="291"/>
      <c r="AA48" s="287"/>
      <c r="AB48" s="287"/>
      <c r="AC48" s="287"/>
      <c r="AD48" s="287"/>
      <c r="AE48" s="287"/>
      <c r="AF48" s="287"/>
      <c r="AG48" s="287"/>
      <c r="AH48" s="287"/>
      <c r="AI48" s="287"/>
      <c r="AJ48" s="287"/>
      <c r="AK48" s="287"/>
      <c r="AL48" s="290"/>
      <c r="AM48" s="287"/>
      <c r="AN48" s="287"/>
      <c r="AO48" s="287"/>
      <c r="AP48" s="287"/>
      <c r="AQ48" s="287"/>
      <c r="AR48" s="287"/>
      <c r="AS48" s="287"/>
      <c r="AT48" s="287"/>
      <c r="AU48" s="287"/>
      <c r="AV48" s="287"/>
      <c r="AW48" s="287"/>
      <c r="AX48" s="287"/>
      <c r="AY48" s="290"/>
      <c r="AZ48" s="287"/>
      <c r="BA48" s="287"/>
      <c r="BB48" s="287"/>
      <c r="BC48" s="287"/>
      <c r="BD48" s="287"/>
      <c r="BE48" s="287"/>
      <c r="BF48" s="287"/>
      <c r="BG48" s="287"/>
      <c r="BH48" s="287"/>
      <c r="BI48" s="287"/>
      <c r="BJ48" s="287"/>
      <c r="BK48" s="287"/>
      <c r="BL48" s="290"/>
      <c r="BM48" s="287"/>
      <c r="BN48" s="287"/>
      <c r="BO48" s="287"/>
      <c r="BP48" s="287"/>
      <c r="BQ48" s="287"/>
      <c r="BR48" s="287"/>
      <c r="BS48" s="287"/>
      <c r="BT48" s="287"/>
      <c r="BU48" s="287"/>
      <c r="BV48" s="287"/>
      <c r="BW48" s="287"/>
      <c r="BX48" s="287"/>
      <c r="BY48" s="290"/>
    </row>
    <row r="49" spans="1:77" s="292" customFormat="1">
      <c r="A49" s="286" t="s">
        <v>399</v>
      </c>
      <c r="B49" s="287"/>
      <c r="C49" s="287" t="s">
        <v>400</v>
      </c>
      <c r="D49" s="287" t="s">
        <v>416</v>
      </c>
      <c r="E49" s="287" t="s">
        <v>448</v>
      </c>
      <c r="F49" s="287"/>
      <c r="G49" s="287"/>
      <c r="H49" s="294"/>
      <c r="I49" s="287"/>
      <c r="J49" s="288">
        <f t="shared" si="16"/>
        <v>0</v>
      </c>
      <c r="K49" s="288" t="s">
        <v>402</v>
      </c>
      <c r="L49" s="288"/>
      <c r="M49" s="287"/>
      <c r="N49" s="287"/>
      <c r="O49" s="287"/>
      <c r="P49" s="287"/>
      <c r="Q49" s="287"/>
      <c r="R49" s="287"/>
      <c r="S49" s="287"/>
      <c r="T49" s="287"/>
      <c r="U49" s="287"/>
      <c r="V49" s="287"/>
      <c r="W49" s="287"/>
      <c r="X49" s="289"/>
      <c r="Y49" s="290"/>
      <c r="Z49" s="291"/>
      <c r="AA49" s="287"/>
      <c r="AB49" s="287"/>
      <c r="AC49" s="287"/>
      <c r="AD49" s="287"/>
      <c r="AE49" s="287"/>
      <c r="AF49" s="287"/>
      <c r="AG49" s="287"/>
      <c r="AH49" s="287"/>
      <c r="AI49" s="287"/>
      <c r="AJ49" s="287"/>
      <c r="AK49" s="287"/>
      <c r="AL49" s="290"/>
      <c r="AM49" s="287"/>
      <c r="AN49" s="287"/>
      <c r="AO49" s="287"/>
      <c r="AP49" s="287"/>
      <c r="AQ49" s="287"/>
      <c r="AR49" s="287"/>
      <c r="AS49" s="287"/>
      <c r="AT49" s="287"/>
      <c r="AU49" s="287"/>
      <c r="AV49" s="287"/>
      <c r="AW49" s="287"/>
      <c r="AX49" s="287"/>
      <c r="AY49" s="290"/>
      <c r="AZ49" s="287"/>
      <c r="BA49" s="287"/>
      <c r="BB49" s="287"/>
      <c r="BC49" s="287"/>
      <c r="BD49" s="287"/>
      <c r="BE49" s="287"/>
      <c r="BF49" s="287"/>
      <c r="BG49" s="287"/>
      <c r="BH49" s="287"/>
      <c r="BI49" s="287"/>
      <c r="BJ49" s="287"/>
      <c r="BK49" s="287"/>
      <c r="BL49" s="290"/>
      <c r="BM49" s="287"/>
      <c r="BN49" s="287"/>
      <c r="BO49" s="287"/>
      <c r="BP49" s="287"/>
      <c r="BQ49" s="287"/>
      <c r="BR49" s="287"/>
      <c r="BS49" s="287"/>
      <c r="BT49" s="287"/>
      <c r="BU49" s="287"/>
      <c r="BV49" s="287"/>
      <c r="BW49" s="287"/>
      <c r="BX49" s="287"/>
      <c r="BY49" s="290"/>
    </row>
    <row r="50" spans="1:77" s="292" customFormat="1">
      <c r="A50" s="286" t="s">
        <v>399</v>
      </c>
      <c r="B50" s="287"/>
      <c r="C50" s="287" t="s">
        <v>400</v>
      </c>
      <c r="D50" s="287" t="s">
        <v>416</v>
      </c>
      <c r="E50" s="287" t="s">
        <v>430</v>
      </c>
      <c r="F50" s="287"/>
      <c r="G50" s="287"/>
      <c r="H50" s="293"/>
      <c r="I50" s="287"/>
      <c r="J50" s="288">
        <f t="shared" si="16"/>
        <v>0</v>
      </c>
      <c r="K50" s="288" t="s">
        <v>402</v>
      </c>
      <c r="L50" s="288"/>
      <c r="M50" s="287"/>
      <c r="N50" s="287"/>
      <c r="O50" s="287"/>
      <c r="P50" s="287"/>
      <c r="Q50" s="287"/>
      <c r="R50" s="287"/>
      <c r="S50" s="287"/>
      <c r="T50" s="287"/>
      <c r="U50" s="287"/>
      <c r="V50" s="287"/>
      <c r="W50" s="287"/>
      <c r="X50" s="289"/>
      <c r="Y50" s="290"/>
      <c r="Z50" s="291"/>
      <c r="AA50" s="287"/>
      <c r="AB50" s="287"/>
      <c r="AC50" s="287"/>
      <c r="AD50" s="287"/>
      <c r="AE50" s="287"/>
      <c r="AF50" s="287"/>
      <c r="AG50" s="287"/>
      <c r="AH50" s="287"/>
      <c r="AI50" s="287"/>
      <c r="AJ50" s="287"/>
      <c r="AK50" s="287"/>
      <c r="AL50" s="290"/>
      <c r="AM50" s="287"/>
      <c r="AN50" s="287"/>
      <c r="AO50" s="287"/>
      <c r="AP50" s="287"/>
      <c r="AQ50" s="287"/>
      <c r="AR50" s="287"/>
      <c r="AS50" s="287"/>
      <c r="AT50" s="287"/>
      <c r="AU50" s="287"/>
      <c r="AV50" s="287"/>
      <c r="AW50" s="287"/>
      <c r="AX50" s="287"/>
      <c r="AY50" s="290"/>
      <c r="AZ50" s="287"/>
      <c r="BA50" s="287"/>
      <c r="BB50" s="287"/>
      <c r="BC50" s="287"/>
      <c r="BD50" s="287"/>
      <c r="BE50" s="287"/>
      <c r="BF50" s="287"/>
      <c r="BG50" s="287"/>
      <c r="BH50" s="287"/>
      <c r="BI50" s="287"/>
      <c r="BJ50" s="287"/>
      <c r="BK50" s="287"/>
      <c r="BL50" s="290"/>
      <c r="BM50" s="287"/>
      <c r="BN50" s="287"/>
      <c r="BO50" s="287"/>
      <c r="BP50" s="287"/>
      <c r="BQ50" s="287"/>
      <c r="BR50" s="287"/>
      <c r="BS50" s="287"/>
      <c r="BT50" s="287"/>
      <c r="BU50" s="287"/>
      <c r="BV50" s="287"/>
      <c r="BW50" s="287"/>
      <c r="BX50" s="287"/>
      <c r="BY50" s="290"/>
    </row>
    <row r="51" spans="1:77" s="292" customFormat="1">
      <c r="A51" s="286" t="s">
        <v>399</v>
      </c>
      <c r="B51" s="287"/>
      <c r="C51" s="287" t="s">
        <v>400</v>
      </c>
      <c r="D51" s="287" t="s">
        <v>416</v>
      </c>
      <c r="E51" s="287" t="s">
        <v>492</v>
      </c>
      <c r="F51" s="287"/>
      <c r="G51" s="287"/>
      <c r="H51" s="293"/>
      <c r="I51" s="287"/>
      <c r="J51" s="288">
        <f t="shared" si="16"/>
        <v>0</v>
      </c>
      <c r="K51" s="288"/>
      <c r="L51" s="288"/>
      <c r="M51" s="287"/>
      <c r="N51" s="287"/>
      <c r="O51" s="287"/>
      <c r="P51" s="287"/>
      <c r="Q51" s="287"/>
      <c r="R51" s="287"/>
      <c r="S51" s="287"/>
      <c r="T51" s="287"/>
      <c r="U51" s="287"/>
      <c r="V51" s="287"/>
      <c r="W51" s="287"/>
      <c r="X51" s="289"/>
      <c r="Y51" s="290"/>
      <c r="Z51" s="291"/>
      <c r="AA51" s="287"/>
      <c r="AB51" s="287"/>
      <c r="AC51" s="287"/>
      <c r="AD51" s="287"/>
      <c r="AE51" s="287"/>
      <c r="AF51" s="287"/>
      <c r="AG51" s="287"/>
      <c r="AH51" s="287"/>
      <c r="AI51" s="287"/>
      <c r="AJ51" s="287"/>
      <c r="AK51" s="287"/>
      <c r="AL51" s="290"/>
      <c r="AM51" s="287"/>
      <c r="AN51" s="287"/>
      <c r="AO51" s="287"/>
      <c r="AP51" s="287"/>
      <c r="AQ51" s="287"/>
      <c r="AR51" s="287"/>
      <c r="AS51" s="287"/>
      <c r="AT51" s="287"/>
      <c r="AU51" s="287"/>
      <c r="AV51" s="287"/>
      <c r="AW51" s="287"/>
      <c r="AX51" s="287"/>
      <c r="AY51" s="290"/>
      <c r="AZ51" s="287"/>
      <c r="BA51" s="287"/>
      <c r="BB51" s="287"/>
      <c r="BC51" s="287"/>
      <c r="BD51" s="287"/>
      <c r="BE51" s="287"/>
      <c r="BF51" s="287"/>
      <c r="BG51" s="287"/>
      <c r="BH51" s="287"/>
      <c r="BI51" s="287"/>
      <c r="BJ51" s="287"/>
      <c r="BK51" s="287"/>
      <c r="BL51" s="290"/>
      <c r="BM51" s="287"/>
      <c r="BN51" s="287"/>
      <c r="BO51" s="287"/>
      <c r="BP51" s="287"/>
      <c r="BQ51" s="287"/>
      <c r="BR51" s="287"/>
      <c r="BS51" s="287"/>
      <c r="BT51" s="287"/>
      <c r="BU51" s="287"/>
      <c r="BV51" s="287"/>
      <c r="BW51" s="287"/>
      <c r="BX51" s="287"/>
      <c r="BY51" s="290"/>
    </row>
    <row r="52" spans="1:77" s="292" customFormat="1">
      <c r="A52" s="286" t="s">
        <v>399</v>
      </c>
      <c r="B52" s="287"/>
      <c r="C52" s="287" t="s">
        <v>400</v>
      </c>
      <c r="D52" s="287" t="s">
        <v>416</v>
      </c>
      <c r="E52" s="287" t="s">
        <v>493</v>
      </c>
      <c r="F52" s="287"/>
      <c r="G52" s="287"/>
      <c r="H52" s="293"/>
      <c r="I52" s="287"/>
      <c r="J52" s="288">
        <f t="shared" si="16"/>
        <v>0</v>
      </c>
      <c r="K52" s="288"/>
      <c r="L52" s="288"/>
      <c r="M52" s="287"/>
      <c r="N52" s="287"/>
      <c r="O52" s="287"/>
      <c r="P52" s="287"/>
      <c r="Q52" s="287"/>
      <c r="R52" s="287"/>
      <c r="S52" s="287"/>
      <c r="T52" s="287"/>
      <c r="U52" s="287"/>
      <c r="V52" s="287"/>
      <c r="W52" s="287"/>
      <c r="X52" s="289"/>
      <c r="Y52" s="290"/>
      <c r="Z52" s="291"/>
      <c r="AA52" s="287"/>
      <c r="AB52" s="287"/>
      <c r="AC52" s="287"/>
      <c r="AD52" s="287"/>
      <c r="AE52" s="287"/>
      <c r="AF52" s="287"/>
      <c r="AG52" s="287"/>
      <c r="AH52" s="287"/>
      <c r="AI52" s="287"/>
      <c r="AJ52" s="287"/>
      <c r="AK52" s="287"/>
      <c r="AL52" s="290"/>
      <c r="AM52" s="287"/>
      <c r="AN52" s="287"/>
      <c r="AO52" s="287"/>
      <c r="AP52" s="287"/>
      <c r="AQ52" s="287"/>
      <c r="AR52" s="287"/>
      <c r="AS52" s="287"/>
      <c r="AT52" s="287"/>
      <c r="AU52" s="287"/>
      <c r="AV52" s="287"/>
      <c r="AW52" s="287"/>
      <c r="AX52" s="287"/>
      <c r="AY52" s="290"/>
      <c r="AZ52" s="287"/>
      <c r="BA52" s="287"/>
      <c r="BB52" s="287"/>
      <c r="BC52" s="287"/>
      <c r="BD52" s="287"/>
      <c r="BE52" s="287"/>
      <c r="BF52" s="287"/>
      <c r="BG52" s="287"/>
      <c r="BH52" s="287"/>
      <c r="BI52" s="287"/>
      <c r="BJ52" s="287"/>
      <c r="BK52" s="287"/>
      <c r="BL52" s="290"/>
      <c r="BM52" s="287"/>
      <c r="BN52" s="287"/>
      <c r="BO52" s="287"/>
      <c r="BP52" s="287"/>
      <c r="BQ52" s="287"/>
      <c r="BR52" s="287"/>
      <c r="BS52" s="287"/>
      <c r="BT52" s="287"/>
      <c r="BU52" s="287"/>
      <c r="BV52" s="287"/>
      <c r="BW52" s="287"/>
      <c r="BX52" s="287"/>
      <c r="BY52" s="290"/>
    </row>
    <row r="53" spans="1:77" s="292" customFormat="1">
      <c r="A53" s="286" t="s">
        <v>399</v>
      </c>
      <c r="B53" s="287"/>
      <c r="C53" s="287" t="s">
        <v>215</v>
      </c>
      <c r="D53" s="287" t="s">
        <v>439</v>
      </c>
      <c r="E53" s="287" t="s">
        <v>439</v>
      </c>
      <c r="F53" s="287"/>
      <c r="G53" s="287"/>
      <c r="H53" s="293"/>
      <c r="I53" s="287"/>
      <c r="J53" s="288">
        <f t="shared" si="16"/>
        <v>0</v>
      </c>
      <c r="K53" s="288" t="s">
        <v>402</v>
      </c>
      <c r="L53" s="288"/>
      <c r="M53" s="287"/>
      <c r="N53" s="287"/>
      <c r="O53" s="287"/>
      <c r="P53" s="287"/>
      <c r="Q53" s="287"/>
      <c r="R53" s="287"/>
      <c r="S53" s="287"/>
      <c r="T53" s="287"/>
      <c r="U53" s="287"/>
      <c r="V53" s="287"/>
      <c r="W53" s="287"/>
      <c r="X53" s="289"/>
      <c r="Y53" s="290"/>
      <c r="Z53" s="291"/>
      <c r="AA53" s="287"/>
      <c r="AB53" s="287"/>
      <c r="AC53" s="287"/>
      <c r="AD53" s="287"/>
      <c r="AE53" s="287"/>
      <c r="AF53" s="287"/>
      <c r="AG53" s="287"/>
      <c r="AH53" s="287"/>
      <c r="AI53" s="287"/>
      <c r="AJ53" s="287"/>
      <c r="AK53" s="287"/>
      <c r="AL53" s="290"/>
      <c r="AM53" s="287"/>
      <c r="AN53" s="287"/>
      <c r="AO53" s="287"/>
      <c r="AP53" s="287"/>
      <c r="AQ53" s="287"/>
      <c r="AR53" s="287"/>
      <c r="AS53" s="287"/>
      <c r="AT53" s="287"/>
      <c r="AU53" s="287"/>
      <c r="AV53" s="287"/>
      <c r="AW53" s="287"/>
      <c r="AX53" s="287"/>
      <c r="AY53" s="290"/>
      <c r="AZ53" s="287"/>
      <c r="BA53" s="287"/>
      <c r="BB53" s="287"/>
      <c r="BC53" s="287"/>
      <c r="BD53" s="287"/>
      <c r="BE53" s="287"/>
      <c r="BF53" s="287"/>
      <c r="BG53" s="287"/>
      <c r="BH53" s="287"/>
      <c r="BI53" s="287"/>
      <c r="BJ53" s="287"/>
      <c r="BK53" s="287"/>
      <c r="BL53" s="290"/>
      <c r="BM53" s="287"/>
      <c r="BN53" s="287"/>
      <c r="BO53" s="287"/>
      <c r="BP53" s="287"/>
      <c r="BQ53" s="287"/>
      <c r="BR53" s="287"/>
      <c r="BS53" s="287"/>
      <c r="BT53" s="287"/>
      <c r="BU53" s="287"/>
      <c r="BV53" s="287"/>
      <c r="BW53" s="287"/>
      <c r="BX53" s="287"/>
      <c r="BY53" s="290"/>
    </row>
    <row r="54" spans="1:77" s="301" customFormat="1" ht="15" customHeight="1">
      <c r="A54" s="296" t="s">
        <v>274</v>
      </c>
      <c r="B54" s="297"/>
      <c r="C54" s="297"/>
      <c r="D54" s="297"/>
      <c r="E54" s="297" t="s">
        <v>454</v>
      </c>
      <c r="F54" s="297"/>
      <c r="G54" s="297"/>
      <c r="H54" s="297">
        <v>2.5</v>
      </c>
      <c r="I54" s="297" t="s">
        <v>402</v>
      </c>
      <c r="J54" s="297">
        <f t="shared" si="16"/>
        <v>0</v>
      </c>
      <c r="K54" s="297" t="s">
        <v>402</v>
      </c>
      <c r="L54" s="297"/>
      <c r="M54" s="297"/>
      <c r="N54" s="297"/>
      <c r="O54" s="297"/>
      <c r="P54" s="297"/>
      <c r="Q54" s="297"/>
      <c r="R54" s="297"/>
      <c r="S54" s="297"/>
      <c r="T54" s="297"/>
      <c r="U54" s="297"/>
      <c r="V54" s="297"/>
      <c r="W54" s="297"/>
      <c r="X54" s="298"/>
      <c r="Y54" s="299"/>
      <c r="Z54" s="300"/>
      <c r="AA54" s="297"/>
      <c r="AB54" s="297"/>
      <c r="AC54" s="297"/>
      <c r="AD54" s="297"/>
      <c r="AE54" s="297"/>
      <c r="AF54" s="297"/>
      <c r="AG54" s="297"/>
      <c r="AH54" s="297"/>
      <c r="AI54" s="297"/>
      <c r="AJ54" s="297"/>
      <c r="AK54" s="297"/>
      <c r="AL54" s="299"/>
      <c r="AM54" s="297"/>
      <c r="AN54" s="297"/>
      <c r="AO54" s="297"/>
      <c r="AP54" s="297"/>
      <c r="AQ54" s="297"/>
      <c r="AR54" s="297"/>
      <c r="AS54" s="297"/>
      <c r="AT54" s="297"/>
      <c r="AU54" s="297"/>
      <c r="AV54" s="297"/>
      <c r="AW54" s="297"/>
      <c r="AX54" s="297"/>
      <c r="AY54" s="299"/>
      <c r="AZ54" s="297"/>
      <c r="BA54" s="297"/>
      <c r="BB54" s="297"/>
      <c r="BC54" s="297"/>
      <c r="BD54" s="297"/>
      <c r="BE54" s="297"/>
      <c r="BF54" s="297"/>
      <c r="BG54" s="297"/>
      <c r="BH54" s="297"/>
      <c r="BI54" s="297"/>
      <c r="BJ54" s="297"/>
      <c r="BK54" s="297"/>
      <c r="BL54" s="299"/>
      <c r="BM54" s="297"/>
      <c r="BN54" s="297"/>
      <c r="BO54" s="297"/>
      <c r="BP54" s="297"/>
      <c r="BQ54" s="297"/>
      <c r="BR54" s="297"/>
      <c r="BS54" s="297"/>
      <c r="BT54" s="297"/>
      <c r="BU54" s="297"/>
      <c r="BV54" s="297"/>
      <c r="BW54" s="297"/>
      <c r="BX54" s="297"/>
      <c r="BY54" s="299"/>
    </row>
    <row r="55" spans="1:77" s="301" customFormat="1">
      <c r="A55" s="296" t="s">
        <v>274</v>
      </c>
      <c r="B55" s="297"/>
      <c r="C55" s="297"/>
      <c r="D55" s="297"/>
      <c r="E55" s="297" t="s">
        <v>455</v>
      </c>
      <c r="F55" s="297"/>
      <c r="G55" s="297"/>
      <c r="H55" s="297">
        <v>5</v>
      </c>
      <c r="I55" s="297" t="s">
        <v>402</v>
      </c>
      <c r="J55" s="297">
        <f t="shared" si="16"/>
        <v>0</v>
      </c>
      <c r="K55" s="297" t="s">
        <v>402</v>
      </c>
      <c r="L55" s="297"/>
      <c r="M55" s="297"/>
      <c r="N55" s="297"/>
      <c r="O55" s="297"/>
      <c r="P55" s="297"/>
      <c r="Q55" s="297"/>
      <c r="R55" s="297"/>
      <c r="S55" s="297"/>
      <c r="T55" s="297"/>
      <c r="U55" s="297"/>
      <c r="V55" s="297"/>
      <c r="W55" s="297"/>
      <c r="X55" s="298"/>
      <c r="Y55" s="299"/>
      <c r="Z55" s="300"/>
      <c r="AA55" s="297"/>
      <c r="AB55" s="297"/>
      <c r="AC55" s="297"/>
      <c r="AD55" s="297"/>
      <c r="AE55" s="297"/>
      <c r="AF55" s="297"/>
      <c r="AG55" s="297"/>
      <c r="AH55" s="297"/>
      <c r="AI55" s="297"/>
      <c r="AJ55" s="297"/>
      <c r="AK55" s="297"/>
      <c r="AL55" s="299"/>
      <c r="AM55" s="297"/>
      <c r="AN55" s="297"/>
      <c r="AO55" s="297"/>
      <c r="AP55" s="297"/>
      <c r="AQ55" s="297"/>
      <c r="AR55" s="297"/>
      <c r="AS55" s="297"/>
      <c r="AT55" s="297"/>
      <c r="AU55" s="297"/>
      <c r="AV55" s="297"/>
      <c r="AW55" s="297"/>
      <c r="AX55" s="297"/>
      <c r="AY55" s="299"/>
      <c r="AZ55" s="297"/>
      <c r="BA55" s="297"/>
      <c r="BB55" s="297"/>
      <c r="BC55" s="297"/>
      <c r="BD55" s="297"/>
      <c r="BE55" s="297"/>
      <c r="BF55" s="297"/>
      <c r="BG55" s="297"/>
      <c r="BH55" s="297"/>
      <c r="BI55" s="297"/>
      <c r="BJ55" s="297"/>
      <c r="BK55" s="297"/>
      <c r="BL55" s="299"/>
      <c r="BM55" s="297"/>
      <c r="BN55" s="297"/>
      <c r="BO55" s="297"/>
      <c r="BP55" s="297"/>
      <c r="BQ55" s="297"/>
      <c r="BR55" s="297"/>
      <c r="BS55" s="297"/>
      <c r="BT55" s="297"/>
      <c r="BU55" s="297"/>
      <c r="BV55" s="297"/>
      <c r="BW55" s="297"/>
      <c r="BX55" s="297"/>
      <c r="BY55" s="299"/>
    </row>
    <row r="56" spans="1:77" s="307" customFormat="1">
      <c r="A56" s="302" t="s">
        <v>456</v>
      </c>
      <c r="B56" s="303"/>
      <c r="C56" s="303"/>
      <c r="D56" s="303"/>
      <c r="E56" s="303" t="s">
        <v>457</v>
      </c>
      <c r="F56" s="303"/>
      <c r="G56" s="303"/>
      <c r="H56" s="303"/>
      <c r="I56" s="303"/>
      <c r="J56" s="303">
        <f t="shared" si="16"/>
        <v>0</v>
      </c>
      <c r="K56" s="303" t="s">
        <v>398</v>
      </c>
      <c r="L56" s="303"/>
      <c r="M56" s="303"/>
      <c r="N56" s="303"/>
      <c r="O56" s="303"/>
      <c r="P56" s="303"/>
      <c r="Q56" s="303"/>
      <c r="R56" s="303"/>
      <c r="S56" s="303"/>
      <c r="T56" s="303"/>
      <c r="U56" s="303"/>
      <c r="V56" s="303"/>
      <c r="W56" s="303"/>
      <c r="X56" s="304"/>
      <c r="Y56" s="305"/>
      <c r="Z56" s="306"/>
      <c r="AA56" s="303"/>
      <c r="AB56" s="303"/>
      <c r="AC56" s="303"/>
      <c r="AD56" s="303"/>
      <c r="AE56" s="303"/>
      <c r="AF56" s="303"/>
      <c r="AG56" s="303"/>
      <c r="AH56" s="303"/>
      <c r="AI56" s="303"/>
      <c r="AJ56" s="303"/>
      <c r="AK56" s="303"/>
      <c r="AL56" s="305"/>
      <c r="AM56" s="303"/>
      <c r="AN56" s="303"/>
      <c r="AO56" s="303"/>
      <c r="AP56" s="303"/>
      <c r="AQ56" s="303"/>
      <c r="AR56" s="303"/>
      <c r="AS56" s="303"/>
      <c r="AT56" s="303"/>
      <c r="AU56" s="303"/>
      <c r="AV56" s="303"/>
      <c r="AW56" s="303"/>
      <c r="AX56" s="303"/>
      <c r="AY56" s="305"/>
      <c r="AZ56" s="303"/>
      <c r="BA56" s="303"/>
      <c r="BB56" s="303"/>
      <c r="BC56" s="303"/>
      <c r="BD56" s="303"/>
      <c r="BE56" s="303"/>
      <c r="BF56" s="303"/>
      <c r="BG56" s="303"/>
      <c r="BH56" s="303"/>
      <c r="BI56" s="303"/>
      <c r="BJ56" s="303"/>
      <c r="BK56" s="303"/>
      <c r="BL56" s="305"/>
      <c r="BM56" s="303"/>
      <c r="BN56" s="303"/>
      <c r="BO56" s="303"/>
      <c r="BP56" s="303"/>
      <c r="BQ56" s="303"/>
      <c r="BR56" s="303"/>
      <c r="BS56" s="303"/>
      <c r="BT56" s="303"/>
      <c r="BU56" s="303"/>
      <c r="BV56" s="303"/>
      <c r="BW56" s="303"/>
      <c r="BX56" s="303"/>
      <c r="BY56" s="305"/>
    </row>
    <row r="57" spans="1:77" s="307" customFormat="1" ht="16.5" thickBot="1">
      <c r="A57" s="308" t="s">
        <v>456</v>
      </c>
      <c r="B57" s="309"/>
      <c r="C57" s="309"/>
      <c r="D57" s="309"/>
      <c r="E57" s="309" t="s">
        <v>458</v>
      </c>
      <c r="F57" s="309"/>
      <c r="G57" s="309"/>
      <c r="H57" s="309"/>
      <c r="I57" s="309"/>
      <c r="J57" s="309">
        <f t="shared" si="16"/>
        <v>0</v>
      </c>
      <c r="K57" s="309" t="s">
        <v>398</v>
      </c>
      <c r="L57" s="309"/>
      <c r="M57" s="309"/>
      <c r="N57" s="309"/>
      <c r="O57" s="309"/>
      <c r="P57" s="309"/>
      <c r="Q57" s="309"/>
      <c r="R57" s="309"/>
      <c r="S57" s="309"/>
      <c r="T57" s="309"/>
      <c r="U57" s="309"/>
      <c r="V57" s="309"/>
      <c r="W57" s="309"/>
      <c r="X57" s="310"/>
      <c r="Y57" s="311"/>
      <c r="Z57" s="312"/>
      <c r="AA57" s="309"/>
      <c r="AB57" s="309"/>
      <c r="AC57" s="309"/>
      <c r="AD57" s="309"/>
      <c r="AE57" s="309"/>
      <c r="AF57" s="309"/>
      <c r="AG57" s="309"/>
      <c r="AH57" s="309"/>
      <c r="AI57" s="309"/>
      <c r="AJ57" s="309"/>
      <c r="AK57" s="309"/>
      <c r="AL57" s="311"/>
      <c r="AM57" s="309"/>
      <c r="AN57" s="309"/>
      <c r="AO57" s="309"/>
      <c r="AP57" s="309"/>
      <c r="AQ57" s="309"/>
      <c r="AR57" s="309"/>
      <c r="AS57" s="309"/>
      <c r="AT57" s="309"/>
      <c r="AU57" s="309"/>
      <c r="AV57" s="309"/>
      <c r="AW57" s="309"/>
      <c r="AX57" s="309"/>
      <c r="AY57" s="311"/>
      <c r="AZ57" s="309"/>
      <c r="BA57" s="309"/>
      <c r="BB57" s="309"/>
      <c r="BC57" s="309"/>
      <c r="BD57" s="309"/>
      <c r="BE57" s="309"/>
      <c r="BF57" s="309"/>
      <c r="BG57" s="309"/>
      <c r="BH57" s="309"/>
      <c r="BI57" s="309"/>
      <c r="BJ57" s="309"/>
      <c r="BK57" s="309"/>
      <c r="BL57" s="311"/>
      <c r="BM57" s="309"/>
      <c r="BN57" s="309"/>
      <c r="BO57" s="309"/>
      <c r="BP57" s="309"/>
      <c r="BQ57" s="309"/>
      <c r="BR57" s="309"/>
      <c r="BS57" s="309"/>
      <c r="BT57" s="309"/>
      <c r="BU57" s="309"/>
      <c r="BV57" s="309"/>
      <c r="BW57" s="309"/>
      <c r="BX57" s="309"/>
      <c r="BY57" s="311"/>
    </row>
    <row r="58" spans="1:77" ht="16.5" thickBot="1">
      <c r="B58" s="272"/>
      <c r="C58" s="272"/>
      <c r="D58" s="272"/>
      <c r="E58" s="272"/>
      <c r="F58" s="272"/>
      <c r="G58" s="272"/>
      <c r="H58" s="272"/>
      <c r="I58" s="272"/>
      <c r="J58" s="272"/>
      <c r="K58" s="168"/>
      <c r="M58" s="313" t="s">
        <v>459</v>
      </c>
      <c r="N58" s="314"/>
      <c r="O58" s="314"/>
      <c r="P58" s="314"/>
      <c r="Q58" s="314"/>
      <c r="R58" s="314"/>
      <c r="S58" s="315">
        <v>44929</v>
      </c>
      <c r="T58" s="314"/>
      <c r="U58" s="314"/>
      <c r="V58" s="314"/>
      <c r="W58" s="314">
        <v>1</v>
      </c>
      <c r="X58" s="316"/>
      <c r="Y58" s="317"/>
      <c r="Z58" s="313"/>
      <c r="AA58" s="314"/>
      <c r="AB58" s="314"/>
      <c r="AC58" s="314"/>
      <c r="AD58" s="314"/>
      <c r="AE58" s="314"/>
      <c r="AF58" s="314"/>
      <c r="AG58" s="314"/>
      <c r="AH58" s="314"/>
      <c r="AI58" s="314"/>
      <c r="AJ58" s="314"/>
      <c r="AK58" s="314"/>
      <c r="AL58" s="317"/>
      <c r="AM58" s="314"/>
      <c r="AN58" s="314"/>
      <c r="AO58" s="314"/>
      <c r="AP58" s="314"/>
      <c r="AQ58" s="314"/>
      <c r="AR58" s="314"/>
      <c r="AS58" s="314"/>
      <c r="AT58" s="314"/>
      <c r="AU58" s="314"/>
      <c r="AV58" s="314"/>
      <c r="AW58" s="314"/>
      <c r="AX58" s="314"/>
      <c r="AY58" s="317"/>
      <c r="AZ58" s="314"/>
      <c r="BA58" s="314"/>
      <c r="BB58" s="314"/>
      <c r="BC58" s="314"/>
      <c r="BD58" s="314"/>
      <c r="BE58" s="314"/>
      <c r="BF58" s="314"/>
      <c r="BG58" s="314"/>
      <c r="BH58" s="314"/>
      <c r="BI58" s="314"/>
      <c r="BJ58" s="314"/>
      <c r="BK58" s="314"/>
      <c r="BL58" s="317"/>
      <c r="BM58" s="314"/>
      <c r="BN58" s="314"/>
      <c r="BO58" s="314"/>
      <c r="BP58" s="314"/>
      <c r="BQ58" s="314"/>
      <c r="BR58" s="314"/>
      <c r="BS58" s="314"/>
      <c r="BT58" s="314"/>
      <c r="BU58" s="314"/>
      <c r="BV58" s="314"/>
      <c r="BW58" s="314"/>
      <c r="BX58" s="314"/>
      <c r="BY58" s="317"/>
    </row>
    <row r="59" spans="1:77" ht="16.5" thickBot="1">
      <c r="A59" s="318"/>
      <c r="B59" s="318"/>
      <c r="C59" s="318"/>
      <c r="D59" s="318"/>
      <c r="E59" s="318"/>
      <c r="F59" s="318"/>
      <c r="G59" s="318"/>
      <c r="H59" s="318"/>
      <c r="I59" s="318"/>
      <c r="J59" s="318"/>
      <c r="K59" s="318"/>
      <c r="L59" s="353"/>
      <c r="M59" s="277">
        <f>DATE(YEAR($S$58)+($W$58-1),1,1)</f>
        <v>44927</v>
      </c>
      <c r="N59" s="274">
        <f>EDATE(M59,1)</f>
        <v>44958</v>
      </c>
      <c r="O59" s="274">
        <f t="shared" ref="O59:X59" si="22">EDATE(N59,1)</f>
        <v>44986</v>
      </c>
      <c r="P59" s="274">
        <f t="shared" si="22"/>
        <v>45017</v>
      </c>
      <c r="Q59" s="274">
        <f t="shared" si="22"/>
        <v>45047</v>
      </c>
      <c r="R59" s="274">
        <f t="shared" si="22"/>
        <v>45078</v>
      </c>
      <c r="S59" s="274">
        <f t="shared" si="22"/>
        <v>45108</v>
      </c>
      <c r="T59" s="274">
        <f t="shared" si="22"/>
        <v>45139</v>
      </c>
      <c r="U59" s="274">
        <f t="shared" si="22"/>
        <v>45170</v>
      </c>
      <c r="V59" s="274">
        <f t="shared" si="22"/>
        <v>45200</v>
      </c>
      <c r="W59" s="274">
        <f t="shared" si="22"/>
        <v>45231</v>
      </c>
      <c r="X59" s="275">
        <f t="shared" si="22"/>
        <v>45261</v>
      </c>
      <c r="Y59" s="276" t="s">
        <v>392</v>
      </c>
      <c r="Z59" s="277">
        <f>EDATE(X59,1)</f>
        <v>45292</v>
      </c>
      <c r="AA59" s="275">
        <f t="shared" ref="AA59:AX59" si="23">EDATE(Z59,1)</f>
        <v>45323</v>
      </c>
      <c r="AB59" s="275">
        <f t="shared" si="23"/>
        <v>45352</v>
      </c>
      <c r="AC59" s="275">
        <f t="shared" si="23"/>
        <v>45383</v>
      </c>
      <c r="AD59" s="275">
        <f t="shared" si="23"/>
        <v>45413</v>
      </c>
      <c r="AE59" s="275">
        <f t="shared" si="23"/>
        <v>45444</v>
      </c>
      <c r="AF59" s="275">
        <f t="shared" si="23"/>
        <v>45474</v>
      </c>
      <c r="AG59" s="275">
        <f t="shared" si="23"/>
        <v>45505</v>
      </c>
      <c r="AH59" s="275">
        <f t="shared" si="23"/>
        <v>45536</v>
      </c>
      <c r="AI59" s="275">
        <f t="shared" si="23"/>
        <v>45566</v>
      </c>
      <c r="AJ59" s="275">
        <f t="shared" si="23"/>
        <v>45597</v>
      </c>
      <c r="AK59" s="275">
        <f t="shared" si="23"/>
        <v>45627</v>
      </c>
      <c r="AL59" s="276" t="s">
        <v>393</v>
      </c>
      <c r="AM59" s="275">
        <f>EDATE(AK59,1)</f>
        <v>45658</v>
      </c>
      <c r="AN59" s="275">
        <f t="shared" si="23"/>
        <v>45689</v>
      </c>
      <c r="AO59" s="275">
        <f t="shared" si="23"/>
        <v>45717</v>
      </c>
      <c r="AP59" s="275">
        <f t="shared" si="23"/>
        <v>45748</v>
      </c>
      <c r="AQ59" s="275">
        <f t="shared" si="23"/>
        <v>45778</v>
      </c>
      <c r="AR59" s="275">
        <f t="shared" si="23"/>
        <v>45809</v>
      </c>
      <c r="AS59" s="275">
        <f t="shared" si="23"/>
        <v>45839</v>
      </c>
      <c r="AT59" s="275">
        <f t="shared" si="23"/>
        <v>45870</v>
      </c>
      <c r="AU59" s="275">
        <f t="shared" si="23"/>
        <v>45901</v>
      </c>
      <c r="AV59" s="275">
        <f t="shared" si="23"/>
        <v>45931</v>
      </c>
      <c r="AW59" s="275">
        <f t="shared" si="23"/>
        <v>45962</v>
      </c>
      <c r="AX59" s="275">
        <f t="shared" si="23"/>
        <v>45992</v>
      </c>
      <c r="AY59" s="276" t="s">
        <v>394</v>
      </c>
      <c r="AZ59" s="275">
        <f>EDATE(AX59,1)</f>
        <v>46023</v>
      </c>
      <c r="BA59" s="275">
        <f t="shared" ref="BA59:BK59" si="24">EDATE(AZ59,1)</f>
        <v>46054</v>
      </c>
      <c r="BB59" s="275">
        <f t="shared" si="24"/>
        <v>46082</v>
      </c>
      <c r="BC59" s="275">
        <f t="shared" si="24"/>
        <v>46113</v>
      </c>
      <c r="BD59" s="275">
        <f t="shared" si="24"/>
        <v>46143</v>
      </c>
      <c r="BE59" s="275">
        <f t="shared" si="24"/>
        <v>46174</v>
      </c>
      <c r="BF59" s="275">
        <f t="shared" si="24"/>
        <v>46204</v>
      </c>
      <c r="BG59" s="275">
        <f t="shared" si="24"/>
        <v>46235</v>
      </c>
      <c r="BH59" s="275">
        <f t="shared" si="24"/>
        <v>46266</v>
      </c>
      <c r="BI59" s="275">
        <f t="shared" si="24"/>
        <v>46296</v>
      </c>
      <c r="BJ59" s="275">
        <f t="shared" si="24"/>
        <v>46327</v>
      </c>
      <c r="BK59" s="275">
        <f t="shared" si="24"/>
        <v>46357</v>
      </c>
      <c r="BL59" s="276" t="s">
        <v>395</v>
      </c>
      <c r="BM59" s="275">
        <f>EDATE(BK59,1)</f>
        <v>46388</v>
      </c>
      <c r="BN59" s="275">
        <f t="shared" ref="BN59:BX59" si="25">EDATE(BM59,1)</f>
        <v>46419</v>
      </c>
      <c r="BO59" s="275">
        <f t="shared" si="25"/>
        <v>46447</v>
      </c>
      <c r="BP59" s="275">
        <f t="shared" si="25"/>
        <v>46478</v>
      </c>
      <c r="BQ59" s="275">
        <f t="shared" si="25"/>
        <v>46508</v>
      </c>
      <c r="BR59" s="275">
        <f t="shared" si="25"/>
        <v>46539</v>
      </c>
      <c r="BS59" s="275">
        <f t="shared" si="25"/>
        <v>46569</v>
      </c>
      <c r="BT59" s="275">
        <f t="shared" si="25"/>
        <v>46600</v>
      </c>
      <c r="BU59" s="275">
        <f t="shared" si="25"/>
        <v>46631</v>
      </c>
      <c r="BV59" s="275">
        <f t="shared" si="25"/>
        <v>46661</v>
      </c>
      <c r="BW59" s="275">
        <f t="shared" si="25"/>
        <v>46692</v>
      </c>
      <c r="BX59" s="275">
        <f t="shared" si="25"/>
        <v>46722</v>
      </c>
      <c r="BY59" s="276" t="s">
        <v>396</v>
      </c>
    </row>
    <row r="60" spans="1:77" s="322" customFormat="1" ht="18.75">
      <c r="A60" s="319" t="s">
        <v>460</v>
      </c>
      <c r="B60" s="319"/>
      <c r="C60" s="319"/>
      <c r="D60" s="319"/>
      <c r="E60" s="319" t="s">
        <v>461</v>
      </c>
      <c r="F60" s="320" t="s">
        <v>462</v>
      </c>
      <c r="G60" s="320" t="s">
        <v>463</v>
      </c>
      <c r="H60" s="320"/>
      <c r="I60" s="320"/>
      <c r="J60" s="319" t="s">
        <v>464</v>
      </c>
      <c r="K60" s="321"/>
      <c r="Y60" s="323"/>
      <c r="AL60" s="323"/>
      <c r="AY60" s="323"/>
      <c r="BL60" s="323"/>
      <c r="BY60" s="323"/>
    </row>
    <row r="61" spans="1:77">
      <c r="A61" s="324" t="s">
        <v>465</v>
      </c>
      <c r="B61" s="324"/>
      <c r="C61" s="324"/>
      <c r="D61" s="324"/>
      <c r="E61" s="324" t="s">
        <v>414</v>
      </c>
      <c r="F61" s="325">
        <v>44929</v>
      </c>
      <c r="G61" s="325">
        <v>44982</v>
      </c>
      <c r="H61" s="325"/>
      <c r="I61" s="325"/>
      <c r="J61" s="324">
        <f>+G61-F61</f>
        <v>53</v>
      </c>
      <c r="K61" s="326"/>
      <c r="M61" s="322"/>
      <c r="N61" s="322"/>
      <c r="O61" s="322"/>
      <c r="P61" s="322"/>
      <c r="Q61" s="322"/>
      <c r="R61" s="322"/>
      <c r="S61" s="322"/>
    </row>
    <row r="62" spans="1:77">
      <c r="A62" s="328" t="s">
        <v>466</v>
      </c>
      <c r="B62" s="328"/>
      <c r="C62" s="328"/>
      <c r="D62" s="328"/>
      <c r="E62" s="328" t="s">
        <v>430</v>
      </c>
      <c r="F62" s="315">
        <v>44929</v>
      </c>
      <c r="G62" s="315">
        <v>44982</v>
      </c>
      <c r="H62" s="315"/>
      <c r="I62" s="315"/>
      <c r="J62" s="328">
        <f>+G62-F62</f>
        <v>53</v>
      </c>
      <c r="K62" s="326"/>
      <c r="AI62" s="263">
        <v>0.94416666666666638</v>
      </c>
    </row>
    <row r="63" spans="1:77">
      <c r="A63" s="329" t="s">
        <v>467</v>
      </c>
      <c r="B63" s="329"/>
      <c r="C63" s="329"/>
      <c r="D63" s="329"/>
      <c r="E63" s="329" t="s">
        <v>468</v>
      </c>
      <c r="F63" s="330">
        <v>44930</v>
      </c>
      <c r="G63" s="330">
        <f>+G62+5</f>
        <v>44987</v>
      </c>
      <c r="H63" s="330"/>
      <c r="I63" s="330"/>
      <c r="J63" s="329">
        <f t="shared" ref="J63:J95" si="26">+G63-F63</f>
        <v>57</v>
      </c>
      <c r="K63" s="326"/>
    </row>
    <row r="64" spans="1:77">
      <c r="A64" s="329" t="s">
        <v>467</v>
      </c>
      <c r="B64" s="329"/>
      <c r="C64" s="329"/>
      <c r="D64" s="329"/>
      <c r="E64" s="329" t="s">
        <v>469</v>
      </c>
      <c r="F64" s="331">
        <v>44931</v>
      </c>
      <c r="G64" s="331">
        <f t="shared" ref="G64:G71" si="27">+G63+5</f>
        <v>44992</v>
      </c>
      <c r="H64" s="331"/>
      <c r="I64" s="331"/>
      <c r="J64" s="329">
        <f t="shared" si="26"/>
        <v>61</v>
      </c>
      <c r="K64" s="326"/>
    </row>
    <row r="65" spans="1:11">
      <c r="A65" s="329" t="s">
        <v>467</v>
      </c>
      <c r="B65" s="329"/>
      <c r="C65" s="329"/>
      <c r="D65" s="329"/>
      <c r="E65" s="329" t="s">
        <v>426</v>
      </c>
      <c r="F65" s="331">
        <v>44932</v>
      </c>
      <c r="G65" s="331">
        <f t="shared" si="27"/>
        <v>44997</v>
      </c>
      <c r="H65" s="331"/>
      <c r="I65" s="331"/>
      <c r="J65" s="329">
        <f t="shared" si="26"/>
        <v>65</v>
      </c>
      <c r="K65" s="326"/>
    </row>
    <row r="66" spans="1:11">
      <c r="A66" s="329" t="s">
        <v>467</v>
      </c>
      <c r="B66" s="329"/>
      <c r="C66" s="329"/>
      <c r="D66" s="329"/>
      <c r="E66" s="329" t="s">
        <v>427</v>
      </c>
      <c r="F66" s="331">
        <v>44933</v>
      </c>
      <c r="G66" s="331">
        <f t="shared" si="27"/>
        <v>45002</v>
      </c>
      <c r="H66" s="331"/>
      <c r="I66" s="331"/>
      <c r="J66" s="329">
        <f t="shared" si="26"/>
        <v>69</v>
      </c>
      <c r="K66" s="326"/>
    </row>
    <row r="67" spans="1:11">
      <c r="A67" s="329" t="s">
        <v>467</v>
      </c>
      <c r="B67" s="329"/>
      <c r="C67" s="329"/>
      <c r="D67" s="329"/>
      <c r="E67" s="329" t="s">
        <v>433</v>
      </c>
      <c r="F67" s="331">
        <v>44934</v>
      </c>
      <c r="G67" s="331">
        <f t="shared" si="27"/>
        <v>45007</v>
      </c>
      <c r="H67" s="331"/>
      <c r="I67" s="331"/>
      <c r="J67" s="329">
        <f t="shared" si="26"/>
        <v>73</v>
      </c>
      <c r="K67" s="326"/>
    </row>
    <row r="68" spans="1:11">
      <c r="A68" s="329" t="s">
        <v>467</v>
      </c>
      <c r="B68" s="329"/>
      <c r="C68" s="329"/>
      <c r="D68" s="329"/>
      <c r="E68" s="329" t="s">
        <v>434</v>
      </c>
      <c r="F68" s="331">
        <v>44935</v>
      </c>
      <c r="G68" s="331">
        <f t="shared" si="27"/>
        <v>45012</v>
      </c>
      <c r="H68" s="331"/>
      <c r="I68" s="331"/>
      <c r="J68" s="329">
        <f t="shared" si="26"/>
        <v>77</v>
      </c>
      <c r="K68" s="326"/>
    </row>
    <row r="69" spans="1:11">
      <c r="A69" s="329" t="s">
        <v>467</v>
      </c>
      <c r="B69" s="329"/>
      <c r="C69" s="329"/>
      <c r="D69" s="329"/>
      <c r="E69" s="329" t="s">
        <v>435</v>
      </c>
      <c r="F69" s="331">
        <v>44936</v>
      </c>
      <c r="G69" s="331">
        <f t="shared" si="27"/>
        <v>45017</v>
      </c>
      <c r="H69" s="331"/>
      <c r="I69" s="331"/>
      <c r="J69" s="329">
        <f t="shared" si="26"/>
        <v>81</v>
      </c>
      <c r="K69" s="326"/>
    </row>
    <row r="70" spans="1:11">
      <c r="A70" s="329" t="s">
        <v>467</v>
      </c>
      <c r="B70" s="329"/>
      <c r="C70" s="329"/>
      <c r="D70" s="329"/>
      <c r="E70" s="329" t="s">
        <v>436</v>
      </c>
      <c r="F70" s="331">
        <v>44937</v>
      </c>
      <c r="G70" s="331">
        <f t="shared" si="27"/>
        <v>45022</v>
      </c>
      <c r="H70" s="331"/>
      <c r="I70" s="331"/>
      <c r="J70" s="329">
        <f t="shared" si="26"/>
        <v>85</v>
      </c>
      <c r="K70" s="326"/>
    </row>
    <row r="71" spans="1:11">
      <c r="A71" s="329" t="s">
        <v>467</v>
      </c>
      <c r="B71" s="329"/>
      <c r="C71" s="329"/>
      <c r="D71" s="329"/>
      <c r="E71" s="329" t="s">
        <v>437</v>
      </c>
      <c r="F71" s="331">
        <v>44938</v>
      </c>
      <c r="G71" s="331">
        <f t="shared" si="27"/>
        <v>45027</v>
      </c>
      <c r="H71" s="331"/>
      <c r="I71" s="331"/>
      <c r="J71" s="329">
        <f t="shared" si="26"/>
        <v>89</v>
      </c>
      <c r="K71" s="326"/>
    </row>
    <row r="72" spans="1:11">
      <c r="A72" s="329" t="s">
        <v>467</v>
      </c>
      <c r="B72" s="329"/>
      <c r="C72" s="329"/>
      <c r="D72" s="329"/>
      <c r="E72" s="329" t="s">
        <v>438</v>
      </c>
      <c r="F72" s="331">
        <v>44939</v>
      </c>
      <c r="G72" s="331">
        <v>45763</v>
      </c>
      <c r="H72" s="331"/>
      <c r="I72" s="331"/>
      <c r="J72" s="329">
        <f t="shared" si="26"/>
        <v>824</v>
      </c>
      <c r="K72" s="326"/>
    </row>
    <row r="73" spans="1:11">
      <c r="A73" s="329" t="s">
        <v>467</v>
      </c>
      <c r="B73" s="329"/>
      <c r="C73" s="329"/>
      <c r="D73" s="329"/>
      <c r="E73" s="329" t="s">
        <v>447</v>
      </c>
      <c r="F73" s="331">
        <v>44940</v>
      </c>
      <c r="G73" s="331">
        <v>45037</v>
      </c>
      <c r="H73" s="331"/>
      <c r="I73" s="331"/>
      <c r="J73" s="329">
        <f t="shared" si="26"/>
        <v>97</v>
      </c>
      <c r="K73" s="326"/>
    </row>
    <row r="74" spans="1:11">
      <c r="A74" s="329" t="s">
        <v>467</v>
      </c>
      <c r="B74" s="329"/>
      <c r="C74" s="329"/>
      <c r="D74" s="329"/>
      <c r="E74" s="329" t="s">
        <v>448</v>
      </c>
      <c r="F74" s="331">
        <v>44941</v>
      </c>
      <c r="G74" s="331">
        <v>45042</v>
      </c>
      <c r="H74" s="331"/>
      <c r="I74" s="331"/>
      <c r="J74" s="329">
        <f t="shared" si="26"/>
        <v>101</v>
      </c>
      <c r="K74" s="326"/>
    </row>
    <row r="75" spans="1:11">
      <c r="A75" s="329" t="s">
        <v>467</v>
      </c>
      <c r="B75" s="329"/>
      <c r="C75" s="329"/>
      <c r="D75" s="329"/>
      <c r="E75" s="329" t="s">
        <v>452</v>
      </c>
      <c r="F75" s="331">
        <v>44942</v>
      </c>
      <c r="G75" s="331">
        <v>45047</v>
      </c>
      <c r="H75" s="331"/>
      <c r="I75" s="331"/>
      <c r="J75" s="329">
        <f t="shared" si="26"/>
        <v>105</v>
      </c>
      <c r="K75" s="326"/>
    </row>
    <row r="76" spans="1:11">
      <c r="A76" s="332" t="s">
        <v>470</v>
      </c>
      <c r="B76" s="332"/>
      <c r="C76" s="332"/>
      <c r="D76" s="332"/>
      <c r="E76" s="332" t="s">
        <v>471</v>
      </c>
      <c r="F76" s="333">
        <v>44943</v>
      </c>
      <c r="G76" s="333">
        <v>45052</v>
      </c>
      <c r="H76" s="333"/>
      <c r="I76" s="333"/>
      <c r="J76" s="332">
        <f t="shared" si="26"/>
        <v>109</v>
      </c>
      <c r="K76" s="326"/>
    </row>
    <row r="77" spans="1:11">
      <c r="A77" s="332" t="s">
        <v>470</v>
      </c>
      <c r="B77" s="332"/>
      <c r="C77" s="332"/>
      <c r="D77" s="332"/>
      <c r="E77" s="332" t="s">
        <v>419</v>
      </c>
      <c r="F77" s="333">
        <v>44944</v>
      </c>
      <c r="G77" s="333">
        <v>45057</v>
      </c>
      <c r="H77" s="333"/>
      <c r="I77" s="333"/>
      <c r="J77" s="332">
        <f t="shared" si="26"/>
        <v>113</v>
      </c>
      <c r="K77" s="326"/>
    </row>
    <row r="78" spans="1:11">
      <c r="A78" s="332" t="s">
        <v>470</v>
      </c>
      <c r="B78" s="332"/>
      <c r="C78" s="332"/>
      <c r="D78" s="332"/>
      <c r="E78" s="332" t="s">
        <v>420</v>
      </c>
      <c r="F78" s="333">
        <v>44945</v>
      </c>
      <c r="G78" s="333">
        <v>45062</v>
      </c>
      <c r="H78" s="333"/>
      <c r="I78" s="333"/>
      <c r="J78" s="332">
        <f t="shared" si="26"/>
        <v>117</v>
      </c>
      <c r="K78" s="326"/>
    </row>
    <row r="79" spans="1:11">
      <c r="A79" s="332" t="s">
        <v>470</v>
      </c>
      <c r="B79" s="332"/>
      <c r="C79" s="332"/>
      <c r="D79" s="332"/>
      <c r="E79" s="332" t="s">
        <v>472</v>
      </c>
      <c r="F79" s="333">
        <v>44946</v>
      </c>
      <c r="G79" s="333">
        <v>45067</v>
      </c>
      <c r="H79" s="333"/>
      <c r="I79" s="333"/>
      <c r="J79" s="332">
        <f t="shared" si="26"/>
        <v>121</v>
      </c>
      <c r="K79" s="326"/>
    </row>
    <row r="80" spans="1:11">
      <c r="A80" s="332" t="s">
        <v>470</v>
      </c>
      <c r="B80" s="332"/>
      <c r="C80" s="332"/>
      <c r="D80" s="332"/>
      <c r="E80" s="332" t="s">
        <v>473</v>
      </c>
      <c r="F80" s="333">
        <v>44947</v>
      </c>
      <c r="G80" s="333">
        <v>45072</v>
      </c>
      <c r="H80" s="333"/>
      <c r="I80" s="333"/>
      <c r="J80" s="332">
        <f t="shared" si="26"/>
        <v>125</v>
      </c>
      <c r="K80" s="326"/>
    </row>
    <row r="81" spans="1:11">
      <c r="A81" s="332" t="s">
        <v>470</v>
      </c>
      <c r="B81" s="332"/>
      <c r="C81" s="332"/>
      <c r="D81" s="332"/>
      <c r="E81" s="332" t="s">
        <v>428</v>
      </c>
      <c r="F81" s="333">
        <v>45313</v>
      </c>
      <c r="G81" s="333">
        <v>45077</v>
      </c>
      <c r="H81" s="333"/>
      <c r="I81" s="333"/>
      <c r="J81" s="332">
        <f t="shared" si="26"/>
        <v>-236</v>
      </c>
      <c r="K81" s="326"/>
    </row>
    <row r="82" spans="1:11">
      <c r="A82" s="332" t="s">
        <v>470</v>
      </c>
      <c r="B82" s="332"/>
      <c r="C82" s="332"/>
      <c r="D82" s="332"/>
      <c r="E82" s="332" t="s">
        <v>429</v>
      </c>
      <c r="F82" s="333">
        <v>44949</v>
      </c>
      <c r="G82" s="333">
        <v>45092</v>
      </c>
      <c r="H82" s="333"/>
      <c r="I82" s="333"/>
      <c r="J82" s="332">
        <f t="shared" si="26"/>
        <v>143</v>
      </c>
      <c r="K82" s="326"/>
    </row>
    <row r="83" spans="1:11">
      <c r="A83" s="332" t="s">
        <v>470</v>
      </c>
      <c r="B83" s="332"/>
      <c r="C83" s="332"/>
      <c r="D83" s="332"/>
      <c r="E83" s="332" t="s">
        <v>431</v>
      </c>
      <c r="F83" s="333">
        <v>44950</v>
      </c>
      <c r="G83" s="333">
        <v>45097</v>
      </c>
      <c r="H83" s="333"/>
      <c r="I83" s="333"/>
      <c r="J83" s="332">
        <f t="shared" si="26"/>
        <v>147</v>
      </c>
      <c r="K83" s="326"/>
    </row>
    <row r="84" spans="1:11">
      <c r="A84" s="332" t="s">
        <v>470</v>
      </c>
      <c r="B84" s="332"/>
      <c r="C84" s="332"/>
      <c r="D84" s="332"/>
      <c r="E84" s="332" t="s">
        <v>432</v>
      </c>
      <c r="F84" s="333">
        <v>45682</v>
      </c>
      <c r="G84" s="333">
        <v>45102</v>
      </c>
      <c r="H84" s="333"/>
      <c r="I84" s="333"/>
      <c r="J84" s="332">
        <f t="shared" si="26"/>
        <v>-580</v>
      </c>
      <c r="K84" s="326"/>
    </row>
    <row r="85" spans="1:11">
      <c r="A85" s="332" t="s">
        <v>470</v>
      </c>
      <c r="B85" s="332"/>
      <c r="C85" s="332"/>
      <c r="D85" s="332"/>
      <c r="E85" s="332" t="s">
        <v>439</v>
      </c>
      <c r="F85" s="333">
        <v>44952</v>
      </c>
      <c r="G85" s="333">
        <v>45107</v>
      </c>
      <c r="H85" s="333"/>
      <c r="I85" s="333"/>
      <c r="J85" s="332">
        <f t="shared" si="26"/>
        <v>155</v>
      </c>
      <c r="K85" s="326"/>
    </row>
    <row r="86" spans="1:11">
      <c r="A86" s="332" t="s">
        <v>470</v>
      </c>
      <c r="B86" s="332"/>
      <c r="C86" s="332"/>
      <c r="D86" s="332"/>
      <c r="E86" s="332" t="s">
        <v>440</v>
      </c>
      <c r="F86" s="333">
        <v>44953</v>
      </c>
      <c r="G86" s="333">
        <v>45112</v>
      </c>
      <c r="H86" s="333"/>
      <c r="I86" s="333"/>
      <c r="J86" s="332">
        <f t="shared" si="26"/>
        <v>159</v>
      </c>
      <c r="K86" s="326"/>
    </row>
    <row r="87" spans="1:11">
      <c r="A87" s="332" t="s">
        <v>470</v>
      </c>
      <c r="B87" s="332"/>
      <c r="C87" s="332"/>
      <c r="D87" s="332"/>
      <c r="E87" s="332" t="s">
        <v>441</v>
      </c>
      <c r="F87" s="333">
        <v>44954</v>
      </c>
      <c r="G87" s="333">
        <v>45117</v>
      </c>
      <c r="H87" s="333"/>
      <c r="I87" s="333"/>
      <c r="J87" s="332">
        <f t="shared" si="26"/>
        <v>163</v>
      </c>
      <c r="K87" s="326"/>
    </row>
    <row r="88" spans="1:11">
      <c r="A88" s="332" t="s">
        <v>470</v>
      </c>
      <c r="B88" s="332"/>
      <c r="C88" s="332"/>
      <c r="D88" s="332"/>
      <c r="E88" s="332" t="s">
        <v>442</v>
      </c>
      <c r="F88" s="333">
        <v>44955</v>
      </c>
      <c r="G88" s="333">
        <v>45122</v>
      </c>
      <c r="H88" s="333"/>
      <c r="I88" s="333"/>
      <c r="J88" s="332">
        <f t="shared" si="26"/>
        <v>167</v>
      </c>
      <c r="K88" s="326"/>
    </row>
    <row r="89" spans="1:11">
      <c r="A89" s="332" t="s">
        <v>470</v>
      </c>
      <c r="B89" s="332"/>
      <c r="C89" s="332"/>
      <c r="D89" s="332"/>
      <c r="E89" s="332" t="s">
        <v>443</v>
      </c>
      <c r="F89" s="333">
        <v>44956</v>
      </c>
      <c r="G89" s="333">
        <v>45127</v>
      </c>
      <c r="H89" s="333"/>
      <c r="I89" s="333"/>
      <c r="J89" s="332">
        <f t="shared" si="26"/>
        <v>171</v>
      </c>
      <c r="K89" s="326"/>
    </row>
    <row r="90" spans="1:11">
      <c r="A90" s="332" t="s">
        <v>470</v>
      </c>
      <c r="B90" s="332"/>
      <c r="C90" s="332"/>
      <c r="D90" s="332"/>
      <c r="E90" s="332" t="s">
        <v>444</v>
      </c>
      <c r="F90" s="333">
        <v>44957</v>
      </c>
      <c r="G90" s="333">
        <v>45132</v>
      </c>
      <c r="H90" s="333"/>
      <c r="I90" s="333"/>
      <c r="J90" s="332">
        <f t="shared" si="26"/>
        <v>175</v>
      </c>
      <c r="K90" s="326"/>
    </row>
    <row r="91" spans="1:11">
      <c r="A91" s="332" t="s">
        <v>470</v>
      </c>
      <c r="B91" s="332"/>
      <c r="C91" s="332"/>
      <c r="D91" s="332"/>
      <c r="E91" s="332" t="s">
        <v>445</v>
      </c>
      <c r="F91" s="333">
        <v>44958</v>
      </c>
      <c r="G91" s="333">
        <v>45137</v>
      </c>
      <c r="H91" s="333"/>
      <c r="I91" s="333"/>
      <c r="J91" s="332">
        <f t="shared" si="26"/>
        <v>179</v>
      </c>
      <c r="K91" s="326"/>
    </row>
    <row r="92" spans="1:11">
      <c r="A92" s="332" t="s">
        <v>470</v>
      </c>
      <c r="B92" s="332"/>
      <c r="C92" s="332"/>
      <c r="D92" s="332"/>
      <c r="E92" s="332" t="s">
        <v>446</v>
      </c>
      <c r="F92" s="333">
        <v>44959</v>
      </c>
      <c r="G92" s="333">
        <v>45142</v>
      </c>
      <c r="H92" s="333"/>
      <c r="I92" s="333"/>
      <c r="J92" s="332">
        <f t="shared" si="26"/>
        <v>183</v>
      </c>
      <c r="K92" s="326"/>
    </row>
    <row r="93" spans="1:11">
      <c r="A93" s="332" t="s">
        <v>470</v>
      </c>
      <c r="B93" s="332"/>
      <c r="C93" s="332"/>
      <c r="D93" s="332"/>
      <c r="E93" s="332" t="s">
        <v>449</v>
      </c>
      <c r="F93" s="333">
        <v>44960</v>
      </c>
      <c r="G93" s="333">
        <v>45147</v>
      </c>
      <c r="H93" s="333"/>
      <c r="I93" s="333"/>
      <c r="J93" s="332">
        <f t="shared" si="26"/>
        <v>187</v>
      </c>
      <c r="K93" s="326"/>
    </row>
    <row r="94" spans="1:11">
      <c r="A94" s="332" t="s">
        <v>470</v>
      </c>
      <c r="B94" s="332"/>
      <c r="C94" s="332"/>
      <c r="D94" s="332"/>
      <c r="E94" s="332" t="s">
        <v>450</v>
      </c>
      <c r="F94" s="333">
        <v>44961</v>
      </c>
      <c r="G94" s="333">
        <v>45152</v>
      </c>
      <c r="H94" s="333"/>
      <c r="I94" s="333"/>
      <c r="J94" s="332">
        <f t="shared" si="26"/>
        <v>191</v>
      </c>
      <c r="K94" s="326"/>
    </row>
    <row r="95" spans="1:11">
      <c r="A95" s="332" t="s">
        <v>470</v>
      </c>
      <c r="B95" s="334"/>
      <c r="C95" s="334"/>
      <c r="D95" s="334"/>
      <c r="E95" s="334" t="s">
        <v>451</v>
      </c>
      <c r="F95" s="335">
        <v>44962</v>
      </c>
      <c r="G95" s="335">
        <v>45157</v>
      </c>
      <c r="H95" s="335"/>
      <c r="I95" s="335"/>
      <c r="J95" s="334">
        <f t="shared" si="26"/>
        <v>195</v>
      </c>
      <c r="K95" s="336"/>
    </row>
  </sheetData>
  <autoFilter ref="A3:E57" xr:uid="{26DF870F-0128-4222-96E8-7179D7585BD6}"/>
  <mergeCells count="5">
    <mergeCell ref="M1:X1"/>
    <mergeCell ref="Z1:AK1"/>
    <mergeCell ref="AM1:AX1"/>
    <mergeCell ref="AZ1:BK1"/>
    <mergeCell ref="BM1:BX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D242-9F15-4D74-919A-CE232AB99BB9}">
  <dimension ref="B1:I56"/>
  <sheetViews>
    <sheetView topLeftCell="A42" workbookViewId="0">
      <selection activeCell="L54" sqref="L54"/>
    </sheetView>
  </sheetViews>
  <sheetFormatPr defaultRowHeight="15.75"/>
  <cols>
    <col min="2" max="2" width="14.75" bestFit="1" customWidth="1"/>
    <col min="5" max="5" width="19.625" bestFit="1" customWidth="1"/>
  </cols>
  <sheetData>
    <row r="1" spans="2:9">
      <c r="B1" t="s">
        <v>623</v>
      </c>
    </row>
    <row r="2" spans="2:9">
      <c r="B2" t="s">
        <v>481</v>
      </c>
      <c r="C2">
        <v>331000</v>
      </c>
      <c r="E2" t="s">
        <v>488</v>
      </c>
      <c r="F2">
        <v>89310</v>
      </c>
    </row>
    <row r="3" spans="2:9">
      <c r="B3" t="s">
        <v>482</v>
      </c>
      <c r="C3" s="187">
        <v>0.4</v>
      </c>
      <c r="E3" t="s">
        <v>489</v>
      </c>
      <c r="F3" s="337">
        <v>3.6999999999999998E-2</v>
      </c>
      <c r="I3" s="337"/>
    </row>
    <row r="4" spans="2:9">
      <c r="B4" t="s">
        <v>624</v>
      </c>
      <c r="C4" s="187">
        <v>0.2</v>
      </c>
      <c r="E4" t="s">
        <v>482</v>
      </c>
      <c r="F4" s="187">
        <v>0.4</v>
      </c>
      <c r="I4" s="187"/>
    </row>
    <row r="5" spans="2:9">
      <c r="B5" t="s">
        <v>483</v>
      </c>
      <c r="C5" s="192">
        <f>C2*C3*C4</f>
        <v>26480</v>
      </c>
      <c r="E5" t="s">
        <v>624</v>
      </c>
      <c r="F5" s="187">
        <v>0.2</v>
      </c>
      <c r="I5" s="187"/>
    </row>
    <row r="6" spans="2:9">
      <c r="B6" t="s">
        <v>484</v>
      </c>
      <c r="C6" s="187">
        <v>0.3</v>
      </c>
      <c r="E6" t="s">
        <v>483</v>
      </c>
      <c r="F6" s="192">
        <f>F2*(1-F3)*F5*(1-F4)</f>
        <v>10320.6636</v>
      </c>
      <c r="I6" s="192"/>
    </row>
    <row r="7" spans="2:9">
      <c r="B7" t="s">
        <v>485</v>
      </c>
      <c r="C7" s="192">
        <f>C5*C6</f>
        <v>7944</v>
      </c>
      <c r="E7" t="s">
        <v>484</v>
      </c>
      <c r="F7" s="187">
        <v>0.3</v>
      </c>
      <c r="I7" s="187"/>
    </row>
    <row r="8" spans="2:9">
      <c r="B8" t="s">
        <v>486</v>
      </c>
      <c r="C8">
        <v>12</v>
      </c>
      <c r="E8" t="s">
        <v>485</v>
      </c>
      <c r="F8" s="192">
        <f>F6*F7</f>
        <v>3096.1990799999999</v>
      </c>
      <c r="I8" s="192"/>
    </row>
    <row r="9" spans="2:9">
      <c r="B9" t="s">
        <v>487</v>
      </c>
      <c r="C9" s="192">
        <f>C7*C8</f>
        <v>95328</v>
      </c>
      <c r="E9" t="s">
        <v>486</v>
      </c>
      <c r="F9">
        <v>12</v>
      </c>
    </row>
    <row r="10" spans="2:9">
      <c r="E10" t="s">
        <v>487</v>
      </c>
      <c r="F10" s="192">
        <f>F8*F9</f>
        <v>37154.388959999997</v>
      </c>
      <c r="H10" t="s">
        <v>215</v>
      </c>
      <c r="I10" s="192">
        <f>C9+F10</f>
        <v>132482.38896000001</v>
      </c>
    </row>
    <row r="12" spans="2:9">
      <c r="B12" t="s">
        <v>625</v>
      </c>
    </row>
    <row r="13" spans="2:9">
      <c r="B13" t="s">
        <v>481</v>
      </c>
      <c r="C13">
        <v>331000</v>
      </c>
      <c r="E13" t="s">
        <v>488</v>
      </c>
      <c r="F13">
        <v>89310</v>
      </c>
    </row>
    <row r="14" spans="2:9">
      <c r="B14" t="s">
        <v>482</v>
      </c>
      <c r="C14" s="187">
        <v>0.4</v>
      </c>
      <c r="E14" t="s">
        <v>489</v>
      </c>
      <c r="F14" s="337">
        <v>3.6999999999999998E-2</v>
      </c>
    </row>
    <row r="15" spans="2:9">
      <c r="B15" t="s">
        <v>624</v>
      </c>
      <c r="C15" s="187">
        <v>0.16</v>
      </c>
      <c r="E15" t="s">
        <v>482</v>
      </c>
      <c r="F15" s="187">
        <v>0.4</v>
      </c>
    </row>
    <row r="16" spans="2:9">
      <c r="B16" t="s">
        <v>483</v>
      </c>
      <c r="C16" s="192">
        <f>C13*C14*C15</f>
        <v>21184</v>
      </c>
      <c r="E16" t="s">
        <v>624</v>
      </c>
      <c r="F16" s="187">
        <v>0.15</v>
      </c>
    </row>
    <row r="17" spans="2:9">
      <c r="B17" t="s">
        <v>484</v>
      </c>
      <c r="C17" s="187">
        <v>0.3</v>
      </c>
      <c r="E17" t="s">
        <v>483</v>
      </c>
      <c r="F17" s="192">
        <f>F13*(1-F14)*F16*(1-F15)</f>
        <v>7740.4976999999999</v>
      </c>
    </row>
    <row r="18" spans="2:9">
      <c r="B18" t="s">
        <v>485</v>
      </c>
      <c r="C18" s="192">
        <f>C16*C17</f>
        <v>6355.2</v>
      </c>
      <c r="E18" t="s">
        <v>484</v>
      </c>
      <c r="F18" s="187">
        <v>0.3</v>
      </c>
    </row>
    <row r="19" spans="2:9">
      <c r="B19" t="s">
        <v>486</v>
      </c>
      <c r="C19">
        <v>12</v>
      </c>
      <c r="E19" t="s">
        <v>485</v>
      </c>
      <c r="F19" s="192">
        <f>F17*F18</f>
        <v>2322.1493099999998</v>
      </c>
    </row>
    <row r="20" spans="2:9">
      <c r="B20" t="s">
        <v>487</v>
      </c>
      <c r="C20" s="192">
        <f>C18*C19</f>
        <v>76262.399999999994</v>
      </c>
      <c r="E20" t="s">
        <v>486</v>
      </c>
      <c r="F20">
        <v>12</v>
      </c>
    </row>
    <row r="21" spans="2:9">
      <c r="E21" t="s">
        <v>487</v>
      </c>
      <c r="F21" s="192">
        <f>F19*F20</f>
        <v>27865.791719999997</v>
      </c>
      <c r="H21" t="s">
        <v>215</v>
      </c>
      <c r="I21" s="192">
        <f>C20+F21</f>
        <v>104128.19171999999</v>
      </c>
    </row>
    <row r="23" spans="2:9">
      <c r="B23" t="s">
        <v>626</v>
      </c>
    </row>
    <row r="24" spans="2:9">
      <c r="B24" t="s">
        <v>481</v>
      </c>
      <c r="C24">
        <v>331000</v>
      </c>
      <c r="E24" t="s">
        <v>488</v>
      </c>
      <c r="F24">
        <v>89310</v>
      </c>
    </row>
    <row r="25" spans="2:9">
      <c r="B25" t="s">
        <v>482</v>
      </c>
      <c r="C25" s="187">
        <v>0.4</v>
      </c>
      <c r="E25" t="s">
        <v>489</v>
      </c>
      <c r="F25" s="337">
        <v>3.6999999999999998E-2</v>
      </c>
    </row>
    <row r="26" spans="2:9">
      <c r="B26" t="s">
        <v>624</v>
      </c>
      <c r="C26" s="187">
        <v>0.12</v>
      </c>
      <c r="E26" t="s">
        <v>482</v>
      </c>
      <c r="F26" s="187">
        <v>0.4</v>
      </c>
    </row>
    <row r="27" spans="2:9">
      <c r="B27" t="s">
        <v>483</v>
      </c>
      <c r="C27" s="192">
        <f>C24*C25*C26</f>
        <v>15888</v>
      </c>
      <c r="E27" t="s">
        <v>624</v>
      </c>
      <c r="F27" s="187">
        <v>0.12</v>
      </c>
    </row>
    <row r="28" spans="2:9">
      <c r="B28" t="s">
        <v>484</v>
      </c>
      <c r="C28" s="187">
        <v>0.3</v>
      </c>
      <c r="E28" t="s">
        <v>483</v>
      </c>
      <c r="F28" s="192">
        <f>F24*(1-F25)*F27*(1-F26)</f>
        <v>6192.3981599999997</v>
      </c>
    </row>
    <row r="29" spans="2:9">
      <c r="B29" t="s">
        <v>485</v>
      </c>
      <c r="C29" s="192">
        <f>C27*C28</f>
        <v>4766.3999999999996</v>
      </c>
      <c r="E29" t="s">
        <v>484</v>
      </c>
      <c r="F29" s="187">
        <v>0.3</v>
      </c>
    </row>
    <row r="30" spans="2:9">
      <c r="B30" t="s">
        <v>486</v>
      </c>
      <c r="C30">
        <v>12</v>
      </c>
      <c r="E30" t="s">
        <v>485</v>
      </c>
      <c r="F30" s="192">
        <f>F28*F29</f>
        <v>1857.7194479999998</v>
      </c>
    </row>
    <row r="31" spans="2:9">
      <c r="B31" t="s">
        <v>487</v>
      </c>
      <c r="C31" s="192">
        <f>C29*C30</f>
        <v>57196.799999999996</v>
      </c>
      <c r="E31" t="s">
        <v>486</v>
      </c>
      <c r="F31">
        <v>12</v>
      </c>
    </row>
    <row r="32" spans="2:9">
      <c r="E32" t="s">
        <v>487</v>
      </c>
      <c r="F32" s="192">
        <f>F30*F31</f>
        <v>22292.633375999998</v>
      </c>
      <c r="H32" t="s">
        <v>215</v>
      </c>
      <c r="I32" s="192">
        <f>C31+F32</f>
        <v>79489.433376000001</v>
      </c>
    </row>
    <row r="34" spans="2:9">
      <c r="B34" t="s">
        <v>627</v>
      </c>
    </row>
    <row r="35" spans="2:9">
      <c r="B35" t="s">
        <v>481</v>
      </c>
      <c r="C35">
        <v>331000</v>
      </c>
      <c r="E35" t="s">
        <v>488</v>
      </c>
      <c r="F35">
        <v>89310</v>
      </c>
    </row>
    <row r="36" spans="2:9">
      <c r="B36" t="s">
        <v>482</v>
      </c>
      <c r="C36" s="187">
        <v>0.4</v>
      </c>
      <c r="E36" t="s">
        <v>489</v>
      </c>
      <c r="F36" s="337">
        <v>3.6999999999999998E-2</v>
      </c>
    </row>
    <row r="37" spans="2:9">
      <c r="B37" t="s">
        <v>624</v>
      </c>
      <c r="C37" s="187">
        <v>0.08</v>
      </c>
      <c r="E37" t="s">
        <v>482</v>
      </c>
      <c r="F37" s="187">
        <v>0.4</v>
      </c>
    </row>
    <row r="38" spans="2:9">
      <c r="B38" t="s">
        <v>483</v>
      </c>
      <c r="C38" s="192">
        <f>C35*C36*C37</f>
        <v>10592</v>
      </c>
      <c r="E38" t="s">
        <v>624</v>
      </c>
      <c r="F38" s="187">
        <v>0.08</v>
      </c>
    </row>
    <row r="39" spans="2:9">
      <c r="B39" t="s">
        <v>484</v>
      </c>
      <c r="C39" s="187">
        <v>0.3</v>
      </c>
      <c r="E39" t="s">
        <v>483</v>
      </c>
      <c r="F39" s="192">
        <f>F35*(1-F36)*F38*(1-F37)</f>
        <v>4128.2654400000001</v>
      </c>
    </row>
    <row r="40" spans="2:9">
      <c r="B40" t="s">
        <v>485</v>
      </c>
      <c r="C40" s="192">
        <f>C38*C39</f>
        <v>3177.6</v>
      </c>
      <c r="E40" t="s">
        <v>484</v>
      </c>
      <c r="F40" s="187">
        <v>0.3</v>
      </c>
    </row>
    <row r="41" spans="2:9">
      <c r="B41" t="s">
        <v>486</v>
      </c>
      <c r="C41">
        <v>12</v>
      </c>
      <c r="E41" t="s">
        <v>485</v>
      </c>
      <c r="F41" s="192">
        <f>F39*F40</f>
        <v>1238.479632</v>
      </c>
    </row>
    <row r="42" spans="2:9">
      <c r="B42" t="s">
        <v>487</v>
      </c>
      <c r="C42" s="192">
        <f>C40*C41</f>
        <v>38131.199999999997</v>
      </c>
      <c r="E42" t="s">
        <v>486</v>
      </c>
      <c r="F42">
        <v>12</v>
      </c>
    </row>
    <row r="43" spans="2:9">
      <c r="E43" t="s">
        <v>487</v>
      </c>
      <c r="F43" s="192">
        <f>F41*F42</f>
        <v>14861.755584</v>
      </c>
      <c r="H43" t="s">
        <v>215</v>
      </c>
      <c r="I43" s="192">
        <f>C42+F43</f>
        <v>52992.955583999996</v>
      </c>
    </row>
    <row r="45" spans="2:9">
      <c r="B45" t="s">
        <v>628</v>
      </c>
    </row>
    <row r="46" spans="2:9">
      <c r="B46" t="s">
        <v>629</v>
      </c>
      <c r="C46">
        <v>12670</v>
      </c>
      <c r="E46" t="s">
        <v>488</v>
      </c>
      <c r="F46">
        <v>89310</v>
      </c>
    </row>
    <row r="47" spans="2:9">
      <c r="B47" t="s">
        <v>482</v>
      </c>
      <c r="C47" s="187">
        <v>0.4</v>
      </c>
      <c r="E47" t="s">
        <v>630</v>
      </c>
      <c r="F47" s="187">
        <v>0.04</v>
      </c>
    </row>
    <row r="48" spans="2:9">
      <c r="B48" t="s">
        <v>624</v>
      </c>
      <c r="C48" s="187">
        <v>0.04</v>
      </c>
      <c r="E48" t="s">
        <v>629</v>
      </c>
      <c r="F48" s="192">
        <f>F46*F47</f>
        <v>3572.4</v>
      </c>
    </row>
    <row r="49" spans="2:9">
      <c r="B49" t="s">
        <v>483</v>
      </c>
      <c r="C49" s="192">
        <f>C46*C47*C48</f>
        <v>202.72</v>
      </c>
      <c r="E49" t="s">
        <v>489</v>
      </c>
      <c r="F49" s="337">
        <v>3.6999999999999998E-2</v>
      </c>
    </row>
    <row r="50" spans="2:9">
      <c r="B50" t="s">
        <v>484</v>
      </c>
      <c r="C50" s="187">
        <v>0.2</v>
      </c>
      <c r="E50" t="s">
        <v>482</v>
      </c>
      <c r="F50" s="187">
        <v>0.4</v>
      </c>
    </row>
    <row r="51" spans="2:9">
      <c r="B51" t="s">
        <v>485</v>
      </c>
      <c r="C51" s="192">
        <f>C49*C50</f>
        <v>40.544000000000004</v>
      </c>
      <c r="E51" t="s">
        <v>624</v>
      </c>
      <c r="F51" s="187">
        <v>0.04</v>
      </c>
    </row>
    <row r="52" spans="2:9">
      <c r="B52" t="s">
        <v>486</v>
      </c>
      <c r="C52">
        <v>12</v>
      </c>
      <c r="E52" t="s">
        <v>483</v>
      </c>
      <c r="F52" s="192">
        <f>F48*(1-F49)*F51*(1-F50)</f>
        <v>82.565308799999997</v>
      </c>
    </row>
    <row r="53" spans="2:9">
      <c r="B53" t="s">
        <v>487</v>
      </c>
      <c r="C53" s="192">
        <f>C51*C52</f>
        <v>486.52800000000002</v>
      </c>
      <c r="E53" t="s">
        <v>484</v>
      </c>
      <c r="F53" s="187">
        <v>0.2</v>
      </c>
    </row>
    <row r="54" spans="2:9">
      <c r="E54" t="s">
        <v>485</v>
      </c>
      <c r="F54" s="192">
        <f>F52*F53</f>
        <v>16.513061759999999</v>
      </c>
    </row>
    <row r="55" spans="2:9">
      <c r="E55" t="s">
        <v>486</v>
      </c>
      <c r="F55">
        <v>12</v>
      </c>
    </row>
    <row r="56" spans="2:9">
      <c r="E56" t="s">
        <v>487</v>
      </c>
      <c r="F56" s="192">
        <f>F54*F55</f>
        <v>198.15674111999999</v>
      </c>
      <c r="H56" t="s">
        <v>215</v>
      </c>
      <c r="I56" s="192">
        <f>C53+F56</f>
        <v>684.68474112000001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30087-1137-42D8-89A5-B16B0EDD7D26}">
  <dimension ref="A1:N46"/>
  <sheetViews>
    <sheetView workbookViewId="0">
      <selection activeCell="G11" sqref="G11"/>
    </sheetView>
  </sheetViews>
  <sheetFormatPr defaultRowHeight="15.75"/>
  <cols>
    <col min="1" max="1" width="30.125" bestFit="1" customWidth="1"/>
    <col min="2" max="2" width="20.875" bestFit="1" customWidth="1"/>
    <col min="4" max="4" width="46.25" bestFit="1" customWidth="1"/>
    <col min="5" max="5" width="13.75" bestFit="1" customWidth="1"/>
    <col min="8" max="8" width="33.75" bestFit="1" customWidth="1"/>
    <col min="10" max="10" width="9.5" bestFit="1" customWidth="1"/>
    <col min="11" max="11" width="32" bestFit="1" customWidth="1"/>
  </cols>
  <sheetData>
    <row r="1" spans="1:14">
      <c r="A1" s="482" t="s">
        <v>214</v>
      </c>
      <c r="B1" s="483"/>
      <c r="D1" s="482" t="s">
        <v>216</v>
      </c>
      <c r="E1" s="483"/>
    </row>
    <row r="2" spans="1:14">
      <c r="A2" s="218" t="s">
        <v>322</v>
      </c>
      <c r="B2" s="233">
        <f>B37</f>
        <v>1.6175808000000003</v>
      </c>
      <c r="D2" s="110"/>
      <c r="E2" s="110"/>
      <c r="K2" s="186"/>
      <c r="L2" s="186"/>
      <c r="M2" s="186"/>
      <c r="N2" s="186"/>
    </row>
    <row r="3" spans="1:14">
      <c r="A3" s="218" t="s">
        <v>537</v>
      </c>
      <c r="B3" s="219">
        <f>I23</f>
        <v>0.27957247508106159</v>
      </c>
      <c r="D3" s="223" t="s">
        <v>217</v>
      </c>
      <c r="E3" s="110">
        <v>200000</v>
      </c>
      <c r="G3" s="198" t="s">
        <v>289</v>
      </c>
    </row>
    <row r="4" spans="1:14">
      <c r="A4" s="218" t="s">
        <v>204</v>
      </c>
      <c r="B4" s="219">
        <v>0.9</v>
      </c>
      <c r="D4" s="223" t="s">
        <v>270</v>
      </c>
      <c r="E4" s="110">
        <v>1500</v>
      </c>
      <c r="F4" s="110" t="s">
        <v>271</v>
      </c>
      <c r="G4" s="198" t="s">
        <v>290</v>
      </c>
    </row>
    <row r="5" spans="1:14">
      <c r="A5" s="218" t="s">
        <v>205</v>
      </c>
      <c r="B5" s="219">
        <v>0.2</v>
      </c>
      <c r="D5" s="223" t="s">
        <v>312</v>
      </c>
      <c r="E5" s="110">
        <v>24</v>
      </c>
    </row>
    <row r="6" spans="1:14">
      <c r="A6" s="218" t="s">
        <v>323</v>
      </c>
      <c r="B6" s="217">
        <f>E35</f>
        <v>0.04</v>
      </c>
      <c r="D6" s="223" t="s">
        <v>218</v>
      </c>
      <c r="E6" s="110">
        <f>E4/E5</f>
        <v>62.5</v>
      </c>
      <c r="F6" s="110" t="s">
        <v>222</v>
      </c>
    </row>
    <row r="7" spans="1:14" ht="16.5" thickBot="1">
      <c r="A7" s="220" t="s">
        <v>207</v>
      </c>
      <c r="B7" s="234">
        <f>SUM(B2:B6)</f>
        <v>3.0371532750810619</v>
      </c>
      <c r="D7" s="223" t="s">
        <v>313</v>
      </c>
      <c r="E7" s="227">
        <v>60</v>
      </c>
    </row>
    <row r="8" spans="1:14" ht="16.5" thickBot="1">
      <c r="D8" s="223" t="s">
        <v>219</v>
      </c>
      <c r="E8" s="110">
        <v>8</v>
      </c>
      <c r="H8" s="480" t="s">
        <v>227</v>
      </c>
      <c r="I8" s="481"/>
    </row>
    <row r="9" spans="1:14">
      <c r="A9" s="478" t="s">
        <v>546</v>
      </c>
      <c r="B9" s="479"/>
      <c r="D9" s="223" t="s">
        <v>314</v>
      </c>
      <c r="E9" s="227">
        <v>264</v>
      </c>
      <c r="H9" s="223" t="s">
        <v>60</v>
      </c>
      <c r="I9" s="110">
        <f>E16</f>
        <v>120000</v>
      </c>
    </row>
    <row r="10" spans="1:14">
      <c r="A10" s="218" t="s">
        <v>475</v>
      </c>
      <c r="B10" s="222">
        <v>10000</v>
      </c>
      <c r="D10" s="223" t="s">
        <v>220</v>
      </c>
      <c r="E10" s="110">
        <f>E7*E8*E9</f>
        <v>126720</v>
      </c>
      <c r="H10" s="223" t="s">
        <v>229</v>
      </c>
      <c r="I10" s="225">
        <f>('Income Statement'!B10+'Income Statement'!B14+'Income Statement'!B15+'Income Statement'!B16)*1000</f>
        <v>7949272.3228615066</v>
      </c>
    </row>
    <row r="11" spans="1:14">
      <c r="A11" s="218" t="s">
        <v>474</v>
      </c>
      <c r="B11" s="222">
        <f>B10*1000</f>
        <v>10000000</v>
      </c>
      <c r="D11" s="223" t="s">
        <v>221</v>
      </c>
      <c r="E11" s="452">
        <f>E10*E6</f>
        <v>7920000</v>
      </c>
      <c r="H11" s="223" t="s">
        <v>215</v>
      </c>
      <c r="I11" s="225">
        <f>SUM(I9:I10)</f>
        <v>8069272.3228615066</v>
      </c>
    </row>
    <row r="12" spans="1:14">
      <c r="A12" s="218" t="s">
        <v>476</v>
      </c>
      <c r="B12" s="222">
        <v>0.78</v>
      </c>
      <c r="D12" s="223" t="s">
        <v>223</v>
      </c>
      <c r="E12" s="399">
        <f>+'Income Statement'!I40*1000</f>
        <v>22500000</v>
      </c>
      <c r="H12" s="223" t="s">
        <v>230</v>
      </c>
      <c r="I12" s="225">
        <f>I11*0.3</f>
        <v>2420781.6968584517</v>
      </c>
    </row>
    <row r="13" spans="1:14">
      <c r="A13" s="218" t="s">
        <v>477</v>
      </c>
      <c r="B13" s="232">
        <f>B11/B12</f>
        <v>12820512.82051282</v>
      </c>
      <c r="D13" s="223" t="s">
        <v>224</v>
      </c>
      <c r="E13" s="225">
        <f>ROUNDUP(E12/E11,0)</f>
        <v>3</v>
      </c>
      <c r="H13" s="223" t="s">
        <v>227</v>
      </c>
      <c r="I13" s="225">
        <f>I11+I12</f>
        <v>10490054.019719958</v>
      </c>
    </row>
    <row r="14" spans="1:14">
      <c r="A14" s="218" t="s">
        <v>478</v>
      </c>
      <c r="B14" s="222">
        <v>0.1</v>
      </c>
      <c r="D14" s="223" t="s">
        <v>207</v>
      </c>
      <c r="E14" s="110">
        <f>E13*E3</f>
        <v>600000</v>
      </c>
      <c r="H14" s="223" t="s">
        <v>228</v>
      </c>
      <c r="I14" s="110">
        <v>28000000</v>
      </c>
    </row>
    <row r="15" spans="1:14" ht="16.5" thickBot="1">
      <c r="A15" s="218" t="s">
        <v>320</v>
      </c>
      <c r="B15" s="232">
        <f>B13/B14</f>
        <v>128205128.20512819</v>
      </c>
      <c r="D15" s="223" t="s">
        <v>225</v>
      </c>
      <c r="E15" s="226">
        <v>0.2</v>
      </c>
    </row>
    <row r="16" spans="1:14">
      <c r="A16" s="218" t="s">
        <v>321</v>
      </c>
      <c r="B16" s="232">
        <v>300</v>
      </c>
      <c r="D16" s="223" t="s">
        <v>226</v>
      </c>
      <c r="E16" s="110">
        <f>E14*E15</f>
        <v>120000</v>
      </c>
      <c r="H16" s="478" t="s">
        <v>537</v>
      </c>
      <c r="I16" s="479"/>
    </row>
    <row r="17" spans="1:12" ht="16.5" thickBot="1">
      <c r="A17" s="218" t="s">
        <v>479</v>
      </c>
      <c r="B17" s="232">
        <f>B15/B16</f>
        <v>427350.42735042732</v>
      </c>
      <c r="H17" s="403" t="s">
        <v>538</v>
      </c>
      <c r="I17" s="217">
        <v>485</v>
      </c>
    </row>
    <row r="18" spans="1:12">
      <c r="A18" s="218" t="s">
        <v>206</v>
      </c>
      <c r="B18" s="222" t="s">
        <v>480</v>
      </c>
      <c r="D18" s="482" t="s">
        <v>319</v>
      </c>
      <c r="E18" s="483"/>
      <c r="H18" s="403" t="s">
        <v>539</v>
      </c>
      <c r="I18" s="217">
        <v>3785</v>
      </c>
    </row>
    <row r="19" spans="1:12">
      <c r="A19" s="218" t="s">
        <v>207</v>
      </c>
      <c r="B19" s="217">
        <f>2.8*10000</f>
        <v>28000</v>
      </c>
      <c r="D19" s="223" t="s">
        <v>329</v>
      </c>
      <c r="E19" s="110">
        <v>200000</v>
      </c>
      <c r="F19" s="224"/>
      <c r="H19" s="403" t="s">
        <v>540</v>
      </c>
      <c r="I19" s="217">
        <v>208175</v>
      </c>
    </row>
    <row r="20" spans="1:12">
      <c r="A20" s="218" t="s">
        <v>317</v>
      </c>
      <c r="B20" s="219">
        <f>B19/B17</f>
        <v>6.5520000000000009E-2</v>
      </c>
      <c r="D20" s="223" t="s">
        <v>270</v>
      </c>
      <c r="E20" s="110">
        <v>1500</v>
      </c>
      <c r="F20" s="110" t="s">
        <v>271</v>
      </c>
      <c r="H20" s="403" t="s">
        <v>541</v>
      </c>
      <c r="I20" s="217">
        <v>5</v>
      </c>
    </row>
    <row r="21" spans="1:12">
      <c r="A21" s="218" t="s">
        <v>318</v>
      </c>
      <c r="B21" s="217">
        <v>24</v>
      </c>
      <c r="D21" s="223" t="s">
        <v>312</v>
      </c>
      <c r="E21" s="110">
        <v>24</v>
      </c>
      <c r="H21" s="403" t="s">
        <v>542</v>
      </c>
      <c r="I21" s="217">
        <v>2.3297706256755132E-3</v>
      </c>
    </row>
    <row r="22" spans="1:12" ht="16.5" thickBot="1">
      <c r="A22" s="220" t="s">
        <v>208</v>
      </c>
      <c r="B22" s="235">
        <f>B20*B21</f>
        <v>1.5724800000000001</v>
      </c>
      <c r="D22" s="223" t="s">
        <v>218</v>
      </c>
      <c r="E22" s="110">
        <f>E20/E21</f>
        <v>62.5</v>
      </c>
      <c r="F22" s="110" t="s">
        <v>222</v>
      </c>
      <c r="H22" s="403" t="s">
        <v>543</v>
      </c>
      <c r="I22" s="217">
        <v>1.1648853128377566E-2</v>
      </c>
    </row>
    <row r="23" spans="1:12" ht="16.5" thickBot="1">
      <c r="D23" s="223" t="s">
        <v>313</v>
      </c>
      <c r="E23" s="227">
        <v>60</v>
      </c>
      <c r="G23" s="402"/>
      <c r="H23" s="404" t="s">
        <v>544</v>
      </c>
      <c r="I23" s="234">
        <v>0.27957247508106159</v>
      </c>
    </row>
    <row r="24" spans="1:12">
      <c r="A24" s="478" t="s">
        <v>547</v>
      </c>
      <c r="B24" s="479"/>
      <c r="D24" s="223" t="s">
        <v>219</v>
      </c>
      <c r="E24" s="110">
        <v>8</v>
      </c>
    </row>
    <row r="25" spans="1:12">
      <c r="A25" s="218" t="s">
        <v>475</v>
      </c>
      <c r="B25">
        <v>2000</v>
      </c>
      <c r="D25" s="223" t="s">
        <v>314</v>
      </c>
      <c r="E25" s="227">
        <v>264</v>
      </c>
    </row>
    <row r="26" spans="1:12">
      <c r="A26" s="218" t="s">
        <v>474</v>
      </c>
      <c r="B26" s="222">
        <f>B25*1000</f>
        <v>2000000</v>
      </c>
      <c r="D26" s="223" t="s">
        <v>220</v>
      </c>
      <c r="E26" s="227">
        <f>E24*E23*E25</f>
        <v>126720</v>
      </c>
      <c r="L26" s="192"/>
    </row>
    <row r="27" spans="1:12">
      <c r="A27" s="218" t="s">
        <v>476</v>
      </c>
      <c r="B27" s="222">
        <v>1.38</v>
      </c>
      <c r="D27" s="223" t="s">
        <v>315</v>
      </c>
      <c r="E27" s="110">
        <f>E26*E22</f>
        <v>7920000</v>
      </c>
    </row>
    <row r="28" spans="1:12">
      <c r="A28" s="218" t="s">
        <v>477</v>
      </c>
      <c r="B28" s="232">
        <f>B26/B27</f>
        <v>1449275.3623188406</v>
      </c>
      <c r="D28" s="223" t="s">
        <v>268</v>
      </c>
      <c r="E28" s="110">
        <v>10</v>
      </c>
      <c r="L28" s="187"/>
    </row>
    <row r="29" spans="1:12">
      <c r="A29" s="218" t="s">
        <v>478</v>
      </c>
      <c r="B29" s="222">
        <v>0.11</v>
      </c>
      <c r="D29" s="223" t="s">
        <v>269</v>
      </c>
      <c r="E29" s="110">
        <f>E27*E28</f>
        <v>79200000</v>
      </c>
    </row>
    <row r="30" spans="1:12">
      <c r="A30" s="218" t="s">
        <v>320</v>
      </c>
      <c r="B30" s="232">
        <f>B28/B29</f>
        <v>13175230.566534914</v>
      </c>
      <c r="D30" s="223" t="s">
        <v>127</v>
      </c>
      <c r="E30" s="110">
        <f>E19/E29</f>
        <v>2.5252525252525255E-3</v>
      </c>
    </row>
    <row r="31" spans="1:12">
      <c r="A31" s="218" t="s">
        <v>321</v>
      </c>
      <c r="B31" s="232">
        <v>300</v>
      </c>
      <c r="D31" s="223" t="s">
        <v>272</v>
      </c>
      <c r="E31" s="110">
        <v>7</v>
      </c>
    </row>
    <row r="32" spans="1:12">
      <c r="A32" s="218" t="s">
        <v>479</v>
      </c>
      <c r="B32" s="232">
        <f>B30/B31</f>
        <v>43917.435221783046</v>
      </c>
      <c r="D32" s="223" t="s">
        <v>207</v>
      </c>
      <c r="E32" s="110">
        <f>E30*E31</f>
        <v>1.767676767676768E-2</v>
      </c>
    </row>
    <row r="33" spans="1:6">
      <c r="A33" s="218" t="s">
        <v>206</v>
      </c>
      <c r="B33" s="222" t="s">
        <v>545</v>
      </c>
      <c r="D33" s="223" t="s">
        <v>273</v>
      </c>
      <c r="E33" s="110">
        <f>ROUNDUP(E32,2)</f>
        <v>0.02</v>
      </c>
    </row>
    <row r="34" spans="1:6">
      <c r="A34" s="218" t="s">
        <v>207</v>
      </c>
      <c r="B34" s="217">
        <f>1.48*2000</f>
        <v>2960</v>
      </c>
      <c r="D34" s="237" t="s">
        <v>328</v>
      </c>
      <c r="E34" s="187">
        <v>1</v>
      </c>
    </row>
    <row r="35" spans="1:6">
      <c r="A35" s="218" t="s">
        <v>317</v>
      </c>
      <c r="B35" s="219">
        <f>B34/B32</f>
        <v>6.7399200000000006E-2</v>
      </c>
      <c r="D35" s="237" t="s">
        <v>330</v>
      </c>
      <c r="E35">
        <f>E33*(1+E34)</f>
        <v>0.04</v>
      </c>
    </row>
    <row r="36" spans="1:6">
      <c r="A36" s="218" t="s">
        <v>318</v>
      </c>
      <c r="B36" s="217">
        <v>24</v>
      </c>
      <c r="F36">
        <v>10</v>
      </c>
    </row>
    <row r="37" spans="1:6" ht="16.5" thickBot="1">
      <c r="A37" s="220" t="s">
        <v>208</v>
      </c>
      <c r="B37" s="235">
        <f>B35*B36</f>
        <v>1.6175808000000003</v>
      </c>
    </row>
    <row r="44" spans="1:6">
      <c r="D44" t="s">
        <v>571</v>
      </c>
      <c r="E44" s="192">
        <f>B32/24</f>
        <v>1829.8931342409603</v>
      </c>
    </row>
    <row r="45" spans="1:6">
      <c r="D45" t="s">
        <v>572</v>
      </c>
      <c r="E45" s="192">
        <f>B17/24</f>
        <v>17806.267806267806</v>
      </c>
    </row>
    <row r="46" spans="1:6">
      <c r="D46" t="s">
        <v>573</v>
      </c>
      <c r="E46">
        <f>E22*E23*E24*25</f>
        <v>750000</v>
      </c>
    </row>
  </sheetData>
  <mergeCells count="7">
    <mergeCell ref="A24:B24"/>
    <mergeCell ref="H8:I8"/>
    <mergeCell ref="A9:B9"/>
    <mergeCell ref="D1:E1"/>
    <mergeCell ref="A1:B1"/>
    <mergeCell ref="D18:E18"/>
    <mergeCell ref="H16:I16"/>
  </mergeCells>
  <hyperlinks>
    <hyperlink ref="G4" r:id="rId1" xr:uid="{D3B300E8-ADE8-4FCA-9F27-4537C4C631AA}"/>
    <hyperlink ref="G3" r:id="rId2" xr:uid="{C3034D32-7A6C-4E65-A6A1-EF0A4572C7DA}"/>
  </hyperlinks>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F5BC-774A-496E-912C-E85522B19BA5}">
  <dimension ref="A1:L11"/>
  <sheetViews>
    <sheetView workbookViewId="0">
      <selection activeCell="B1" sqref="B1"/>
    </sheetView>
  </sheetViews>
  <sheetFormatPr defaultRowHeight="15.75"/>
  <cols>
    <col min="2" max="2" width="20.25" bestFit="1" customWidth="1"/>
    <col min="3" max="3" width="8.25" customWidth="1"/>
    <col min="11" max="11" width="26.875" bestFit="1" customWidth="1"/>
  </cols>
  <sheetData>
    <row r="1" spans="1:12">
      <c r="C1">
        <v>2022</v>
      </c>
      <c r="D1">
        <v>2023</v>
      </c>
      <c r="E1">
        <v>2024</v>
      </c>
      <c r="F1">
        <v>2025</v>
      </c>
      <c r="G1">
        <v>2026</v>
      </c>
      <c r="H1">
        <v>2027</v>
      </c>
    </row>
    <row r="2" spans="1:12">
      <c r="B2" t="s">
        <v>529</v>
      </c>
      <c r="D2" s="192">
        <f>'Income Statement'!B18</f>
        <v>-7537.6790990806949</v>
      </c>
      <c r="E2" s="192">
        <f>'Income Statement'!F18</f>
        <v>-5426.6321252431881</v>
      </c>
      <c r="F2" s="192">
        <f>'Income Statement'!J18</f>
        <v>11554.583062135207</v>
      </c>
      <c r="G2" s="192">
        <f>'Income Statement'!N18</f>
        <v>25221.735749513624</v>
      </c>
      <c r="H2" s="192">
        <f>'Income Statement'!R18</f>
        <v>38888.888436892026</v>
      </c>
      <c r="K2" t="s">
        <v>531</v>
      </c>
      <c r="L2">
        <v>17909</v>
      </c>
    </row>
    <row r="3" spans="1:12">
      <c r="B3" t="s">
        <v>439</v>
      </c>
      <c r="D3">
        <f>D2*$L$4</f>
        <v>-1382.5153161816017</v>
      </c>
      <c r="E3">
        <f>E2*$L$4</f>
        <v>-995.31990282616653</v>
      </c>
      <c r="F3">
        <f>F2*$L$4</f>
        <v>2119.2714422457561</v>
      </c>
      <c r="G3">
        <f>G2*$L$4</f>
        <v>4626.0175733191345</v>
      </c>
      <c r="H3">
        <f>H2*$L$4</f>
        <v>7132.7637043925106</v>
      </c>
      <c r="K3" t="s">
        <v>532</v>
      </c>
      <c r="L3">
        <v>3284.76</v>
      </c>
    </row>
    <row r="4" spans="1:12">
      <c r="B4" t="s">
        <v>528</v>
      </c>
      <c r="D4" s="192">
        <f>D2-D3</f>
        <v>-6155.1637828990933</v>
      </c>
      <c r="E4" s="192">
        <f t="shared" ref="E4:H4" si="0">E2-E3</f>
        <v>-4431.312222417022</v>
      </c>
      <c r="F4" s="192">
        <f t="shared" si="0"/>
        <v>9435.3116198894513</v>
      </c>
      <c r="G4" s="192">
        <f t="shared" si="0"/>
        <v>20595.718176194488</v>
      </c>
      <c r="H4" s="192">
        <f t="shared" si="0"/>
        <v>31756.124732499517</v>
      </c>
      <c r="K4" t="s">
        <v>530</v>
      </c>
      <c r="L4" s="263">
        <f>L3/L2</f>
        <v>0.18341392595901504</v>
      </c>
    </row>
    <row r="5" spans="1:12">
      <c r="A5" t="s">
        <v>533</v>
      </c>
      <c r="B5" t="s">
        <v>534</v>
      </c>
      <c r="D5" s="192">
        <f>-'NWC Calc'!O6</f>
        <v>-127.59389937205162</v>
      </c>
      <c r="E5" s="192">
        <f>-'NWC Calc'!AB6</f>
        <v>-5261.6725129694587</v>
      </c>
      <c r="F5" s="192">
        <f>-'NWC Calc'!AO6</f>
        <v>-7056.484270567772</v>
      </c>
      <c r="G5" s="192">
        <f>-'NWC Calc'!BB6</f>
        <v>-10523.345025938917</v>
      </c>
      <c r="H5" s="192">
        <f>-'NWC Calc'!BO6</f>
        <v>-18894.442590036</v>
      </c>
    </row>
    <row r="6" spans="1:12">
      <c r="B6" t="s">
        <v>535</v>
      </c>
      <c r="D6" s="192">
        <f>'NWC Calc'!O7</f>
        <v>143.895670889511</v>
      </c>
      <c r="E6" s="192">
        <f>'NWC Calc'!P7</f>
        <v>1337.3321052573749</v>
      </c>
      <c r="F6" s="192">
        <f>'NWC Calc'!Q7</f>
        <v>2627.9834200494543</v>
      </c>
      <c r="G6" s="192">
        <f>'NWC Calc'!R7</f>
        <v>4395.8425022681995</v>
      </c>
      <c r="H6" s="192">
        <f>'NWC Calc'!S7</f>
        <v>5926.8420074782716</v>
      </c>
    </row>
    <row r="7" spans="1:12">
      <c r="B7" t="s">
        <v>536</v>
      </c>
      <c r="D7" s="192">
        <f>-'NWC Calc'!O8</f>
        <v>-89.314554345213722</v>
      </c>
      <c r="E7" s="192">
        <f>-'NWC Calc'!P8</f>
        <v>-1267.8652296555422</v>
      </c>
      <c r="F7" s="192">
        <f>-'NWC Calc'!Q8</f>
        <v>-2538.6688657042405</v>
      </c>
      <c r="G7" s="192">
        <f>-'NWC Calc'!R8</f>
        <v>-3127.9772726126571</v>
      </c>
      <c r="H7" s="192">
        <f>-'NWC Calc'!S8</f>
        <v>-3388.1731417740302</v>
      </c>
      <c r="K7" t="s">
        <v>551</v>
      </c>
      <c r="L7" s="187">
        <v>0.12</v>
      </c>
    </row>
    <row r="8" spans="1:12">
      <c r="B8" t="s">
        <v>549</v>
      </c>
      <c r="C8">
        <v>-280</v>
      </c>
    </row>
    <row r="9" spans="1:12">
      <c r="B9" t="s">
        <v>550</v>
      </c>
      <c r="C9">
        <f>SUM(C2:C8)</f>
        <v>-280</v>
      </c>
      <c r="D9">
        <f t="shared" ref="D9:H9" si="1">SUM(D2:D8)</f>
        <v>-15148.370980989144</v>
      </c>
      <c r="E9">
        <f t="shared" si="1"/>
        <v>-16045.469887854002</v>
      </c>
      <c r="F9">
        <f t="shared" si="1"/>
        <v>16141.996408047857</v>
      </c>
      <c r="G9">
        <f t="shared" si="1"/>
        <v>41187.991702743871</v>
      </c>
      <c r="H9">
        <f t="shared" si="1"/>
        <v>61422.003149452292</v>
      </c>
    </row>
    <row r="11" spans="1:12">
      <c r="B11" t="s">
        <v>383</v>
      </c>
      <c r="C11" s="192">
        <f>NPV(L7,D9:H9)+C9</f>
        <v>45921.080072784527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8534A-77C3-4148-800F-D9B85636697B}">
  <dimension ref="A1:CA89"/>
  <sheetViews>
    <sheetView zoomScale="85" zoomScaleNormal="85" workbookViewId="0">
      <pane ySplit="3" topLeftCell="A4" activePane="bottomLeft" state="frozen"/>
      <selection activeCell="E1" sqref="E1"/>
      <selection pane="bottomLeft" activeCell="E22" sqref="E22"/>
    </sheetView>
  </sheetViews>
  <sheetFormatPr defaultRowHeight="15.75"/>
  <cols>
    <col min="1" max="1" width="21" bestFit="1" customWidth="1"/>
    <col min="2" max="2" width="7.875" bestFit="1" customWidth="1"/>
    <col min="3" max="3" width="9.125" bestFit="1" customWidth="1"/>
    <col min="4" max="4" width="14.75" bestFit="1" customWidth="1"/>
    <col min="5" max="5" width="42.625" bestFit="1" customWidth="1"/>
    <col min="6" max="6" width="28.125" hidden="1" customWidth="1"/>
    <col min="7" max="7" width="19" hidden="1" customWidth="1"/>
    <col min="8" max="8" width="18.75" hidden="1" customWidth="1"/>
    <col min="9" max="9" width="6.875" hidden="1" customWidth="1"/>
    <col min="10" max="10" width="17.625" hidden="1" customWidth="1"/>
    <col min="11" max="11" width="4.5" hidden="1" customWidth="1"/>
    <col min="12" max="12" width="9.125" customWidth="1"/>
    <col min="13" max="13" width="4.5" style="272" customWidth="1"/>
    <col min="14" max="19" width="7.375" customWidth="1"/>
    <col min="20" max="20" width="10.25" bestFit="1" customWidth="1"/>
    <col min="21" max="22" width="7.375" customWidth="1"/>
    <col min="23" max="23" width="10.5" bestFit="1" customWidth="1"/>
    <col min="24" max="25" width="7.375" customWidth="1"/>
    <col min="26" max="26" width="11.25" style="392" bestFit="1" customWidth="1"/>
    <col min="27" max="38" width="7.875" customWidth="1"/>
    <col min="39" max="39" width="12.375" style="392" bestFit="1" customWidth="1"/>
    <col min="40" max="51" width="8.25" customWidth="1"/>
    <col min="52" max="52" width="11.25" style="392" bestFit="1" customWidth="1"/>
    <col min="53" max="64" width="7.75" bestFit="1" customWidth="1"/>
    <col min="65" max="65" width="11.25" style="392" bestFit="1" customWidth="1"/>
    <col min="66" max="77" width="7.75" bestFit="1" customWidth="1"/>
    <col min="78" max="78" width="11.25" style="392" bestFit="1" customWidth="1"/>
  </cols>
  <sheetData>
    <row r="1" spans="1:79" s="271" customFormat="1" ht="63.75" thickBot="1">
      <c r="A1" s="266" t="s">
        <v>384</v>
      </c>
      <c r="B1" s="266" t="s">
        <v>385</v>
      </c>
      <c r="C1" s="267" t="s">
        <v>386</v>
      </c>
      <c r="D1" s="267" t="s">
        <v>387</v>
      </c>
      <c r="E1" s="267" t="s">
        <v>388</v>
      </c>
      <c r="F1" s="267"/>
      <c r="G1" s="268" t="s">
        <v>389</v>
      </c>
      <c r="H1" s="269" t="s">
        <v>390</v>
      </c>
      <c r="I1" s="269" t="s">
        <v>234</v>
      </c>
      <c r="J1" s="269" t="s">
        <v>391</v>
      </c>
      <c r="K1" s="269" t="s">
        <v>234</v>
      </c>
      <c r="L1" s="269" t="s">
        <v>498</v>
      </c>
      <c r="M1" s="377" t="s">
        <v>513</v>
      </c>
      <c r="N1" s="476">
        <v>2023</v>
      </c>
      <c r="O1" s="477"/>
      <c r="P1" s="477"/>
      <c r="Q1" s="477"/>
      <c r="R1" s="477"/>
      <c r="S1" s="477"/>
      <c r="T1" s="477"/>
      <c r="U1" s="477"/>
      <c r="V1" s="477"/>
      <c r="W1" s="477"/>
      <c r="X1" s="477"/>
      <c r="Y1" s="477"/>
      <c r="Z1" s="270"/>
      <c r="AA1" s="476">
        <v>2024</v>
      </c>
      <c r="AB1" s="477"/>
      <c r="AC1" s="477"/>
      <c r="AD1" s="477"/>
      <c r="AE1" s="477"/>
      <c r="AF1" s="477"/>
      <c r="AG1" s="477"/>
      <c r="AH1" s="477"/>
      <c r="AI1" s="477"/>
      <c r="AJ1" s="477"/>
      <c r="AK1" s="477"/>
      <c r="AL1" s="477"/>
      <c r="AM1" s="270"/>
      <c r="AN1" s="476">
        <v>2025</v>
      </c>
      <c r="AO1" s="477"/>
      <c r="AP1" s="477"/>
      <c r="AQ1" s="477"/>
      <c r="AR1" s="477"/>
      <c r="AS1" s="477"/>
      <c r="AT1" s="477"/>
      <c r="AU1" s="477"/>
      <c r="AV1" s="477"/>
      <c r="AW1" s="477"/>
      <c r="AX1" s="477"/>
      <c r="AY1" s="477"/>
      <c r="AZ1" s="270"/>
      <c r="BA1" s="476">
        <v>2026</v>
      </c>
      <c r="BB1" s="477"/>
      <c r="BC1" s="477"/>
      <c r="BD1" s="477"/>
      <c r="BE1" s="477"/>
      <c r="BF1" s="477"/>
      <c r="BG1" s="477"/>
      <c r="BH1" s="477"/>
      <c r="BI1" s="477"/>
      <c r="BJ1" s="477"/>
      <c r="BK1" s="477"/>
      <c r="BL1" s="477"/>
      <c r="BM1" s="270"/>
      <c r="BN1" s="476">
        <v>2027</v>
      </c>
      <c r="BO1" s="477"/>
      <c r="BP1" s="477"/>
      <c r="BQ1" s="477"/>
      <c r="BR1" s="477"/>
      <c r="BS1" s="477"/>
      <c r="BT1" s="477"/>
      <c r="BU1" s="477"/>
      <c r="BV1" s="477"/>
      <c r="BW1" s="477"/>
      <c r="BX1" s="477"/>
      <c r="BY1" s="477"/>
      <c r="BZ1" s="270"/>
    </row>
    <row r="2" spans="1:79" ht="16.5" thickBot="1">
      <c r="B2" s="272"/>
      <c r="C2" s="272"/>
      <c r="D2" s="272"/>
      <c r="E2" s="272"/>
      <c r="F2" s="272"/>
      <c r="G2" s="272"/>
      <c r="H2" s="272"/>
      <c r="I2" s="272"/>
      <c r="J2" s="272"/>
      <c r="K2" s="168"/>
      <c r="N2" s="277">
        <f>DATE(YEAR($T$52)+($X$52-1),1,1)</f>
        <v>44927</v>
      </c>
      <c r="O2" s="274">
        <f>EDATE(N2,1)</f>
        <v>44958</v>
      </c>
      <c r="P2" s="274">
        <f t="shared" ref="P2:Y2" si="0">EDATE(O2,1)</f>
        <v>44986</v>
      </c>
      <c r="Q2" s="274">
        <f t="shared" si="0"/>
        <v>45017</v>
      </c>
      <c r="R2" s="274">
        <f t="shared" si="0"/>
        <v>45047</v>
      </c>
      <c r="S2" s="274">
        <f t="shared" si="0"/>
        <v>45078</v>
      </c>
      <c r="T2" s="274">
        <f t="shared" si="0"/>
        <v>45108</v>
      </c>
      <c r="U2" s="274">
        <f t="shared" si="0"/>
        <v>45139</v>
      </c>
      <c r="V2" s="274">
        <f t="shared" si="0"/>
        <v>45170</v>
      </c>
      <c r="W2" s="274">
        <f t="shared" si="0"/>
        <v>45200</v>
      </c>
      <c r="X2" s="274">
        <f t="shared" si="0"/>
        <v>45231</v>
      </c>
      <c r="Y2" s="275">
        <f t="shared" si="0"/>
        <v>45261</v>
      </c>
      <c r="Z2" s="276" t="s">
        <v>392</v>
      </c>
      <c r="AA2" s="277">
        <f>EDATE(Y2,1)</f>
        <v>45292</v>
      </c>
      <c r="AB2" s="275">
        <f t="shared" ref="AB2:AY2" si="1">EDATE(AA2,1)</f>
        <v>45323</v>
      </c>
      <c r="AC2" s="275">
        <f t="shared" si="1"/>
        <v>45352</v>
      </c>
      <c r="AD2" s="275">
        <f t="shared" si="1"/>
        <v>45383</v>
      </c>
      <c r="AE2" s="275">
        <f t="shared" si="1"/>
        <v>45413</v>
      </c>
      <c r="AF2" s="275">
        <f t="shared" si="1"/>
        <v>45444</v>
      </c>
      <c r="AG2" s="275">
        <f t="shared" si="1"/>
        <v>45474</v>
      </c>
      <c r="AH2" s="275">
        <f t="shared" si="1"/>
        <v>45505</v>
      </c>
      <c r="AI2" s="275">
        <f t="shared" si="1"/>
        <v>45536</v>
      </c>
      <c r="AJ2" s="275">
        <f t="shared" si="1"/>
        <v>45566</v>
      </c>
      <c r="AK2" s="275">
        <f t="shared" si="1"/>
        <v>45597</v>
      </c>
      <c r="AL2" s="275">
        <f t="shared" si="1"/>
        <v>45627</v>
      </c>
      <c r="AM2" s="276" t="s">
        <v>393</v>
      </c>
      <c r="AN2" s="275">
        <f>EDATE(AL2,1)</f>
        <v>45658</v>
      </c>
      <c r="AO2" s="275">
        <f t="shared" si="1"/>
        <v>45689</v>
      </c>
      <c r="AP2" s="275">
        <f t="shared" si="1"/>
        <v>45717</v>
      </c>
      <c r="AQ2" s="275">
        <f t="shared" si="1"/>
        <v>45748</v>
      </c>
      <c r="AR2" s="275">
        <f t="shared" si="1"/>
        <v>45778</v>
      </c>
      <c r="AS2" s="275">
        <f t="shared" si="1"/>
        <v>45809</v>
      </c>
      <c r="AT2" s="275">
        <f t="shared" si="1"/>
        <v>45839</v>
      </c>
      <c r="AU2" s="275">
        <f t="shared" si="1"/>
        <v>45870</v>
      </c>
      <c r="AV2" s="275">
        <f t="shared" si="1"/>
        <v>45901</v>
      </c>
      <c r="AW2" s="275">
        <f t="shared" si="1"/>
        <v>45931</v>
      </c>
      <c r="AX2" s="275">
        <f t="shared" si="1"/>
        <v>45962</v>
      </c>
      <c r="AY2" s="275">
        <f t="shared" si="1"/>
        <v>45992</v>
      </c>
      <c r="AZ2" s="276" t="s">
        <v>394</v>
      </c>
      <c r="BA2" s="275">
        <f>EDATE(AY2,1)</f>
        <v>46023</v>
      </c>
      <c r="BB2" s="275">
        <f t="shared" ref="BB2:BL2" si="2">EDATE(BA2,1)</f>
        <v>46054</v>
      </c>
      <c r="BC2" s="275">
        <f t="shared" si="2"/>
        <v>46082</v>
      </c>
      <c r="BD2" s="275">
        <f t="shared" si="2"/>
        <v>46113</v>
      </c>
      <c r="BE2" s="275">
        <f t="shared" si="2"/>
        <v>46143</v>
      </c>
      <c r="BF2" s="275">
        <f t="shared" si="2"/>
        <v>46174</v>
      </c>
      <c r="BG2" s="275">
        <f t="shared" si="2"/>
        <v>46204</v>
      </c>
      <c r="BH2" s="275">
        <f t="shared" si="2"/>
        <v>46235</v>
      </c>
      <c r="BI2" s="275">
        <f t="shared" si="2"/>
        <v>46266</v>
      </c>
      <c r="BJ2" s="275">
        <f t="shared" si="2"/>
        <v>46296</v>
      </c>
      <c r="BK2" s="275">
        <f t="shared" si="2"/>
        <v>46327</v>
      </c>
      <c r="BL2" s="275">
        <f t="shared" si="2"/>
        <v>46357</v>
      </c>
      <c r="BM2" s="276" t="s">
        <v>395</v>
      </c>
      <c r="BN2" s="275">
        <f>EDATE(BL2,1)</f>
        <v>46388</v>
      </c>
      <c r="BO2" s="275">
        <f t="shared" ref="BO2:BY2" si="3">EDATE(BN2,1)</f>
        <v>46419</v>
      </c>
      <c r="BP2" s="275">
        <f t="shared" si="3"/>
        <v>46447</v>
      </c>
      <c r="BQ2" s="275">
        <f t="shared" si="3"/>
        <v>46478</v>
      </c>
      <c r="BR2" s="275">
        <f t="shared" si="3"/>
        <v>46508</v>
      </c>
      <c r="BS2" s="275">
        <f t="shared" si="3"/>
        <v>46539</v>
      </c>
      <c r="BT2" s="275">
        <f t="shared" si="3"/>
        <v>46569</v>
      </c>
      <c r="BU2" s="275">
        <f t="shared" si="3"/>
        <v>46600</v>
      </c>
      <c r="BV2" s="275">
        <f t="shared" si="3"/>
        <v>46631</v>
      </c>
      <c r="BW2" s="275">
        <f t="shared" si="3"/>
        <v>46661</v>
      </c>
      <c r="BX2" s="275">
        <f t="shared" si="3"/>
        <v>46692</v>
      </c>
      <c r="BY2" s="275">
        <f t="shared" si="3"/>
        <v>46722</v>
      </c>
      <c r="BZ2" s="276" t="s">
        <v>396</v>
      </c>
    </row>
    <row r="3" spans="1:79" ht="16.5" thickBot="1">
      <c r="A3" t="s">
        <v>499</v>
      </c>
      <c r="B3" s="272" t="s">
        <v>499</v>
      </c>
      <c r="C3" s="272" t="s">
        <v>499</v>
      </c>
      <c r="D3" s="272" t="s">
        <v>499</v>
      </c>
      <c r="E3" s="272" t="s">
        <v>499</v>
      </c>
      <c r="F3" s="272"/>
      <c r="G3" s="272"/>
      <c r="H3" s="272"/>
      <c r="I3" s="272"/>
      <c r="J3" s="272"/>
      <c r="K3" s="168"/>
      <c r="N3" s="349">
        <v>0</v>
      </c>
      <c r="O3" s="347">
        <v>0</v>
      </c>
      <c r="P3" s="347">
        <v>0</v>
      </c>
      <c r="Q3" s="347">
        <v>0</v>
      </c>
      <c r="R3" s="347">
        <v>0</v>
      </c>
      <c r="S3" s="347">
        <v>0</v>
      </c>
      <c r="T3" s="347">
        <v>0.05</v>
      </c>
      <c r="U3" s="347">
        <v>0.08</v>
      </c>
      <c r="V3" s="347">
        <v>0.14000000000000001</v>
      </c>
      <c r="W3" s="347">
        <v>0.19</v>
      </c>
      <c r="X3" s="347">
        <v>0.23</v>
      </c>
      <c r="Y3" s="347">
        <v>0.31</v>
      </c>
      <c r="Z3" s="348">
        <v>1</v>
      </c>
      <c r="AA3" s="349">
        <v>5.7666741851935398E-2</v>
      </c>
      <c r="AB3" s="349">
        <v>6.2666742963047695E-2</v>
      </c>
      <c r="AC3" s="349">
        <v>8.5600095111216828E-2</v>
      </c>
      <c r="AD3" s="349">
        <v>7.5000086666763E-2</v>
      </c>
      <c r="AE3" s="349">
        <v>7.5500008666676305E-2</v>
      </c>
      <c r="AF3" s="349">
        <v>7.6000086666763E-2</v>
      </c>
      <c r="AG3" s="349">
        <v>8.2666760740845294E-2</v>
      </c>
      <c r="AH3" s="349">
        <v>8.4666760740845268E-2</v>
      </c>
      <c r="AI3" s="349">
        <v>0.11080012311124789</v>
      </c>
      <c r="AJ3" s="349">
        <v>9.4299999999999995E-2</v>
      </c>
      <c r="AK3" s="349">
        <v>9.48889943211048E-2</v>
      </c>
      <c r="AL3" s="349">
        <v>0.10022233358037065</v>
      </c>
      <c r="AM3" s="350">
        <v>0.99997873442081608</v>
      </c>
      <c r="AN3" s="349">
        <v>6.7199999999999996E-2</v>
      </c>
      <c r="AO3" s="349">
        <v>6.7500000000000004E-2</v>
      </c>
      <c r="AP3" s="349">
        <v>9.1581291759465486E-2</v>
      </c>
      <c r="AQ3" s="349">
        <v>7.5633837107793894E-2</v>
      </c>
      <c r="AR3" s="349">
        <v>7.9000000000000001E-2</v>
      </c>
      <c r="AS3" s="349">
        <v>8.2900000000000001E-2</v>
      </c>
      <c r="AT3" s="349">
        <v>8.5003711952487029E-2</v>
      </c>
      <c r="AU3" s="349">
        <v>8.5597624350408338E-2</v>
      </c>
      <c r="AV3" s="349">
        <v>0.10681514476614706</v>
      </c>
      <c r="AW3" s="349">
        <v>8.3597624350408295E-2</v>
      </c>
      <c r="AX3" s="349">
        <v>8.5597624350408338E-2</v>
      </c>
      <c r="AY3" s="349">
        <v>8.9606149467527291E-2</v>
      </c>
      <c r="AZ3" s="350">
        <v>1.0000330081046456</v>
      </c>
      <c r="BA3" s="349">
        <v>6.7400000000000002E-2</v>
      </c>
      <c r="BB3" s="349">
        <v>6.7666742963047699E-2</v>
      </c>
      <c r="BC3" s="349">
        <v>8.5600095111216828E-2</v>
      </c>
      <c r="BD3" s="349">
        <v>6.8000000000000005E-2</v>
      </c>
      <c r="BE3" s="349">
        <v>7.1000086666762996E-2</v>
      </c>
      <c r="BF3" s="349">
        <v>7.2000086666762997E-2</v>
      </c>
      <c r="BG3" s="349">
        <v>8.4666760740845268E-2</v>
      </c>
      <c r="BH3" s="349">
        <v>8.5999999999999993E-2</v>
      </c>
      <c r="BI3" s="349">
        <v>0.11080012311124789</v>
      </c>
      <c r="BJ3" s="349">
        <v>9.0899999999999995E-2</v>
      </c>
      <c r="BK3" s="349">
        <v>9.5777884197649113E-2</v>
      </c>
      <c r="BL3" s="349">
        <v>0.10022233358037065</v>
      </c>
      <c r="BM3" s="350">
        <v>1.0000341130379033</v>
      </c>
      <c r="BN3" s="349">
        <v>8.0288888888888896E-2</v>
      </c>
      <c r="BO3" s="349">
        <v>8.0658753333333305E-2</v>
      </c>
      <c r="BP3" s="349">
        <v>8.8756785315202008E-2</v>
      </c>
      <c r="BQ3" s="349">
        <v>8.1199999999999994E-2</v>
      </c>
      <c r="BR3" s="349">
        <v>8.1278474629314507E-2</v>
      </c>
      <c r="BS3" s="349">
        <v>8.2155116688877899E-2</v>
      </c>
      <c r="BT3" s="349">
        <v>8.2350000000000007E-2</v>
      </c>
      <c r="BU3" s="349">
        <v>8.2699999999999996E-2</v>
      </c>
      <c r="BV3" s="349">
        <v>9.0111736014050606E-2</v>
      </c>
      <c r="BW3" s="349">
        <v>8.3000000000000004E-2</v>
      </c>
      <c r="BX3" s="349">
        <v>8.3500000000000005E-2</v>
      </c>
      <c r="BY3" s="349">
        <v>8.3975300400160005E-2</v>
      </c>
      <c r="BZ3" s="350">
        <v>0.99997505526982722</v>
      </c>
    </row>
    <row r="4" spans="1:79" s="39" customFormat="1" ht="16.5" thickBot="1">
      <c r="A4" s="280" t="s">
        <v>280</v>
      </c>
      <c r="B4" s="281"/>
      <c r="C4" s="281"/>
      <c r="D4" s="281"/>
      <c r="E4" s="284" t="s">
        <v>560</v>
      </c>
      <c r="F4" s="284"/>
      <c r="G4" s="281"/>
      <c r="H4" s="281">
        <v>1.8</v>
      </c>
      <c r="I4" s="281" t="s">
        <v>402</v>
      </c>
      <c r="J4" s="282">
        <f t="shared" ref="J4:J14" si="4">+Z4+AM4+AZ4+BM4+BZ4</f>
        <v>63040.55883836242</v>
      </c>
      <c r="K4" s="282" t="s">
        <v>398</v>
      </c>
      <c r="L4" s="369"/>
      <c r="M4" s="282"/>
      <c r="N4" s="365">
        <v>0</v>
      </c>
      <c r="O4" s="346">
        <v>0</v>
      </c>
      <c r="P4" s="346">
        <v>0</v>
      </c>
      <c r="Q4" s="346">
        <v>0</v>
      </c>
      <c r="R4" s="346">
        <v>0</v>
      </c>
      <c r="S4" s="346">
        <v>0</v>
      </c>
      <c r="T4" s="345">
        <f t="shared" ref="T4:Y4" si="5">+$Z$4*T3</f>
        <v>3.5279419181212432</v>
      </c>
      <c r="U4" s="345">
        <f t="shared" si="5"/>
        <v>5.6447070689939896</v>
      </c>
      <c r="V4" s="345">
        <f t="shared" si="5"/>
        <v>9.8782373707394822</v>
      </c>
      <c r="W4" s="345">
        <f t="shared" si="5"/>
        <v>13.406179288860724</v>
      </c>
      <c r="X4" s="345">
        <f t="shared" si="5"/>
        <v>16.228532823357721</v>
      </c>
      <c r="Y4" s="345">
        <f t="shared" si="5"/>
        <v>21.873239892351709</v>
      </c>
      <c r="Z4" s="384">
        <f>+'Income Statement'!E40</f>
        <v>70.558838362424865</v>
      </c>
      <c r="AA4" s="346">
        <f>+$AM$4*AA3</f>
        <v>519.00067666741859</v>
      </c>
      <c r="AB4" s="346">
        <f t="shared" ref="AB4:AL4" si="6">+$AM$4*AB3</f>
        <v>564.00068666742925</v>
      </c>
      <c r="AC4" s="346">
        <f t="shared" si="6"/>
        <v>770.40085600095142</v>
      </c>
      <c r="AD4" s="346">
        <f t="shared" si="6"/>
        <v>675.00078000086694</v>
      </c>
      <c r="AE4" s="346">
        <f t="shared" si="6"/>
        <v>679.50007800008677</v>
      </c>
      <c r="AF4" s="346">
        <f t="shared" si="6"/>
        <v>684.00078000086705</v>
      </c>
      <c r="AG4" s="346">
        <f t="shared" si="6"/>
        <v>744.00084666760768</v>
      </c>
      <c r="AH4" s="346">
        <f t="shared" si="6"/>
        <v>762.00084666760745</v>
      </c>
      <c r="AI4" s="346">
        <f t="shared" si="6"/>
        <v>997.20110800123098</v>
      </c>
      <c r="AJ4" s="346">
        <f t="shared" si="6"/>
        <v>848.69999999999993</v>
      </c>
      <c r="AK4" s="346">
        <f t="shared" si="6"/>
        <v>854.00094888994317</v>
      </c>
      <c r="AL4" s="346">
        <f t="shared" si="6"/>
        <v>902.00100222333583</v>
      </c>
      <c r="AM4" s="384">
        <f>+'Income Statement'!F40</f>
        <v>9000</v>
      </c>
      <c r="AN4" s="346">
        <f>+$AZ$4*AN3</f>
        <v>905.18399999999974</v>
      </c>
      <c r="AO4" s="346">
        <f t="shared" ref="AO4:AY4" si="7">+$AZ$4*AO3</f>
        <v>909.2249999999998</v>
      </c>
      <c r="AP4" s="346">
        <f t="shared" si="7"/>
        <v>1233.5999999999997</v>
      </c>
      <c r="AQ4" s="346">
        <f t="shared" si="7"/>
        <v>1018.7877858419835</v>
      </c>
      <c r="AR4" s="346">
        <f t="shared" si="7"/>
        <v>1064.1299999999997</v>
      </c>
      <c r="AS4" s="346">
        <f t="shared" si="7"/>
        <v>1116.6629999999998</v>
      </c>
      <c r="AT4" s="346">
        <f t="shared" si="7"/>
        <v>1145</v>
      </c>
      <c r="AU4" s="346">
        <f t="shared" si="7"/>
        <v>1153</v>
      </c>
      <c r="AV4" s="346">
        <f t="shared" si="7"/>
        <v>1438.8000000000006</v>
      </c>
      <c r="AW4" s="346">
        <f t="shared" si="7"/>
        <v>1126.0599999999995</v>
      </c>
      <c r="AX4" s="346">
        <f t="shared" si="7"/>
        <v>1153</v>
      </c>
      <c r="AY4" s="346">
        <f t="shared" si="7"/>
        <v>1206.9948333275922</v>
      </c>
      <c r="AZ4" s="384">
        <f>+'Income Statement'!G40-30</f>
        <v>13469.999999999996</v>
      </c>
      <c r="BA4" s="346">
        <f>+$BM$4*BA3</f>
        <v>1213.2</v>
      </c>
      <c r="BB4" s="346">
        <f t="shared" ref="BB4:BL4" si="8">+$BM$4*BB3</f>
        <v>1218.0013733348585</v>
      </c>
      <c r="BC4" s="346">
        <f t="shared" si="8"/>
        <v>1540.8017120019028</v>
      </c>
      <c r="BD4" s="346">
        <f t="shared" si="8"/>
        <v>1224</v>
      </c>
      <c r="BE4" s="346">
        <f t="shared" si="8"/>
        <v>1278.0015600017339</v>
      </c>
      <c r="BF4" s="346">
        <f t="shared" si="8"/>
        <v>1296.0015600017339</v>
      </c>
      <c r="BG4" s="346">
        <f t="shared" si="8"/>
        <v>1524.0016933352149</v>
      </c>
      <c r="BH4" s="346">
        <f t="shared" si="8"/>
        <v>1547.9999999999998</v>
      </c>
      <c r="BI4" s="346">
        <f t="shared" si="8"/>
        <v>1994.402216002462</v>
      </c>
      <c r="BJ4" s="346">
        <f t="shared" si="8"/>
        <v>1636.1999999999998</v>
      </c>
      <c r="BK4" s="346">
        <f t="shared" si="8"/>
        <v>1724.001915557684</v>
      </c>
      <c r="BL4" s="346">
        <f t="shared" si="8"/>
        <v>1804.0020044466717</v>
      </c>
      <c r="BM4" s="384">
        <f>+'Income Statement'!H40</f>
        <v>18000</v>
      </c>
      <c r="BN4" s="346">
        <f>+$BZ$4*BN3</f>
        <v>1806.5000000000002</v>
      </c>
      <c r="BO4" s="346">
        <f t="shared" ref="BO4:BY4" si="9">+$BZ$4*BO3</f>
        <v>1814.8219499999993</v>
      </c>
      <c r="BP4" s="346">
        <f t="shared" si="9"/>
        <v>1997.0276695920452</v>
      </c>
      <c r="BQ4" s="346">
        <f t="shared" si="9"/>
        <v>1826.9999999999998</v>
      </c>
      <c r="BR4" s="346">
        <f t="shared" si="9"/>
        <v>1828.7656791595764</v>
      </c>
      <c r="BS4" s="346">
        <f t="shared" si="9"/>
        <v>1848.4901254997528</v>
      </c>
      <c r="BT4" s="346">
        <f t="shared" si="9"/>
        <v>1852.8750000000002</v>
      </c>
      <c r="BU4" s="346">
        <f t="shared" si="9"/>
        <v>1860.75</v>
      </c>
      <c r="BV4" s="346">
        <f t="shared" si="9"/>
        <v>2027.5140603161387</v>
      </c>
      <c r="BW4" s="346">
        <f t="shared" si="9"/>
        <v>1867.5</v>
      </c>
      <c r="BX4" s="346">
        <f t="shared" si="9"/>
        <v>1878.75</v>
      </c>
      <c r="BY4" s="346">
        <f t="shared" si="9"/>
        <v>1889.4442590036001</v>
      </c>
      <c r="BZ4" s="384">
        <f>+'Income Statement'!I40</f>
        <v>22500</v>
      </c>
      <c r="CA4" s="351"/>
    </row>
    <row r="5" spans="1:79" s="39" customFormat="1">
      <c r="A5" s="283" t="s">
        <v>280</v>
      </c>
      <c r="B5" s="284"/>
      <c r="C5" s="284"/>
      <c r="D5" s="284"/>
      <c r="E5" s="281" t="s">
        <v>397</v>
      </c>
      <c r="F5" s="284"/>
      <c r="G5" s="284"/>
      <c r="H5" s="284">
        <v>0.9</v>
      </c>
      <c r="I5" s="284" t="s">
        <v>402</v>
      </c>
      <c r="J5" s="285">
        <f t="shared" si="4"/>
        <v>21023.519612787473</v>
      </c>
      <c r="K5" s="285" t="s">
        <v>398</v>
      </c>
      <c r="L5" s="370"/>
      <c r="M5" s="352"/>
      <c r="N5" s="365">
        <v>0</v>
      </c>
      <c r="O5" s="346">
        <v>0</v>
      </c>
      <c r="P5" s="346">
        <v>0</v>
      </c>
      <c r="Q5" s="346">
        <v>0</v>
      </c>
      <c r="R5" s="346">
        <v>0</v>
      </c>
      <c r="S5" s="346">
        <v>0</v>
      </c>
      <c r="T5" s="345">
        <f t="shared" ref="T5:Y5" si="10">+$Z$5*T3</f>
        <v>1.1759806393737477</v>
      </c>
      <c r="U5" s="345">
        <f t="shared" si="10"/>
        <v>1.8815690229979964</v>
      </c>
      <c r="V5" s="345">
        <f t="shared" si="10"/>
        <v>3.2927457902464941</v>
      </c>
      <c r="W5" s="345">
        <f t="shared" si="10"/>
        <v>4.4687264296202418</v>
      </c>
      <c r="X5" s="345">
        <f t="shared" si="10"/>
        <v>5.4095109411192395</v>
      </c>
      <c r="Y5" s="345">
        <f t="shared" si="10"/>
        <v>7.2910799641172357</v>
      </c>
      <c r="Z5" s="385">
        <f>+'Income Statement'!E41</f>
        <v>23.519612787474955</v>
      </c>
      <c r="AA5" s="346">
        <f>+$AM$5*AA3</f>
        <v>173.0002255558062</v>
      </c>
      <c r="AB5" s="346">
        <f t="shared" ref="AB5:AL5" si="11">+$AM$5*AB3</f>
        <v>188.00022888914307</v>
      </c>
      <c r="AC5" s="346">
        <f t="shared" si="11"/>
        <v>256.80028533365049</v>
      </c>
      <c r="AD5" s="346">
        <f t="shared" si="11"/>
        <v>225.00026000028899</v>
      </c>
      <c r="AE5" s="346">
        <f t="shared" si="11"/>
        <v>226.50002600002892</v>
      </c>
      <c r="AF5" s="346">
        <f t="shared" si="11"/>
        <v>228.00026000028899</v>
      </c>
      <c r="AG5" s="346">
        <f t="shared" si="11"/>
        <v>248.00028222253587</v>
      </c>
      <c r="AH5" s="346">
        <f t="shared" si="11"/>
        <v>254.00028222253582</v>
      </c>
      <c r="AI5" s="346">
        <f t="shared" si="11"/>
        <v>332.40036933374364</v>
      </c>
      <c r="AJ5" s="346">
        <f t="shared" si="11"/>
        <v>282.89999999999998</v>
      </c>
      <c r="AK5" s="346">
        <f t="shared" si="11"/>
        <v>284.66698296331441</v>
      </c>
      <c r="AL5" s="346">
        <f t="shared" si="11"/>
        <v>300.66700074111196</v>
      </c>
      <c r="AM5" s="385">
        <f>+'Income Statement'!F41</f>
        <v>3000</v>
      </c>
      <c r="AN5" s="346">
        <f>+$AZ$5*AN3</f>
        <v>302.39999999999986</v>
      </c>
      <c r="AO5" s="346">
        <f t="shared" ref="AO5:AY5" si="12">+$AZ$5*AO3</f>
        <v>303.74999999999989</v>
      </c>
      <c r="AP5" s="346">
        <f t="shared" si="12"/>
        <v>412.1158129175945</v>
      </c>
      <c r="AQ5" s="346">
        <f t="shared" si="12"/>
        <v>340.35226698507239</v>
      </c>
      <c r="AR5" s="346">
        <f t="shared" si="12"/>
        <v>355.49999999999989</v>
      </c>
      <c r="AS5" s="346">
        <f t="shared" si="12"/>
        <v>373.04999999999984</v>
      </c>
      <c r="AT5" s="346">
        <f t="shared" si="12"/>
        <v>382.5167037861915</v>
      </c>
      <c r="AU5" s="346">
        <f t="shared" si="12"/>
        <v>385.18930957683739</v>
      </c>
      <c r="AV5" s="346">
        <f t="shared" si="12"/>
        <v>480.66815144766161</v>
      </c>
      <c r="AW5" s="346">
        <f t="shared" si="12"/>
        <v>376.18930957683716</v>
      </c>
      <c r="AX5" s="346">
        <f t="shared" si="12"/>
        <v>385.18930957683739</v>
      </c>
      <c r="AY5" s="346">
        <f t="shared" si="12"/>
        <v>403.22767260387263</v>
      </c>
      <c r="AZ5" s="385">
        <f>+'Income Statement'!G41</f>
        <v>4499.9999999999982</v>
      </c>
      <c r="BA5" s="346">
        <f>+$BM$5*BA3</f>
        <v>404.40000000000003</v>
      </c>
      <c r="BB5" s="346">
        <f t="shared" ref="BB5:BL5" si="13">+$BM$5*BB3</f>
        <v>406.0004577782862</v>
      </c>
      <c r="BC5" s="346">
        <f t="shared" si="13"/>
        <v>513.60057066730099</v>
      </c>
      <c r="BD5" s="346">
        <f t="shared" si="13"/>
        <v>408.00000000000006</v>
      </c>
      <c r="BE5" s="346">
        <f t="shared" si="13"/>
        <v>426.00052000057798</v>
      </c>
      <c r="BF5" s="346">
        <f t="shared" si="13"/>
        <v>432.00052000057798</v>
      </c>
      <c r="BG5" s="346">
        <f t="shared" si="13"/>
        <v>508.00056444507163</v>
      </c>
      <c r="BH5" s="346">
        <f t="shared" si="13"/>
        <v>516</v>
      </c>
      <c r="BI5" s="346">
        <f t="shared" si="13"/>
        <v>664.80073866748728</v>
      </c>
      <c r="BJ5" s="346">
        <f t="shared" si="13"/>
        <v>545.4</v>
      </c>
      <c r="BK5" s="346">
        <f t="shared" si="13"/>
        <v>574.66730518589463</v>
      </c>
      <c r="BL5" s="346">
        <f t="shared" si="13"/>
        <v>601.33400148222393</v>
      </c>
      <c r="BM5" s="385">
        <f>+'Income Statement'!H41</f>
        <v>6000</v>
      </c>
      <c r="BN5" s="346">
        <f>+$BZ$5*BN3</f>
        <v>602.16666666666674</v>
      </c>
      <c r="BO5" s="346">
        <f t="shared" ref="BO5:BY5" si="14">+$BZ$5*BO3</f>
        <v>604.94064999999978</v>
      </c>
      <c r="BP5" s="346">
        <f t="shared" si="14"/>
        <v>665.67588986401506</v>
      </c>
      <c r="BQ5" s="346">
        <f t="shared" si="14"/>
        <v>609</v>
      </c>
      <c r="BR5" s="346">
        <f t="shared" si="14"/>
        <v>609.58855971985884</v>
      </c>
      <c r="BS5" s="346">
        <f t="shared" si="14"/>
        <v>616.16337516658427</v>
      </c>
      <c r="BT5" s="346">
        <f t="shared" si="14"/>
        <v>617.625</v>
      </c>
      <c r="BU5" s="346">
        <f t="shared" si="14"/>
        <v>620.25</v>
      </c>
      <c r="BV5" s="346">
        <f t="shared" si="14"/>
        <v>675.83802010537954</v>
      </c>
      <c r="BW5" s="346">
        <f t="shared" si="14"/>
        <v>622.5</v>
      </c>
      <c r="BX5" s="346">
        <f t="shared" si="14"/>
        <v>626.25</v>
      </c>
      <c r="BY5" s="346">
        <f t="shared" si="14"/>
        <v>629.81475300120007</v>
      </c>
      <c r="BZ5" s="385">
        <f>+'Income Statement'!I41</f>
        <v>7500</v>
      </c>
    </row>
    <row r="6" spans="1:79" s="292" customFormat="1">
      <c r="A6" s="286" t="s">
        <v>399</v>
      </c>
      <c r="B6" s="287"/>
      <c r="C6" s="287" t="s">
        <v>215</v>
      </c>
      <c r="D6" s="287" t="s">
        <v>278</v>
      </c>
      <c r="E6" s="287" t="s">
        <v>401</v>
      </c>
      <c r="F6" s="287"/>
      <c r="G6" s="287"/>
      <c r="H6" s="398">
        <f>+'Cost Estimation'!B7</f>
        <v>3.0371532750810619</v>
      </c>
      <c r="I6" s="287"/>
      <c r="J6" s="338">
        <f t="shared" si="4"/>
        <v>147844.00969956382</v>
      </c>
      <c r="K6" s="288" t="s">
        <v>402</v>
      </c>
      <c r="L6" s="371">
        <f>SUM(L7:L10)</f>
        <v>1</v>
      </c>
      <c r="M6" s="378"/>
      <c r="N6" s="368">
        <f>+N3*$Z$6</f>
        <v>0</v>
      </c>
      <c r="O6" s="368">
        <f t="shared" ref="O6:Y6" si="15">+O3*$Z$6</f>
        <v>0</v>
      </c>
      <c r="P6" s="368">
        <f t="shared" si="15"/>
        <v>0</v>
      </c>
      <c r="Q6" s="368">
        <f t="shared" si="15"/>
        <v>0</v>
      </c>
      <c r="R6" s="368">
        <f t="shared" si="15"/>
        <v>0</v>
      </c>
      <c r="S6" s="368">
        <f t="shared" si="15"/>
        <v>0</v>
      </c>
      <c r="T6" s="368">
        <f t="shared" si="15"/>
        <v>8.2698661430753457</v>
      </c>
      <c r="U6" s="368">
        <f t="shared" si="15"/>
        <v>13.231785828920552</v>
      </c>
      <c r="V6" s="368">
        <f t="shared" si="15"/>
        <v>23.155625200610967</v>
      </c>
      <c r="W6" s="368">
        <f t="shared" si="15"/>
        <v>31.425491343686311</v>
      </c>
      <c r="X6" s="368">
        <f t="shared" si="15"/>
        <v>38.041384258146586</v>
      </c>
      <c r="Y6" s="368">
        <f t="shared" si="15"/>
        <v>51.273170087067136</v>
      </c>
      <c r="Z6" s="386">
        <f>+'Income Statement'!E42+'Income Statement'!E43</f>
        <v>165.39732286150689</v>
      </c>
      <c r="AA6" s="368">
        <f>+AA3*$AM$6</f>
        <v>1216.592059568475</v>
      </c>
      <c r="AB6" s="368">
        <f t="shared" ref="AB6:AL6" si="16">+AB3*$AM$6</f>
        <v>1322.0768061357655</v>
      </c>
      <c r="AC6" s="368">
        <f t="shared" si="16"/>
        <v>1805.9004664768916</v>
      </c>
      <c r="AD6" s="368">
        <f t="shared" si="16"/>
        <v>1582.2726752971389</v>
      </c>
      <c r="AE6" s="368">
        <f t="shared" si="16"/>
        <v>1592.8195020462508</v>
      </c>
      <c r="AF6" s="368">
        <f t="shared" si="16"/>
        <v>1603.3696199223821</v>
      </c>
      <c r="AG6" s="368">
        <f t="shared" si="16"/>
        <v>1744.0160736978407</v>
      </c>
      <c r="AH6" s="368">
        <f t="shared" si="16"/>
        <v>1786.2099629483266</v>
      </c>
      <c r="AI6" s="368">
        <f t="shared" si="16"/>
        <v>2337.5440617481245</v>
      </c>
      <c r="AJ6" s="368">
        <f t="shared" si="16"/>
        <v>1989.4418781604325</v>
      </c>
      <c r="AK6" s="368">
        <f t="shared" si="16"/>
        <v>2001.8678587373633</v>
      </c>
      <c r="AL6" s="368">
        <f t="shared" si="16"/>
        <v>2114.3850217577306</v>
      </c>
      <c r="AM6" s="386">
        <f>+'Income Statement'!F42+'Income Statement'!F43</f>
        <v>21096.944625243188</v>
      </c>
      <c r="AN6" s="368">
        <f>+AN3*$AZ$6</f>
        <v>2126.5720182245127</v>
      </c>
      <c r="AO6" s="368">
        <f t="shared" ref="AO6:AY6" si="17">+AO3*$AZ$6</f>
        <v>2136.0656433058725</v>
      </c>
      <c r="AP6" s="368">
        <f t="shared" si="17"/>
        <v>2898.1281614365248</v>
      </c>
      <c r="AQ6" s="368">
        <f t="shared" si="17"/>
        <v>2393.4643098866864</v>
      </c>
      <c r="AR6" s="368">
        <f t="shared" si="17"/>
        <v>2499.9879380913171</v>
      </c>
      <c r="AS6" s="368">
        <f t="shared" si="17"/>
        <v>2623.4050641489898</v>
      </c>
      <c r="AT6" s="368">
        <f t="shared" si="17"/>
        <v>2689.9779060026112</v>
      </c>
      <c r="AU6" s="368">
        <f t="shared" si="17"/>
        <v>2708.7725114593982</v>
      </c>
      <c r="AV6" s="368">
        <f t="shared" si="17"/>
        <v>3380.2097914031083</v>
      </c>
      <c r="AW6" s="368">
        <f t="shared" si="17"/>
        <v>2645.4816775836675</v>
      </c>
      <c r="AX6" s="368">
        <f t="shared" si="17"/>
        <v>2708.7725114593982</v>
      </c>
      <c r="AY6" s="368">
        <f t="shared" si="17"/>
        <v>2835.6239600965309</v>
      </c>
      <c r="AZ6" s="386">
        <f>+'Income Statement'!G42+'Income Statement'!G43</f>
        <v>31645.416937864775</v>
      </c>
      <c r="BA6" s="368">
        <f>+BA3*$BM$6</f>
        <v>2843.8681354827818</v>
      </c>
      <c r="BB6" s="368">
        <f t="shared" ref="BB6:BL6" si="18">+BB3*$BM$6</f>
        <v>2855.1230585239628</v>
      </c>
      <c r="BC6" s="368">
        <f t="shared" si="18"/>
        <v>3611.8009329537831</v>
      </c>
      <c r="BD6" s="368">
        <f t="shared" si="18"/>
        <v>2869.1844690330736</v>
      </c>
      <c r="BE6" s="368">
        <f t="shared" si="18"/>
        <v>2995.7697935923325</v>
      </c>
      <c r="BF6" s="368">
        <f t="shared" si="18"/>
        <v>3037.9636828428188</v>
      </c>
      <c r="BG6" s="368">
        <f t="shared" si="18"/>
        <v>3572.4199258966532</v>
      </c>
      <c r="BH6" s="368">
        <f t="shared" si="18"/>
        <v>3628.6744755418281</v>
      </c>
      <c r="BI6" s="368">
        <f t="shared" si="18"/>
        <v>4675.088123496249</v>
      </c>
      <c r="BJ6" s="368">
        <f t="shared" si="18"/>
        <v>3835.4245328692114</v>
      </c>
      <c r="BK6" s="368">
        <f t="shared" si="18"/>
        <v>4041.2414384815161</v>
      </c>
      <c r="BL6" s="368">
        <f t="shared" si="18"/>
        <v>4228.7700435154611</v>
      </c>
      <c r="BM6" s="386">
        <f>+'Income Statement'!H42+'Income Statement'!H43</f>
        <v>42193.889250486376</v>
      </c>
      <c r="BN6" s="368">
        <f>+BN3*$BZ$6</f>
        <v>4234.6256072779806</v>
      </c>
      <c r="BO6" s="368">
        <f t="shared" ref="BO6:BY6" si="19">+BO3*$BZ$6</f>
        <v>4254.1331315362058</v>
      </c>
      <c r="BP6" s="368">
        <f t="shared" si="19"/>
        <v>4681.2424622735371</v>
      </c>
      <c r="BQ6" s="368">
        <f t="shared" si="19"/>
        <v>4282.679758924367</v>
      </c>
      <c r="BR6" s="368">
        <f t="shared" si="19"/>
        <v>4286.8186961972042</v>
      </c>
      <c r="BS6" s="368">
        <f t="shared" si="19"/>
        <v>4333.0548686641241</v>
      </c>
      <c r="BT6" s="368">
        <f t="shared" si="19"/>
        <v>4343.3334747219424</v>
      </c>
      <c r="BU6" s="368">
        <f t="shared" si="19"/>
        <v>4361.7933012690291</v>
      </c>
      <c r="BV6" s="368">
        <f t="shared" si="19"/>
        <v>4752.705761932395</v>
      </c>
      <c r="BW6" s="368">
        <f t="shared" si="19"/>
        <v>4377.6160097379625</v>
      </c>
      <c r="BX6" s="368">
        <f t="shared" si="19"/>
        <v>4403.9871905195159</v>
      </c>
      <c r="BY6" s="368">
        <f t="shared" si="19"/>
        <v>4429.055656075845</v>
      </c>
      <c r="BZ6" s="386">
        <f>+'Income Statement'!I42+'Income Statement'!I43</f>
        <v>52742.361563107974</v>
      </c>
    </row>
    <row r="7" spans="1:79" s="292" customFormat="1">
      <c r="A7" s="286" t="s">
        <v>399</v>
      </c>
      <c r="B7" s="287"/>
      <c r="C7" s="287"/>
      <c r="D7" s="287" t="s">
        <v>278</v>
      </c>
      <c r="E7" s="287" t="s">
        <v>403</v>
      </c>
      <c r="F7" s="287" t="s">
        <v>548</v>
      </c>
      <c r="G7" s="287"/>
      <c r="H7" s="288">
        <f>+$H$6*L7</f>
        <v>1.6096912357929629</v>
      </c>
      <c r="I7" s="287" t="s">
        <v>402</v>
      </c>
      <c r="J7" s="288">
        <f t="shared" si="4"/>
        <v>78357.325140768837</v>
      </c>
      <c r="K7" s="288" t="s">
        <v>402</v>
      </c>
      <c r="L7" s="372">
        <v>0.53</v>
      </c>
      <c r="M7" s="379"/>
      <c r="N7" s="341">
        <f>$L7*N$6</f>
        <v>0</v>
      </c>
      <c r="O7" s="341">
        <f t="shared" ref="O7:S10" si="20">$L7*O$6</f>
        <v>0</v>
      </c>
      <c r="P7" s="341">
        <f t="shared" si="20"/>
        <v>0</v>
      </c>
      <c r="Q7" s="341">
        <f t="shared" si="20"/>
        <v>0</v>
      </c>
      <c r="R7" s="341">
        <f t="shared" si="20"/>
        <v>0</v>
      </c>
      <c r="S7" s="341">
        <f t="shared" si="20"/>
        <v>0</v>
      </c>
      <c r="T7" s="341">
        <f>$L7*T$6</f>
        <v>4.3830290558299332</v>
      </c>
      <c r="U7" s="341">
        <f>$L7*U$6</f>
        <v>7.0128464893278926</v>
      </c>
      <c r="V7" s="341">
        <f>$L7*V$6</f>
        <v>12.272481356323812</v>
      </c>
      <c r="W7" s="341">
        <f>$L7*W$6</f>
        <v>16.655510412153745</v>
      </c>
      <c r="X7" s="341">
        <f t="shared" ref="X7:Z10" si="21">$L7*X$6</f>
        <v>20.161933656817691</v>
      </c>
      <c r="Y7" s="341">
        <f t="shared" si="21"/>
        <v>27.174780146145583</v>
      </c>
      <c r="Z7" s="387">
        <f t="shared" si="21"/>
        <v>87.660581116598664</v>
      </c>
      <c r="AA7" s="341">
        <f>$L7*AA$6</f>
        <v>644.79379157129176</v>
      </c>
      <c r="AB7" s="341">
        <f t="shared" ref="AB7:AJ10" si="22">$L7*AB$6</f>
        <v>700.70070725195581</v>
      </c>
      <c r="AC7" s="341">
        <f t="shared" si="22"/>
        <v>957.12724723275255</v>
      </c>
      <c r="AD7" s="341">
        <f t="shared" si="22"/>
        <v>838.60451790748368</v>
      </c>
      <c r="AE7" s="341">
        <f t="shared" si="22"/>
        <v>844.194336084513</v>
      </c>
      <c r="AF7" s="341">
        <f t="shared" si="22"/>
        <v>849.78589855886253</v>
      </c>
      <c r="AG7" s="341">
        <f>$L7*AG$6</f>
        <v>924.32851905985569</v>
      </c>
      <c r="AH7" s="341">
        <f>$L7*AH$6</f>
        <v>946.69128036261316</v>
      </c>
      <c r="AI7" s="341">
        <f>$L7*AI$6</f>
        <v>1238.8983527265061</v>
      </c>
      <c r="AJ7" s="341">
        <f>$L7*AJ$6</f>
        <v>1054.4041954250292</v>
      </c>
      <c r="AK7" s="341">
        <f t="shared" ref="AK7:AM10" si="23">$L7*AK$6</f>
        <v>1060.9899651308026</v>
      </c>
      <c r="AL7" s="341">
        <f t="shared" si="23"/>
        <v>1120.6240615315974</v>
      </c>
      <c r="AM7" s="387">
        <f t="shared" si="23"/>
        <v>11181.38065137889</v>
      </c>
      <c r="AN7" s="341">
        <f>$L7*AN$6</f>
        <v>1127.0831696589919</v>
      </c>
      <c r="AO7" s="341">
        <f t="shared" ref="AO7:AZ10" si="24">$L7*AO$6</f>
        <v>1132.1147909521126</v>
      </c>
      <c r="AP7" s="341">
        <f t="shared" si="24"/>
        <v>1536.0079255613582</v>
      </c>
      <c r="AQ7" s="341">
        <f t="shared" si="24"/>
        <v>1268.5360842399439</v>
      </c>
      <c r="AR7" s="341">
        <f t="shared" si="24"/>
        <v>1324.9936071883981</v>
      </c>
      <c r="AS7" s="341">
        <f t="shared" si="24"/>
        <v>1390.4046839989646</v>
      </c>
      <c r="AT7" s="341">
        <f t="shared" si="24"/>
        <v>1425.688290181384</v>
      </c>
      <c r="AU7" s="341">
        <f t="shared" si="24"/>
        <v>1435.6494310734811</v>
      </c>
      <c r="AV7" s="341">
        <f t="shared" si="24"/>
        <v>1791.5111894436475</v>
      </c>
      <c r="AW7" s="341">
        <f t="shared" si="24"/>
        <v>1402.1052891193438</v>
      </c>
      <c r="AX7" s="341">
        <f t="shared" si="24"/>
        <v>1435.6494310734811</v>
      </c>
      <c r="AY7" s="341">
        <f t="shared" si="24"/>
        <v>1502.8806988511615</v>
      </c>
      <c r="AZ7" s="387">
        <f t="shared" si="24"/>
        <v>16772.070977068332</v>
      </c>
      <c r="BA7" s="341">
        <f>$L7*BA$6</f>
        <v>1507.2501118058744</v>
      </c>
      <c r="BB7" s="341">
        <f t="shared" ref="BA7:BM10" si="25">$L7*BB$6</f>
        <v>1513.2152210177003</v>
      </c>
      <c r="BC7" s="341">
        <f t="shared" si="25"/>
        <v>1914.2544944655051</v>
      </c>
      <c r="BD7" s="341">
        <f t="shared" si="25"/>
        <v>1520.6677685875291</v>
      </c>
      <c r="BE7" s="341">
        <f t="shared" si="25"/>
        <v>1587.7579906039364</v>
      </c>
      <c r="BF7" s="341">
        <f t="shared" si="25"/>
        <v>1610.1207519066941</v>
      </c>
      <c r="BG7" s="341">
        <f t="shared" si="25"/>
        <v>1893.3825607252263</v>
      </c>
      <c r="BH7" s="341">
        <f t="shared" si="25"/>
        <v>1923.1974720371691</v>
      </c>
      <c r="BI7" s="341">
        <f t="shared" si="25"/>
        <v>2477.7967054530122</v>
      </c>
      <c r="BJ7" s="341">
        <f t="shared" si="25"/>
        <v>2032.7750024206821</v>
      </c>
      <c r="BK7" s="341">
        <f t="shared" si="25"/>
        <v>2141.8579623952037</v>
      </c>
      <c r="BL7" s="341">
        <f t="shared" si="25"/>
        <v>2241.2481230631947</v>
      </c>
      <c r="BM7" s="387">
        <f t="shared" si="25"/>
        <v>22362.761302757779</v>
      </c>
      <c r="BN7" s="341">
        <f>$L7*BN$6</f>
        <v>2244.3515718573299</v>
      </c>
      <c r="BO7" s="341">
        <f t="shared" ref="BN7:BZ10" si="26">$L7*BO$6</f>
        <v>2254.690559714189</v>
      </c>
      <c r="BP7" s="341">
        <f t="shared" si="26"/>
        <v>2481.0585050049749</v>
      </c>
      <c r="BQ7" s="341">
        <f t="shared" si="26"/>
        <v>2269.8202722299147</v>
      </c>
      <c r="BR7" s="341">
        <f t="shared" si="26"/>
        <v>2272.0139089845184</v>
      </c>
      <c r="BS7" s="341">
        <f t="shared" si="26"/>
        <v>2296.5190803919859</v>
      </c>
      <c r="BT7" s="341">
        <f t="shared" si="26"/>
        <v>2301.9667416026296</v>
      </c>
      <c r="BU7" s="341">
        <f t="shared" si="26"/>
        <v>2311.7504496725855</v>
      </c>
      <c r="BV7" s="341">
        <f t="shared" si="26"/>
        <v>2518.9340538241695</v>
      </c>
      <c r="BW7" s="341">
        <f t="shared" si="26"/>
        <v>2320.1364851611202</v>
      </c>
      <c r="BX7" s="341">
        <f t="shared" si="26"/>
        <v>2334.1132109753435</v>
      </c>
      <c r="BY7" s="341">
        <f t="shared" si="26"/>
        <v>2347.3994977201978</v>
      </c>
      <c r="BZ7" s="387">
        <f t="shared" si="26"/>
        <v>27953.451628447227</v>
      </c>
    </row>
    <row r="8" spans="1:79" s="292" customFormat="1">
      <c r="A8" s="286" t="s">
        <v>399</v>
      </c>
      <c r="B8" s="287"/>
      <c r="C8" s="287"/>
      <c r="D8" s="287" t="s">
        <v>278</v>
      </c>
      <c r="E8" s="287" t="s">
        <v>403</v>
      </c>
      <c r="F8" s="287" t="s">
        <v>406</v>
      </c>
      <c r="G8" s="287"/>
      <c r="H8" s="288">
        <f>+$H$6*L8</f>
        <v>0.2885295611327009</v>
      </c>
      <c r="I8" s="287" t="s">
        <v>402</v>
      </c>
      <c r="J8" s="288">
        <f t="shared" si="4"/>
        <v>14045.180921458563</v>
      </c>
      <c r="K8" s="288" t="s">
        <v>402</v>
      </c>
      <c r="L8" s="372">
        <v>9.5000000000000001E-2</v>
      </c>
      <c r="M8" s="379"/>
      <c r="N8" s="341">
        <f>$L8*N$6</f>
        <v>0</v>
      </c>
      <c r="O8" s="341">
        <f t="shared" si="20"/>
        <v>0</v>
      </c>
      <c r="P8" s="341">
        <f t="shared" si="20"/>
        <v>0</v>
      </c>
      <c r="Q8" s="341">
        <f t="shared" si="20"/>
        <v>0</v>
      </c>
      <c r="R8" s="341">
        <f t="shared" si="20"/>
        <v>0</v>
      </c>
      <c r="S8" s="341">
        <f t="shared" si="20"/>
        <v>0</v>
      </c>
      <c r="T8" s="341">
        <f t="shared" ref="T8:W10" si="27">$L8*T$6</f>
        <v>0.7856372835921579</v>
      </c>
      <c r="U8" s="341">
        <f>$L8*U$6</f>
        <v>1.2570196537474525</v>
      </c>
      <c r="V8" s="341">
        <f>$L8*V$6</f>
        <v>2.1997843940580419</v>
      </c>
      <c r="W8" s="341">
        <f>$L8*W$6</f>
        <v>2.9854216776501996</v>
      </c>
      <c r="X8" s="341">
        <f t="shared" si="21"/>
        <v>3.6139315045239258</v>
      </c>
      <c r="Y8" s="341">
        <f t="shared" si="21"/>
        <v>4.870951158271378</v>
      </c>
      <c r="Z8" s="387">
        <f t="shared" si="21"/>
        <v>15.712745671843155</v>
      </c>
      <c r="AA8" s="341">
        <f t="shared" ref="AA8:AA10" si="28">$L8*AA$6</f>
        <v>115.57624565900512</v>
      </c>
      <c r="AB8" s="341">
        <f t="shared" si="22"/>
        <v>125.59729658289773</v>
      </c>
      <c r="AC8" s="341">
        <f t="shared" si="22"/>
        <v>171.5605443153047</v>
      </c>
      <c r="AD8" s="341">
        <f t="shared" si="22"/>
        <v>150.31590415322819</v>
      </c>
      <c r="AE8" s="341">
        <f t="shared" si="22"/>
        <v>151.31785269439382</v>
      </c>
      <c r="AF8" s="341">
        <f t="shared" si="22"/>
        <v>152.3201138926263</v>
      </c>
      <c r="AG8" s="341">
        <f t="shared" si="22"/>
        <v>165.68152700129488</v>
      </c>
      <c r="AH8" s="341">
        <f t="shared" si="22"/>
        <v>169.68994648009104</v>
      </c>
      <c r="AI8" s="341">
        <f t="shared" si="22"/>
        <v>222.06668586607182</v>
      </c>
      <c r="AJ8" s="341">
        <f t="shared" si="22"/>
        <v>188.99697842524108</v>
      </c>
      <c r="AK8" s="341">
        <f t="shared" si="23"/>
        <v>190.17744658004952</v>
      </c>
      <c r="AL8" s="341">
        <f t="shared" si="23"/>
        <v>200.86657706698441</v>
      </c>
      <c r="AM8" s="387">
        <f t="shared" si="23"/>
        <v>2004.2097393981028</v>
      </c>
      <c r="AN8" s="341">
        <f t="shared" ref="AN8:BC10" si="29">$L8*AN$6</f>
        <v>202.02434173132872</v>
      </c>
      <c r="AO8" s="341">
        <f t="shared" si="29"/>
        <v>202.9262361140579</v>
      </c>
      <c r="AP8" s="341">
        <f t="shared" si="29"/>
        <v>275.32217533646985</v>
      </c>
      <c r="AQ8" s="341">
        <f t="shared" si="29"/>
        <v>227.37910943923521</v>
      </c>
      <c r="AR8" s="341">
        <f t="shared" si="29"/>
        <v>237.49885411867513</v>
      </c>
      <c r="AS8" s="341">
        <f t="shared" si="29"/>
        <v>249.22348109415404</v>
      </c>
      <c r="AT8" s="341">
        <f t="shared" si="29"/>
        <v>255.54790107024806</v>
      </c>
      <c r="AU8" s="341">
        <f t="shared" si="29"/>
        <v>257.33338858864283</v>
      </c>
      <c r="AV8" s="341">
        <f t="shared" si="29"/>
        <v>321.11993018329531</v>
      </c>
      <c r="AW8" s="341">
        <f t="shared" si="29"/>
        <v>251.32075937044843</v>
      </c>
      <c r="AX8" s="341">
        <f t="shared" si="29"/>
        <v>257.33338858864283</v>
      </c>
      <c r="AY8" s="341">
        <f t="shared" si="29"/>
        <v>269.38427620917042</v>
      </c>
      <c r="AZ8" s="387">
        <f t="shared" si="24"/>
        <v>3006.3146090971536</v>
      </c>
      <c r="BA8" s="341">
        <f t="shared" si="29"/>
        <v>270.16747287086429</v>
      </c>
      <c r="BB8" s="341">
        <f t="shared" si="29"/>
        <v>271.23669055977649</v>
      </c>
      <c r="BC8" s="341">
        <f t="shared" si="29"/>
        <v>343.12108863060939</v>
      </c>
      <c r="BD8" s="341">
        <f t="shared" si="25"/>
        <v>272.57252455814199</v>
      </c>
      <c r="BE8" s="341">
        <f t="shared" si="25"/>
        <v>284.59813039127158</v>
      </c>
      <c r="BF8" s="341">
        <f t="shared" si="25"/>
        <v>288.60654987006779</v>
      </c>
      <c r="BG8" s="341">
        <f t="shared" si="25"/>
        <v>339.37989296018208</v>
      </c>
      <c r="BH8" s="341">
        <f t="shared" si="25"/>
        <v>344.72407517647366</v>
      </c>
      <c r="BI8" s="341">
        <f t="shared" si="25"/>
        <v>444.13337173214364</v>
      </c>
      <c r="BJ8" s="341">
        <f t="shared" si="25"/>
        <v>364.36533062257507</v>
      </c>
      <c r="BK8" s="341">
        <f t="shared" si="25"/>
        <v>383.91793665574403</v>
      </c>
      <c r="BL8" s="341">
        <f t="shared" si="25"/>
        <v>401.73315413396881</v>
      </c>
      <c r="BM8" s="387">
        <f t="shared" si="25"/>
        <v>4008.4194787962056</v>
      </c>
      <c r="BN8" s="341">
        <f t="shared" ref="BN8:BP8" si="30">$L8*BN$6</f>
        <v>402.28943269140814</v>
      </c>
      <c r="BO8" s="341">
        <f t="shared" si="30"/>
        <v>404.14264749593957</v>
      </c>
      <c r="BP8" s="341">
        <f t="shared" si="30"/>
        <v>444.71803391598604</v>
      </c>
      <c r="BQ8" s="341">
        <f t="shared" si="26"/>
        <v>406.85457709781485</v>
      </c>
      <c r="BR8" s="341">
        <f t="shared" si="26"/>
        <v>407.24777613873442</v>
      </c>
      <c r="BS8" s="341">
        <f t="shared" si="26"/>
        <v>411.6402125230918</v>
      </c>
      <c r="BT8" s="341">
        <f t="shared" si="26"/>
        <v>412.61668009858454</v>
      </c>
      <c r="BU8" s="341">
        <f t="shared" si="26"/>
        <v>414.37036362055778</v>
      </c>
      <c r="BV8" s="341">
        <f t="shared" si="26"/>
        <v>451.50704738357751</v>
      </c>
      <c r="BW8" s="341">
        <f t="shared" si="26"/>
        <v>415.87352092510645</v>
      </c>
      <c r="BX8" s="341">
        <f t="shared" si="26"/>
        <v>418.378783099354</v>
      </c>
      <c r="BY8" s="341">
        <f t="shared" si="26"/>
        <v>420.76028732720528</v>
      </c>
      <c r="BZ8" s="387">
        <f t="shared" si="26"/>
        <v>5010.524348495258</v>
      </c>
    </row>
    <row r="9" spans="1:79" s="292" customFormat="1">
      <c r="A9" s="286" t="s">
        <v>399</v>
      </c>
      <c r="B9" s="287"/>
      <c r="C9" s="287"/>
      <c r="D9" s="287" t="s">
        <v>278</v>
      </c>
      <c r="E9" s="287" t="s">
        <v>403</v>
      </c>
      <c r="F9" s="287" t="s">
        <v>408</v>
      </c>
      <c r="G9" s="287" t="s">
        <v>409</v>
      </c>
      <c r="H9" s="288">
        <f t="shared" ref="H9:H10" si="31">+$H$6*L9</f>
        <v>0.89930108475150239</v>
      </c>
      <c r="I9" s="287" t="s">
        <v>402</v>
      </c>
      <c r="J9" s="288">
        <f t="shared" si="4"/>
        <v>43776.611272040842</v>
      </c>
      <c r="K9" s="288" t="s">
        <v>402</v>
      </c>
      <c r="L9" s="372">
        <v>0.29609999999999997</v>
      </c>
      <c r="M9" s="379"/>
      <c r="N9" s="341">
        <f t="shared" ref="N9:N10" si="32">$L9*N$6</f>
        <v>0</v>
      </c>
      <c r="O9" s="341">
        <f t="shared" si="20"/>
        <v>0</v>
      </c>
      <c r="P9" s="341">
        <f t="shared" si="20"/>
        <v>0</v>
      </c>
      <c r="Q9" s="341">
        <f t="shared" si="20"/>
        <v>0</v>
      </c>
      <c r="R9" s="341">
        <f t="shared" si="20"/>
        <v>0</v>
      </c>
      <c r="S9" s="341">
        <f t="shared" si="20"/>
        <v>0</v>
      </c>
      <c r="T9" s="341">
        <f t="shared" si="27"/>
        <v>2.4487073649646098</v>
      </c>
      <c r="U9" s="341">
        <f t="shared" si="27"/>
        <v>3.9179317839433749</v>
      </c>
      <c r="V9" s="341">
        <f t="shared" si="27"/>
        <v>6.8563806219009065</v>
      </c>
      <c r="W9" s="341">
        <f t="shared" si="27"/>
        <v>9.3050879868655159</v>
      </c>
      <c r="X9" s="341">
        <f t="shared" si="21"/>
        <v>11.264053878837203</v>
      </c>
      <c r="Y9" s="341">
        <f t="shared" si="21"/>
        <v>15.181985662780578</v>
      </c>
      <c r="Z9" s="387">
        <f t="shared" si="21"/>
        <v>48.974147299292184</v>
      </c>
      <c r="AA9" s="341">
        <f t="shared" si="28"/>
        <v>360.2329088382254</v>
      </c>
      <c r="AB9" s="341">
        <f t="shared" si="22"/>
        <v>391.46694229680014</v>
      </c>
      <c r="AC9" s="341">
        <f t="shared" si="22"/>
        <v>534.72712812380757</v>
      </c>
      <c r="AD9" s="341">
        <f t="shared" si="22"/>
        <v>468.51093915548279</v>
      </c>
      <c r="AE9" s="341">
        <f t="shared" si="22"/>
        <v>471.6338545558948</v>
      </c>
      <c r="AF9" s="341">
        <f t="shared" si="22"/>
        <v>474.75774445901732</v>
      </c>
      <c r="AG9" s="341">
        <f t="shared" si="22"/>
        <v>516.40315942193058</v>
      </c>
      <c r="AH9" s="341">
        <f t="shared" si="22"/>
        <v>528.89677002899941</v>
      </c>
      <c r="AI9" s="341">
        <f t="shared" si="22"/>
        <v>692.14679668361964</v>
      </c>
      <c r="AJ9" s="341">
        <f t="shared" si="22"/>
        <v>589.07374012330399</v>
      </c>
      <c r="AK9" s="341">
        <f t="shared" si="23"/>
        <v>592.75307297213328</v>
      </c>
      <c r="AL9" s="341">
        <f t="shared" si="23"/>
        <v>626.06940494246396</v>
      </c>
      <c r="AM9" s="387">
        <f t="shared" si="23"/>
        <v>6246.8053035345074</v>
      </c>
      <c r="AN9" s="341">
        <f t="shared" si="29"/>
        <v>629.6779745962782</v>
      </c>
      <c r="AO9" s="341">
        <f t="shared" si="29"/>
        <v>632.48903698286881</v>
      </c>
      <c r="AP9" s="341">
        <f t="shared" si="29"/>
        <v>858.13574860135498</v>
      </c>
      <c r="AQ9" s="341">
        <f t="shared" si="29"/>
        <v>708.70478215744777</v>
      </c>
      <c r="AR9" s="341">
        <f t="shared" si="29"/>
        <v>740.24642846883899</v>
      </c>
      <c r="AS9" s="341">
        <f t="shared" si="29"/>
        <v>776.79023949451584</v>
      </c>
      <c r="AT9" s="341">
        <f t="shared" si="29"/>
        <v>796.50245796737306</v>
      </c>
      <c r="AU9" s="341">
        <f t="shared" si="29"/>
        <v>802.0675406431277</v>
      </c>
      <c r="AV9" s="341">
        <f t="shared" si="29"/>
        <v>1000.8801192344603</v>
      </c>
      <c r="AW9" s="341">
        <f t="shared" si="29"/>
        <v>783.32712473252388</v>
      </c>
      <c r="AX9" s="341">
        <f t="shared" si="29"/>
        <v>802.0675406431277</v>
      </c>
      <c r="AY9" s="341">
        <f t="shared" si="29"/>
        <v>839.62825458458269</v>
      </c>
      <c r="AZ9" s="387">
        <f t="shared" si="24"/>
        <v>9370.2079553017593</v>
      </c>
      <c r="BA9" s="341">
        <f t="shared" si="25"/>
        <v>842.06935491645163</v>
      </c>
      <c r="BB9" s="341">
        <f t="shared" si="25"/>
        <v>845.40193762894535</v>
      </c>
      <c r="BC9" s="341">
        <f t="shared" si="25"/>
        <v>1069.4542562476151</v>
      </c>
      <c r="BD9" s="341">
        <f t="shared" si="25"/>
        <v>849.56552128069302</v>
      </c>
      <c r="BE9" s="341">
        <f t="shared" si="25"/>
        <v>887.04743588268957</v>
      </c>
      <c r="BF9" s="341">
        <f t="shared" si="25"/>
        <v>899.54104648975851</v>
      </c>
      <c r="BG9" s="341">
        <f t="shared" si="25"/>
        <v>1057.7935400579988</v>
      </c>
      <c r="BH9" s="341">
        <f t="shared" si="25"/>
        <v>1074.4505122079352</v>
      </c>
      <c r="BI9" s="341">
        <f t="shared" si="25"/>
        <v>1384.2935933672393</v>
      </c>
      <c r="BJ9" s="341">
        <f t="shared" si="25"/>
        <v>1135.6692041825734</v>
      </c>
      <c r="BK9" s="341">
        <f t="shared" si="25"/>
        <v>1196.6115899343768</v>
      </c>
      <c r="BL9" s="341">
        <f t="shared" si="25"/>
        <v>1252.1388098849279</v>
      </c>
      <c r="BM9" s="387">
        <f t="shared" si="25"/>
        <v>12493.610607069015</v>
      </c>
      <c r="BN9" s="341">
        <f t="shared" si="26"/>
        <v>1253.8726423150099</v>
      </c>
      <c r="BO9" s="341">
        <f t="shared" si="26"/>
        <v>1259.6488202478704</v>
      </c>
      <c r="BP9" s="341">
        <f t="shared" si="26"/>
        <v>1386.1158930791942</v>
      </c>
      <c r="BQ9" s="341">
        <f t="shared" si="26"/>
        <v>1268.1014766175049</v>
      </c>
      <c r="BR9" s="341">
        <f t="shared" si="26"/>
        <v>1269.3270159439921</v>
      </c>
      <c r="BS9" s="341">
        <f t="shared" si="26"/>
        <v>1283.017546611447</v>
      </c>
      <c r="BT9" s="341">
        <f t="shared" si="26"/>
        <v>1286.061041865167</v>
      </c>
      <c r="BU9" s="341">
        <f t="shared" si="26"/>
        <v>1291.5269965057594</v>
      </c>
      <c r="BV9" s="341">
        <f t="shared" si="26"/>
        <v>1407.276176108182</v>
      </c>
      <c r="BW9" s="341">
        <f t="shared" si="26"/>
        <v>1296.2121004834105</v>
      </c>
      <c r="BX9" s="341">
        <f t="shared" si="26"/>
        <v>1304.0206071128287</v>
      </c>
      <c r="BY9" s="341">
        <f t="shared" si="26"/>
        <v>1311.4433797640577</v>
      </c>
      <c r="BZ9" s="387">
        <f t="shared" si="26"/>
        <v>15617.01325883627</v>
      </c>
    </row>
    <row r="10" spans="1:79" s="292" customFormat="1">
      <c r="A10" s="286" t="s">
        <v>399</v>
      </c>
      <c r="B10" s="287"/>
      <c r="C10" s="287"/>
      <c r="D10" s="287" t="s">
        <v>278</v>
      </c>
      <c r="E10" s="287" t="s">
        <v>403</v>
      </c>
      <c r="F10" s="287" t="s">
        <v>554</v>
      </c>
      <c r="G10" s="287" t="s">
        <v>411</v>
      </c>
      <c r="H10" s="288">
        <f t="shared" si="31"/>
        <v>0.23963139340389583</v>
      </c>
      <c r="I10" s="287" t="s">
        <v>402</v>
      </c>
      <c r="J10" s="288">
        <f t="shared" si="4"/>
        <v>11664.892365295587</v>
      </c>
      <c r="K10" s="288" t="s">
        <v>402</v>
      </c>
      <c r="L10" s="372">
        <f>10%-2.11%</f>
        <v>7.8900000000000012E-2</v>
      </c>
      <c r="M10" s="379"/>
      <c r="N10" s="341">
        <f t="shared" si="32"/>
        <v>0</v>
      </c>
      <c r="O10" s="341">
        <f t="shared" si="20"/>
        <v>0</v>
      </c>
      <c r="P10" s="341">
        <f t="shared" si="20"/>
        <v>0</v>
      </c>
      <c r="Q10" s="341">
        <f t="shared" si="20"/>
        <v>0</v>
      </c>
      <c r="R10" s="341">
        <f t="shared" si="20"/>
        <v>0</v>
      </c>
      <c r="S10" s="341">
        <f t="shared" si="20"/>
        <v>0</v>
      </c>
      <c r="T10" s="341">
        <f t="shared" si="27"/>
        <v>0.65249243868864493</v>
      </c>
      <c r="U10" s="341">
        <f t="shared" si="27"/>
        <v>1.0439879019018317</v>
      </c>
      <c r="V10" s="341">
        <f t="shared" si="27"/>
        <v>1.8269788283282056</v>
      </c>
      <c r="W10" s="341">
        <f t="shared" si="27"/>
        <v>2.4794712670168502</v>
      </c>
      <c r="X10" s="341">
        <f t="shared" si="21"/>
        <v>3.0014652179677661</v>
      </c>
      <c r="Y10" s="341">
        <f t="shared" si="21"/>
        <v>4.045453119869598</v>
      </c>
      <c r="Z10" s="387">
        <f t="shared" si="21"/>
        <v>13.049848773772895</v>
      </c>
      <c r="AA10" s="341">
        <f t="shared" si="28"/>
        <v>95.989113499952694</v>
      </c>
      <c r="AB10" s="341">
        <f t="shared" si="22"/>
        <v>104.31186000411192</v>
      </c>
      <c r="AC10" s="341">
        <f t="shared" si="22"/>
        <v>142.48554680502676</v>
      </c>
      <c r="AD10" s="341">
        <f t="shared" si="22"/>
        <v>124.84131408094427</v>
      </c>
      <c r="AE10" s="341">
        <f t="shared" si="22"/>
        <v>125.67345871144921</v>
      </c>
      <c r="AF10" s="341">
        <f t="shared" si="22"/>
        <v>126.50586301187596</v>
      </c>
      <c r="AG10" s="341">
        <f t="shared" si="22"/>
        <v>137.60286821475967</v>
      </c>
      <c r="AH10" s="341">
        <f t="shared" si="22"/>
        <v>140.93196607662298</v>
      </c>
      <c r="AI10" s="341">
        <f t="shared" si="22"/>
        <v>184.43222647192704</v>
      </c>
      <c r="AJ10" s="341">
        <f t="shared" si="22"/>
        <v>156.96696418685815</v>
      </c>
      <c r="AK10" s="341">
        <f t="shared" si="23"/>
        <v>157.947374054378</v>
      </c>
      <c r="AL10" s="341">
        <f t="shared" si="23"/>
        <v>166.82497821668497</v>
      </c>
      <c r="AM10" s="387">
        <f t="shared" si="23"/>
        <v>1664.5489309316879</v>
      </c>
      <c r="AN10" s="341">
        <f t="shared" si="29"/>
        <v>167.78653223791409</v>
      </c>
      <c r="AO10" s="341">
        <f t="shared" si="29"/>
        <v>168.53557925683336</v>
      </c>
      <c r="AP10" s="341">
        <f t="shared" si="29"/>
        <v>228.66231193734185</v>
      </c>
      <c r="AQ10" s="341">
        <f t="shared" si="29"/>
        <v>188.84433405005959</v>
      </c>
      <c r="AR10" s="341">
        <f t="shared" si="29"/>
        <v>197.24904831540496</v>
      </c>
      <c r="AS10" s="341">
        <f t="shared" si="29"/>
        <v>206.98665956135534</v>
      </c>
      <c r="AT10" s="341">
        <f t="shared" si="29"/>
        <v>212.23925678360607</v>
      </c>
      <c r="AU10" s="341">
        <f t="shared" si="29"/>
        <v>213.72215115414656</v>
      </c>
      <c r="AV10" s="341">
        <f t="shared" si="29"/>
        <v>266.69855254170528</v>
      </c>
      <c r="AW10" s="341">
        <f t="shared" si="29"/>
        <v>208.72850436135141</v>
      </c>
      <c r="AX10" s="341">
        <f t="shared" si="29"/>
        <v>213.72215115414656</v>
      </c>
      <c r="AY10" s="341">
        <f t="shared" si="29"/>
        <v>223.73073045161632</v>
      </c>
      <c r="AZ10" s="387">
        <f t="shared" si="24"/>
        <v>2496.8233963975313</v>
      </c>
      <c r="BA10" s="341">
        <f t="shared" si="25"/>
        <v>224.38119588959151</v>
      </c>
      <c r="BB10" s="341">
        <f t="shared" si="25"/>
        <v>225.26920931754069</v>
      </c>
      <c r="BC10" s="341">
        <f t="shared" si="25"/>
        <v>284.97109361005352</v>
      </c>
      <c r="BD10" s="341">
        <f t="shared" si="25"/>
        <v>226.37865460670955</v>
      </c>
      <c r="BE10" s="341">
        <f t="shared" si="25"/>
        <v>236.36623671443508</v>
      </c>
      <c r="BF10" s="341">
        <f t="shared" si="25"/>
        <v>239.69533457629845</v>
      </c>
      <c r="BG10" s="341">
        <f t="shared" si="25"/>
        <v>281.86393215324597</v>
      </c>
      <c r="BH10" s="341">
        <f t="shared" si="25"/>
        <v>286.30241612025026</v>
      </c>
      <c r="BI10" s="341">
        <f t="shared" si="25"/>
        <v>368.86445294385408</v>
      </c>
      <c r="BJ10" s="341">
        <f t="shared" si="25"/>
        <v>302.61499564338084</v>
      </c>
      <c r="BK10" s="341">
        <f t="shared" si="25"/>
        <v>318.85394949619166</v>
      </c>
      <c r="BL10" s="341">
        <f t="shared" si="25"/>
        <v>333.64995643336994</v>
      </c>
      <c r="BM10" s="387">
        <f t="shared" si="25"/>
        <v>3329.0978618633758</v>
      </c>
      <c r="BN10" s="341">
        <f t="shared" si="26"/>
        <v>334.11196041423273</v>
      </c>
      <c r="BO10" s="341">
        <f t="shared" si="26"/>
        <v>335.65110407820669</v>
      </c>
      <c r="BP10" s="341">
        <f t="shared" si="26"/>
        <v>369.35003027338212</v>
      </c>
      <c r="BQ10" s="341">
        <f t="shared" si="26"/>
        <v>337.90343297913262</v>
      </c>
      <c r="BR10" s="341">
        <f t="shared" si="26"/>
        <v>338.22999512995943</v>
      </c>
      <c r="BS10" s="341">
        <f t="shared" si="26"/>
        <v>341.87802913759947</v>
      </c>
      <c r="BT10" s="341">
        <f t="shared" si="26"/>
        <v>342.68901115556133</v>
      </c>
      <c r="BU10" s="341">
        <f t="shared" si="26"/>
        <v>344.14549147012644</v>
      </c>
      <c r="BV10" s="341">
        <f t="shared" si="26"/>
        <v>374.988484616466</v>
      </c>
      <c r="BW10" s="341">
        <f t="shared" si="26"/>
        <v>345.39390316832527</v>
      </c>
      <c r="BX10" s="341">
        <f t="shared" si="26"/>
        <v>347.47458933198988</v>
      </c>
      <c r="BY10" s="341">
        <f t="shared" si="26"/>
        <v>349.45249126438421</v>
      </c>
      <c r="BZ10" s="387">
        <f t="shared" si="26"/>
        <v>4161.3723273292198</v>
      </c>
    </row>
    <row r="11" spans="1:79" s="360" customFormat="1">
      <c r="A11" s="359" t="s">
        <v>399</v>
      </c>
      <c r="B11" s="293"/>
      <c r="C11" s="293" t="s">
        <v>215</v>
      </c>
      <c r="D11" s="293" t="s">
        <v>425</v>
      </c>
      <c r="E11" s="293" t="s">
        <v>497</v>
      </c>
      <c r="F11" s="293"/>
      <c r="G11" s="293"/>
      <c r="H11" s="293"/>
      <c r="I11" s="293"/>
      <c r="J11" s="293">
        <f t="shared" si="4"/>
        <v>0</v>
      </c>
      <c r="K11" s="354"/>
      <c r="L11" s="373"/>
      <c r="M11" s="354"/>
      <c r="N11" s="357"/>
      <c r="O11" s="293"/>
      <c r="P11" s="293"/>
      <c r="Q11" s="293"/>
      <c r="R11" s="293"/>
      <c r="S11" s="293"/>
      <c r="T11" s="293"/>
      <c r="U11" s="293"/>
      <c r="V11" s="293"/>
      <c r="W11" s="293"/>
      <c r="X11" s="293"/>
      <c r="Y11" s="355"/>
      <c r="Z11" s="388"/>
      <c r="AA11" s="357"/>
      <c r="AB11" s="293"/>
      <c r="AC11" s="293"/>
      <c r="AD11" s="293"/>
      <c r="AE11" s="293"/>
      <c r="AF11" s="293"/>
      <c r="AG11" s="293"/>
      <c r="AH11" s="293"/>
      <c r="AI11" s="293"/>
      <c r="AJ11" s="293"/>
      <c r="AK11" s="293"/>
      <c r="AL11" s="293"/>
      <c r="AM11" s="388"/>
      <c r="AN11" s="293"/>
      <c r="AO11" s="293"/>
      <c r="AP11" s="293"/>
      <c r="AQ11" s="293"/>
      <c r="AR11" s="293"/>
      <c r="AS11" s="293"/>
      <c r="AT11" s="293"/>
      <c r="AU11" s="293"/>
      <c r="AV11" s="293"/>
      <c r="AW11" s="293"/>
      <c r="AX11" s="293"/>
      <c r="AY11" s="293"/>
      <c r="AZ11" s="388"/>
      <c r="BA11" s="293"/>
      <c r="BB11" s="293"/>
      <c r="BC11" s="293"/>
      <c r="BD11" s="293"/>
      <c r="BE11" s="293"/>
      <c r="BF11" s="293"/>
      <c r="BG11" s="293"/>
      <c r="BH11" s="293"/>
      <c r="BI11" s="293"/>
      <c r="BJ11" s="293"/>
      <c r="BK11" s="293"/>
      <c r="BL11" s="293"/>
      <c r="BM11" s="388"/>
      <c r="BN11" s="293"/>
      <c r="BO11" s="293"/>
      <c r="BP11" s="293"/>
      <c r="BQ11" s="293"/>
      <c r="BR11" s="293"/>
      <c r="BS11" s="293"/>
      <c r="BT11" s="293"/>
      <c r="BU11" s="293"/>
      <c r="BV11" s="293"/>
      <c r="BW11" s="293"/>
      <c r="BX11" s="293"/>
      <c r="BY11" s="293"/>
      <c r="BZ11" s="388"/>
    </row>
    <row r="12" spans="1:79" s="292" customFormat="1">
      <c r="A12" s="286" t="s">
        <v>399</v>
      </c>
      <c r="B12" s="287"/>
      <c r="C12" s="287" t="s">
        <v>400</v>
      </c>
      <c r="D12" s="287" t="s">
        <v>425</v>
      </c>
      <c r="E12" s="287" t="s">
        <v>433</v>
      </c>
      <c r="F12" s="287"/>
      <c r="G12" s="287"/>
      <c r="H12" s="293"/>
      <c r="I12" s="287"/>
      <c r="J12" s="288">
        <f t="shared" si="4"/>
        <v>0</v>
      </c>
      <c r="K12" s="288" t="s">
        <v>402</v>
      </c>
      <c r="L12" s="374"/>
      <c r="M12" s="288"/>
      <c r="N12" s="291"/>
      <c r="O12" s="287"/>
      <c r="P12" s="287"/>
      <c r="Q12" s="287"/>
      <c r="R12" s="287"/>
      <c r="S12" s="287"/>
      <c r="T12" s="287"/>
      <c r="U12" s="287"/>
      <c r="V12" s="287"/>
      <c r="W12" s="287"/>
      <c r="X12" s="287"/>
      <c r="Y12" s="289"/>
      <c r="Z12" s="388"/>
      <c r="AA12" s="291"/>
      <c r="AB12" s="287"/>
      <c r="AC12" s="287"/>
      <c r="AD12" s="287"/>
      <c r="AE12" s="287"/>
      <c r="AF12" s="287"/>
      <c r="AG12" s="287"/>
      <c r="AH12" s="287"/>
      <c r="AI12" s="287"/>
      <c r="AJ12" s="287"/>
      <c r="AK12" s="287"/>
      <c r="AL12" s="287"/>
      <c r="AM12" s="388"/>
      <c r="AN12" s="287"/>
      <c r="AO12" s="287"/>
      <c r="AP12" s="287"/>
      <c r="AQ12" s="287"/>
      <c r="AR12" s="287"/>
      <c r="AS12" s="287"/>
      <c r="AT12" s="287"/>
      <c r="AU12" s="287"/>
      <c r="AV12" s="287"/>
      <c r="AW12" s="287"/>
      <c r="AX12" s="287"/>
      <c r="AY12" s="287"/>
      <c r="AZ12" s="388"/>
      <c r="BA12" s="287"/>
      <c r="BB12" s="287"/>
      <c r="BC12" s="287"/>
      <c r="BD12" s="287"/>
      <c r="BE12" s="287"/>
      <c r="BF12" s="287"/>
      <c r="BG12" s="287"/>
      <c r="BH12" s="287"/>
      <c r="BI12" s="287"/>
      <c r="BJ12" s="287"/>
      <c r="BK12" s="287"/>
      <c r="BL12" s="287"/>
      <c r="BM12" s="388"/>
      <c r="BN12" s="287"/>
      <c r="BO12" s="287"/>
      <c r="BP12" s="287"/>
      <c r="BQ12" s="287"/>
      <c r="BR12" s="287"/>
      <c r="BS12" s="287"/>
      <c r="BT12" s="287"/>
      <c r="BU12" s="287"/>
      <c r="BV12" s="287"/>
      <c r="BW12" s="287"/>
      <c r="BX12" s="287"/>
      <c r="BY12" s="287"/>
      <c r="BZ12" s="388"/>
    </row>
    <row r="13" spans="1:79" s="292" customFormat="1">
      <c r="A13" s="286" t="s">
        <v>399</v>
      </c>
      <c r="B13" s="287"/>
      <c r="C13" s="287" t="s">
        <v>415</v>
      </c>
      <c r="D13" s="287" t="s">
        <v>425</v>
      </c>
      <c r="E13" s="287" t="s">
        <v>434</v>
      </c>
      <c r="F13" s="287"/>
      <c r="G13" s="287"/>
      <c r="H13" s="293">
        <v>280000</v>
      </c>
      <c r="I13" s="287"/>
      <c r="J13" s="288">
        <f t="shared" si="4"/>
        <v>0</v>
      </c>
      <c r="K13" s="288" t="s">
        <v>402</v>
      </c>
      <c r="L13" s="374"/>
      <c r="M13" s="288"/>
      <c r="N13" s="291"/>
      <c r="O13" s="287"/>
      <c r="P13" s="287"/>
      <c r="Q13" s="287"/>
      <c r="R13" s="287">
        <v>280000</v>
      </c>
      <c r="S13" s="287"/>
      <c r="T13" s="287"/>
      <c r="U13" s="287"/>
      <c r="V13" s="287"/>
      <c r="W13" s="287"/>
      <c r="X13" s="287"/>
      <c r="Y13" s="289"/>
      <c r="Z13" s="388"/>
      <c r="AA13" s="291"/>
      <c r="AB13" s="287"/>
      <c r="AC13" s="287"/>
      <c r="AD13" s="287"/>
      <c r="AE13" s="287"/>
      <c r="AF13" s="287"/>
      <c r="AG13" s="287"/>
      <c r="AH13" s="287"/>
      <c r="AI13" s="287"/>
      <c r="AJ13" s="287"/>
      <c r="AK13" s="287"/>
      <c r="AL13" s="287"/>
      <c r="AM13" s="388"/>
      <c r="AN13" s="287"/>
      <c r="AO13" s="287"/>
      <c r="AP13" s="287"/>
      <c r="AQ13" s="287"/>
      <c r="AR13" s="287"/>
      <c r="AS13" s="287"/>
      <c r="AT13" s="287"/>
      <c r="AU13" s="287"/>
      <c r="AV13" s="287"/>
      <c r="AW13" s="287"/>
      <c r="AX13" s="287"/>
      <c r="AY13" s="287"/>
      <c r="AZ13" s="388"/>
      <c r="BA13" s="287"/>
      <c r="BB13" s="287"/>
      <c r="BC13" s="287"/>
      <c r="BD13" s="287"/>
      <c r="BE13" s="287"/>
      <c r="BF13" s="287"/>
      <c r="BG13" s="287"/>
      <c r="BH13" s="287"/>
      <c r="BI13" s="287"/>
      <c r="BJ13" s="287"/>
      <c r="BK13" s="287"/>
      <c r="BL13" s="287"/>
      <c r="BM13" s="388"/>
      <c r="BN13" s="287"/>
      <c r="BO13" s="287"/>
      <c r="BP13" s="287"/>
      <c r="BQ13" s="287"/>
      <c r="BR13" s="287"/>
      <c r="BS13" s="287"/>
      <c r="BT13" s="287"/>
      <c r="BU13" s="287"/>
      <c r="BV13" s="287"/>
      <c r="BW13" s="287"/>
      <c r="BX13" s="287"/>
      <c r="BY13" s="287"/>
      <c r="BZ13" s="388"/>
    </row>
    <row r="14" spans="1:79" s="292" customFormat="1">
      <c r="A14" s="286" t="s">
        <v>399</v>
      </c>
      <c r="B14" s="287"/>
      <c r="C14" s="287" t="s">
        <v>415</v>
      </c>
      <c r="D14" s="287" t="s">
        <v>425</v>
      </c>
      <c r="E14" s="287" t="s">
        <v>435</v>
      </c>
      <c r="F14" s="287"/>
      <c r="G14" s="287"/>
      <c r="H14" s="293"/>
      <c r="I14" s="287"/>
      <c r="J14" s="288">
        <f t="shared" si="4"/>
        <v>0</v>
      </c>
      <c r="K14" s="288" t="s">
        <v>402</v>
      </c>
      <c r="L14" s="374"/>
      <c r="M14" s="288"/>
      <c r="N14" s="291"/>
      <c r="O14" s="287"/>
      <c r="P14" s="287"/>
      <c r="Q14" s="287"/>
      <c r="R14" s="287"/>
      <c r="S14" s="287"/>
      <c r="T14" s="287"/>
      <c r="U14" s="287"/>
      <c r="V14" s="287"/>
      <c r="W14" s="287"/>
      <c r="X14" s="287"/>
      <c r="Y14" s="289"/>
      <c r="Z14" s="388"/>
      <c r="AA14" s="291"/>
      <c r="AB14" s="287"/>
      <c r="AC14" s="287"/>
      <c r="AD14" s="287"/>
      <c r="AE14" s="287"/>
      <c r="AF14" s="287"/>
      <c r="AG14" s="287"/>
      <c r="AH14" s="287"/>
      <c r="AI14" s="287"/>
      <c r="AJ14" s="287"/>
      <c r="AK14" s="287"/>
      <c r="AL14" s="287"/>
      <c r="AM14" s="388"/>
      <c r="AN14" s="287"/>
      <c r="AO14" s="287"/>
      <c r="AP14" s="287"/>
      <c r="AQ14" s="287"/>
      <c r="AR14" s="287"/>
      <c r="AS14" s="287"/>
      <c r="AT14" s="287"/>
      <c r="AU14" s="287"/>
      <c r="AV14" s="287"/>
      <c r="AW14" s="287"/>
      <c r="AX14" s="287"/>
      <c r="AY14" s="287"/>
      <c r="AZ14" s="388"/>
      <c r="BA14" s="287"/>
      <c r="BB14" s="287"/>
      <c r="BC14" s="287"/>
      <c r="BD14" s="287"/>
      <c r="BE14" s="287"/>
      <c r="BF14" s="287"/>
      <c r="BG14" s="287"/>
      <c r="BH14" s="287"/>
      <c r="BI14" s="287"/>
      <c r="BJ14" s="287"/>
      <c r="BK14" s="287"/>
      <c r="BL14" s="287"/>
      <c r="BM14" s="388"/>
      <c r="BN14" s="287"/>
      <c r="BO14" s="287"/>
      <c r="BP14" s="287"/>
      <c r="BQ14" s="287"/>
      <c r="BR14" s="287"/>
      <c r="BS14" s="287"/>
      <c r="BT14" s="287"/>
      <c r="BU14" s="287"/>
      <c r="BV14" s="287"/>
      <c r="BW14" s="287"/>
      <c r="BX14" s="287"/>
      <c r="BY14" s="287"/>
      <c r="BZ14" s="388"/>
    </row>
    <row r="15" spans="1:79" s="360" customFormat="1">
      <c r="A15" s="359"/>
      <c r="B15" s="293"/>
      <c r="C15" s="293"/>
      <c r="D15" s="293"/>
      <c r="E15" s="293" t="s">
        <v>500</v>
      </c>
      <c r="F15" s="293"/>
      <c r="G15" s="293" t="s">
        <v>505</v>
      </c>
      <c r="H15" s="293"/>
      <c r="I15" s="293"/>
      <c r="J15" s="354"/>
      <c r="K15" s="354"/>
      <c r="L15" s="373"/>
      <c r="M15" s="354"/>
      <c r="N15" s="366">
        <v>7.0000000000000007E-2</v>
      </c>
      <c r="O15" s="361">
        <v>0.12</v>
      </c>
      <c r="P15" s="361">
        <v>0.12</v>
      </c>
      <c r="Q15" s="361">
        <v>0.15</v>
      </c>
      <c r="R15" s="361">
        <v>0.12</v>
      </c>
      <c r="S15" s="361">
        <v>0.08</v>
      </c>
      <c r="T15" s="361">
        <v>5.6666666666666671E-2</v>
      </c>
      <c r="U15" s="361">
        <v>5.6666666666666671E-2</v>
      </c>
      <c r="V15" s="361">
        <v>5.6666666666666671E-2</v>
      </c>
      <c r="W15" s="361">
        <v>5.6666666666666671E-2</v>
      </c>
      <c r="X15" s="361">
        <v>5.6666666666666671E-2</v>
      </c>
      <c r="Y15" s="361">
        <v>5.6666666666666671E-2</v>
      </c>
      <c r="Z15" s="389">
        <f>SUM(N15:Y15)</f>
        <v>0.99999999999999978</v>
      </c>
      <c r="AA15" s="363">
        <v>8.7333333333333305E-2</v>
      </c>
      <c r="AB15" s="363">
        <v>8.7333333333333305E-2</v>
      </c>
      <c r="AC15" s="363">
        <v>8.7333333333333305E-2</v>
      </c>
      <c r="AD15" s="363">
        <v>8.3333333333333301E-2</v>
      </c>
      <c r="AE15" s="363">
        <v>8.3333333333333301E-2</v>
      </c>
      <c r="AF15" s="364">
        <v>5.5833333333333623E-2</v>
      </c>
      <c r="AG15" s="363">
        <v>8.3333333333333301E-2</v>
      </c>
      <c r="AH15" s="363">
        <v>8.3333333333333301E-2</v>
      </c>
      <c r="AI15" s="363">
        <v>8.7333333333333305E-2</v>
      </c>
      <c r="AJ15" s="363">
        <v>8.7333333333333305E-2</v>
      </c>
      <c r="AK15" s="363">
        <v>8.7333333333333305E-2</v>
      </c>
      <c r="AL15" s="363">
        <v>8.6833333333333304E-2</v>
      </c>
      <c r="AM15" s="389">
        <f>SUM(AA15:AL15)</f>
        <v>0.99999999999999978</v>
      </c>
      <c r="AN15" s="363">
        <v>8.7333333333333305E-2</v>
      </c>
      <c r="AO15" s="363">
        <v>8.7333333333333305E-2</v>
      </c>
      <c r="AP15" s="363">
        <v>8.7333333333333305E-2</v>
      </c>
      <c r="AQ15" s="363">
        <v>8.3333333333333301E-2</v>
      </c>
      <c r="AR15" s="363">
        <v>8.3333333333333301E-2</v>
      </c>
      <c r="AS15" s="364">
        <v>5.5833333333333623E-2</v>
      </c>
      <c r="AT15" s="363">
        <v>8.3333333333333301E-2</v>
      </c>
      <c r="AU15" s="363">
        <v>8.3333333333333301E-2</v>
      </c>
      <c r="AV15" s="363">
        <v>8.7333333333333305E-2</v>
      </c>
      <c r="AW15" s="363">
        <v>8.7333333333333305E-2</v>
      </c>
      <c r="AX15" s="363">
        <v>8.7333333333333305E-2</v>
      </c>
      <c r="AY15" s="363">
        <v>8.6833333333333304E-2</v>
      </c>
      <c r="AZ15" s="389">
        <f>SUM(AN15:AY15)</f>
        <v>0.99999999999999978</v>
      </c>
      <c r="BA15" s="363">
        <v>8.7333333333333305E-2</v>
      </c>
      <c r="BB15" s="363">
        <v>8.7333333333333305E-2</v>
      </c>
      <c r="BC15" s="363">
        <v>8.7333333333333305E-2</v>
      </c>
      <c r="BD15" s="363">
        <v>8.3333333333333301E-2</v>
      </c>
      <c r="BE15" s="363">
        <v>8.3333333333333301E-2</v>
      </c>
      <c r="BF15" s="364">
        <v>5.5833333333333623E-2</v>
      </c>
      <c r="BG15" s="363">
        <v>8.3333333333333301E-2</v>
      </c>
      <c r="BH15" s="363">
        <v>8.3333333333333301E-2</v>
      </c>
      <c r="BI15" s="363">
        <v>8.7333333333333305E-2</v>
      </c>
      <c r="BJ15" s="363">
        <v>8.7333333333333305E-2</v>
      </c>
      <c r="BK15" s="363">
        <v>8.7333333333333305E-2</v>
      </c>
      <c r="BL15" s="363">
        <v>8.6833333333333304E-2</v>
      </c>
      <c r="BM15" s="389">
        <f>SUM(BA15:BL15)</f>
        <v>0.99999999999999978</v>
      </c>
      <c r="BN15" s="363">
        <v>8.7333333333333305E-2</v>
      </c>
      <c r="BO15" s="363">
        <v>8.7333333333333305E-2</v>
      </c>
      <c r="BP15" s="363">
        <v>8.7333333333333305E-2</v>
      </c>
      <c r="BQ15" s="363">
        <v>8.3333333333333301E-2</v>
      </c>
      <c r="BR15" s="363">
        <v>8.3333333333333301E-2</v>
      </c>
      <c r="BS15" s="364">
        <v>5.5833333333333623E-2</v>
      </c>
      <c r="BT15" s="363">
        <v>8.3333333333333301E-2</v>
      </c>
      <c r="BU15" s="363">
        <v>8.3333333333333301E-2</v>
      </c>
      <c r="BV15" s="363">
        <v>8.7333333333333305E-2</v>
      </c>
      <c r="BW15" s="363">
        <v>8.7333333333333305E-2</v>
      </c>
      <c r="BX15" s="363">
        <v>8.7333333333333305E-2</v>
      </c>
      <c r="BY15" s="363">
        <v>8.6833333333333304E-2</v>
      </c>
      <c r="BZ15" s="389">
        <f>SUM(BN15:BY15)</f>
        <v>0.99999999999999978</v>
      </c>
    </row>
    <row r="16" spans="1:79" s="292" customFormat="1">
      <c r="A16" s="286" t="s">
        <v>399</v>
      </c>
      <c r="B16" s="287"/>
      <c r="C16" s="287" t="s">
        <v>215</v>
      </c>
      <c r="D16" s="287" t="s">
        <v>276</v>
      </c>
      <c r="E16" s="287" t="s">
        <v>414</v>
      </c>
      <c r="F16" s="287"/>
      <c r="G16" s="287"/>
      <c r="H16" s="294"/>
      <c r="I16" s="287"/>
      <c r="J16" s="288">
        <f>+Z16+AM16+AZ16+BM16+BZ16</f>
        <v>20179.6875</v>
      </c>
      <c r="K16" s="288" t="s">
        <v>402</v>
      </c>
      <c r="L16" s="374"/>
      <c r="M16" s="288"/>
      <c r="N16" s="291">
        <f>+N15*$Z$16</f>
        <v>344.53125000000006</v>
      </c>
      <c r="O16" s="287">
        <f t="shared" ref="O16:Y16" si="33">+O15*$Z$16</f>
        <v>590.625</v>
      </c>
      <c r="P16" s="287">
        <f t="shared" si="33"/>
        <v>590.625</v>
      </c>
      <c r="Q16" s="287">
        <f t="shared" si="33"/>
        <v>738.28125</v>
      </c>
      <c r="R16" s="287">
        <f t="shared" si="33"/>
        <v>590.625</v>
      </c>
      <c r="S16" s="287">
        <f t="shared" si="33"/>
        <v>393.75</v>
      </c>
      <c r="T16" s="287">
        <f t="shared" si="33"/>
        <v>278.90625</v>
      </c>
      <c r="U16" s="287">
        <f t="shared" si="33"/>
        <v>278.90625</v>
      </c>
      <c r="V16" s="287">
        <f t="shared" si="33"/>
        <v>278.90625</v>
      </c>
      <c r="W16" s="287">
        <f t="shared" si="33"/>
        <v>278.90625</v>
      </c>
      <c r="X16" s="287">
        <f t="shared" si="33"/>
        <v>278.90625</v>
      </c>
      <c r="Y16" s="287">
        <f t="shared" si="33"/>
        <v>278.90625</v>
      </c>
      <c r="Z16" s="393">
        <f>+'Income Statement'!B61</f>
        <v>4921.875</v>
      </c>
      <c r="AA16" s="341">
        <f>+AA15*$AM$16</f>
        <v>386.85937499999989</v>
      </c>
      <c r="AB16" s="341">
        <f t="shared" ref="AB16:AL16" si="34">+AB15*$AM$16</f>
        <v>386.85937499999989</v>
      </c>
      <c r="AC16" s="341">
        <f t="shared" si="34"/>
        <v>386.85937499999989</v>
      </c>
      <c r="AD16" s="341">
        <f t="shared" si="34"/>
        <v>369.14062499999983</v>
      </c>
      <c r="AE16" s="341">
        <f t="shared" si="34"/>
        <v>369.14062499999983</v>
      </c>
      <c r="AF16" s="341">
        <f t="shared" si="34"/>
        <v>247.32421875000128</v>
      </c>
      <c r="AG16" s="341">
        <f t="shared" si="34"/>
        <v>369.14062499999983</v>
      </c>
      <c r="AH16" s="341">
        <f t="shared" si="34"/>
        <v>369.14062499999983</v>
      </c>
      <c r="AI16" s="341">
        <f t="shared" si="34"/>
        <v>386.85937499999989</v>
      </c>
      <c r="AJ16" s="341">
        <f t="shared" si="34"/>
        <v>386.85937499999989</v>
      </c>
      <c r="AK16" s="341">
        <f t="shared" si="34"/>
        <v>386.85937499999989</v>
      </c>
      <c r="AL16" s="341">
        <f t="shared" si="34"/>
        <v>384.64453124999989</v>
      </c>
      <c r="AM16" s="386">
        <f>+'Income Statement'!C61</f>
        <v>4429.6875</v>
      </c>
      <c r="AN16" s="341">
        <f>+AN15*$AZ$16</f>
        <v>343.87499999999989</v>
      </c>
      <c r="AO16" s="341">
        <f t="shared" ref="AO16:AY16" si="35">+AO15*$AZ$16</f>
        <v>343.87499999999989</v>
      </c>
      <c r="AP16" s="341">
        <f t="shared" si="35"/>
        <v>343.87499999999989</v>
      </c>
      <c r="AQ16" s="341">
        <f t="shared" si="35"/>
        <v>328.12499999999989</v>
      </c>
      <c r="AR16" s="341">
        <f t="shared" si="35"/>
        <v>328.12499999999989</v>
      </c>
      <c r="AS16" s="341">
        <f t="shared" si="35"/>
        <v>219.84375000000114</v>
      </c>
      <c r="AT16" s="341">
        <f t="shared" si="35"/>
        <v>328.12499999999989</v>
      </c>
      <c r="AU16" s="341">
        <f t="shared" si="35"/>
        <v>328.12499999999989</v>
      </c>
      <c r="AV16" s="341">
        <f t="shared" si="35"/>
        <v>343.87499999999989</v>
      </c>
      <c r="AW16" s="341">
        <f t="shared" si="35"/>
        <v>343.87499999999989</v>
      </c>
      <c r="AX16" s="341">
        <f t="shared" si="35"/>
        <v>343.87499999999989</v>
      </c>
      <c r="AY16" s="341">
        <f t="shared" si="35"/>
        <v>341.90624999999989</v>
      </c>
      <c r="AZ16" s="386">
        <f>+'Income Statement'!D61</f>
        <v>3937.5</v>
      </c>
      <c r="BA16" s="341">
        <f>+BA15*$BM$16</f>
        <v>315.21874999999994</v>
      </c>
      <c r="BB16" s="341">
        <f t="shared" ref="BB16:BL16" si="36">+BB15*$BM$16</f>
        <v>315.21874999999994</v>
      </c>
      <c r="BC16" s="341">
        <f t="shared" si="36"/>
        <v>315.21874999999994</v>
      </c>
      <c r="BD16" s="341">
        <f t="shared" si="36"/>
        <v>300.78124999999994</v>
      </c>
      <c r="BE16" s="341">
        <f t="shared" si="36"/>
        <v>300.78124999999994</v>
      </c>
      <c r="BF16" s="341">
        <f t="shared" si="36"/>
        <v>201.52343750000108</v>
      </c>
      <c r="BG16" s="341">
        <f t="shared" si="36"/>
        <v>300.78124999999994</v>
      </c>
      <c r="BH16" s="341">
        <f t="shared" si="36"/>
        <v>300.78124999999994</v>
      </c>
      <c r="BI16" s="341">
        <f t="shared" si="36"/>
        <v>315.21874999999994</v>
      </c>
      <c r="BJ16" s="341">
        <f t="shared" si="36"/>
        <v>315.21874999999994</v>
      </c>
      <c r="BK16" s="341">
        <f t="shared" si="36"/>
        <v>315.21874999999994</v>
      </c>
      <c r="BL16" s="341">
        <f t="shared" si="36"/>
        <v>313.41406249999994</v>
      </c>
      <c r="BM16" s="386">
        <f>+'Income Statement'!E61</f>
        <v>3609.3750000000005</v>
      </c>
      <c r="BN16" s="341">
        <f>+BN15*$BZ$16</f>
        <v>286.56249999999989</v>
      </c>
      <c r="BO16" s="341">
        <f t="shared" ref="BO16:BY16" si="37">+BO15*$BZ$16</f>
        <v>286.56249999999989</v>
      </c>
      <c r="BP16" s="341">
        <f t="shared" si="37"/>
        <v>286.56249999999989</v>
      </c>
      <c r="BQ16" s="341">
        <f t="shared" si="37"/>
        <v>273.43749999999989</v>
      </c>
      <c r="BR16" s="341">
        <f t="shared" si="37"/>
        <v>273.43749999999989</v>
      </c>
      <c r="BS16" s="341">
        <f t="shared" si="37"/>
        <v>183.20312500000094</v>
      </c>
      <c r="BT16" s="341">
        <f t="shared" si="37"/>
        <v>273.43749999999989</v>
      </c>
      <c r="BU16" s="341">
        <f t="shared" si="37"/>
        <v>273.43749999999989</v>
      </c>
      <c r="BV16" s="341">
        <f t="shared" si="37"/>
        <v>286.56249999999989</v>
      </c>
      <c r="BW16" s="341">
        <f t="shared" si="37"/>
        <v>286.56249999999989</v>
      </c>
      <c r="BX16" s="341">
        <f t="shared" si="37"/>
        <v>286.56249999999989</v>
      </c>
      <c r="BY16" s="341">
        <f t="shared" si="37"/>
        <v>284.92187499999989</v>
      </c>
      <c r="BZ16" s="386">
        <f>+'Income Statement'!F61</f>
        <v>3281.25</v>
      </c>
    </row>
    <row r="17" spans="1:78" s="360" customFormat="1">
      <c r="A17" s="359"/>
      <c r="B17" s="293"/>
      <c r="C17" s="293"/>
      <c r="D17" s="293"/>
      <c r="E17" s="293" t="s">
        <v>510</v>
      </c>
      <c r="F17" s="293"/>
      <c r="G17" s="293"/>
      <c r="H17" s="293"/>
      <c r="I17" s="293"/>
      <c r="J17" s="354"/>
      <c r="K17" s="354"/>
      <c r="L17" s="373"/>
      <c r="M17" s="354"/>
      <c r="N17" s="366">
        <v>0.02</v>
      </c>
      <c r="O17" s="361">
        <v>0.05</v>
      </c>
      <c r="P17" s="361">
        <v>0.05</v>
      </c>
      <c r="Q17" s="361">
        <v>0.1</v>
      </c>
      <c r="R17" s="361">
        <v>0.15</v>
      </c>
      <c r="S17" s="361">
        <v>0.1</v>
      </c>
      <c r="T17" s="361">
        <v>8.8333333333333333E-2</v>
      </c>
      <c r="U17" s="361">
        <v>8.8333333333333333E-2</v>
      </c>
      <c r="V17" s="361">
        <v>8.8333333333333333E-2</v>
      </c>
      <c r="W17" s="361">
        <v>8.8333333333333333E-2</v>
      </c>
      <c r="X17" s="361">
        <v>8.8333333333333333E-2</v>
      </c>
      <c r="Y17" s="361">
        <v>8.8333333333333333E-2</v>
      </c>
      <c r="Z17" s="389">
        <f>SUM(N17:Y17)</f>
        <v>1.0000000000000002</v>
      </c>
      <c r="AA17" s="363">
        <f>8.33333333333333%-0.6%</f>
        <v>7.7333333333333296E-2</v>
      </c>
      <c r="AB17" s="363">
        <f>8.33333333333333%-0.4%</f>
        <v>7.9333333333333297E-2</v>
      </c>
      <c r="AC17" s="363">
        <v>8.3333333333333301E-2</v>
      </c>
      <c r="AD17" s="363">
        <v>8.3333333333333301E-2</v>
      </c>
      <c r="AE17" s="363">
        <v>8.3333333333333301E-2</v>
      </c>
      <c r="AF17" s="363">
        <v>8.7333333333333305E-2</v>
      </c>
      <c r="AG17" s="363">
        <v>8.7333333333333305E-2</v>
      </c>
      <c r="AH17" s="363">
        <v>8.7333333333333305E-2</v>
      </c>
      <c r="AI17" s="363">
        <v>8.7333333333333305E-2</v>
      </c>
      <c r="AJ17" s="363">
        <v>8.3333333333333301E-2</v>
      </c>
      <c r="AK17" s="363">
        <v>8.3333333333333301E-2</v>
      </c>
      <c r="AL17" s="363">
        <f>8.33333333333333%-0.6%</f>
        <v>7.7333333333333296E-2</v>
      </c>
      <c r="AM17" s="389">
        <f>SUM(AA17:AL17)</f>
        <v>0.99999999999999944</v>
      </c>
      <c r="AN17" s="363">
        <f>8.33333333333333%-0.6%</f>
        <v>7.7333333333333296E-2</v>
      </c>
      <c r="AO17" s="363">
        <f>8.33333333333333%-0.4%</f>
        <v>7.9333333333333297E-2</v>
      </c>
      <c r="AP17" s="363">
        <v>8.3333333333333301E-2</v>
      </c>
      <c r="AQ17" s="363">
        <v>8.3333333333333301E-2</v>
      </c>
      <c r="AR17" s="363">
        <v>8.3333333333333301E-2</v>
      </c>
      <c r="AS17" s="363">
        <v>8.7333333333333305E-2</v>
      </c>
      <c r="AT17" s="363">
        <v>8.7333333333333305E-2</v>
      </c>
      <c r="AU17" s="363">
        <v>8.7333333333333305E-2</v>
      </c>
      <c r="AV17" s="363">
        <v>8.7333333333333305E-2</v>
      </c>
      <c r="AW17" s="363">
        <v>8.3333333333333301E-2</v>
      </c>
      <c r="AX17" s="363">
        <v>8.3333333333333301E-2</v>
      </c>
      <c r="AY17" s="363">
        <f>8.33333333333333%-0.6%</f>
        <v>7.7333333333333296E-2</v>
      </c>
      <c r="AZ17" s="389">
        <f>SUM(AN17:AY17)</f>
        <v>0.99999999999999944</v>
      </c>
      <c r="BA17" s="363">
        <f>8.33333333333333%-0.6%</f>
        <v>7.7333333333333296E-2</v>
      </c>
      <c r="BB17" s="363">
        <f>8.33333333333333%-0.4%</f>
        <v>7.9333333333333297E-2</v>
      </c>
      <c r="BC17" s="363">
        <v>8.3333333333333301E-2</v>
      </c>
      <c r="BD17" s="363">
        <v>8.3333333333333301E-2</v>
      </c>
      <c r="BE17" s="363">
        <v>8.3333333333333301E-2</v>
      </c>
      <c r="BF17" s="363">
        <v>8.7333333333333305E-2</v>
      </c>
      <c r="BG17" s="363">
        <v>8.7333333333333305E-2</v>
      </c>
      <c r="BH17" s="363">
        <v>8.7333333333333305E-2</v>
      </c>
      <c r="BI17" s="363">
        <v>8.7333333333333305E-2</v>
      </c>
      <c r="BJ17" s="363">
        <v>8.3333333333333301E-2</v>
      </c>
      <c r="BK17" s="363">
        <v>8.3333333333333301E-2</v>
      </c>
      <c r="BL17" s="363">
        <f>8.33333333333333%-0.6%</f>
        <v>7.7333333333333296E-2</v>
      </c>
      <c r="BM17" s="389">
        <f>SUM(BA17:BL17)</f>
        <v>0.99999999999999944</v>
      </c>
      <c r="BN17" s="363">
        <f>8.33333333333333%-0.6%</f>
        <v>7.7333333333333296E-2</v>
      </c>
      <c r="BO17" s="363">
        <f>8.33333333333333%-0.4%</f>
        <v>7.9333333333333297E-2</v>
      </c>
      <c r="BP17" s="363">
        <v>8.3333333333333301E-2</v>
      </c>
      <c r="BQ17" s="363">
        <v>8.3333333333333301E-2</v>
      </c>
      <c r="BR17" s="363">
        <v>8.3333333333333301E-2</v>
      </c>
      <c r="BS17" s="363">
        <v>8.7333333333333305E-2</v>
      </c>
      <c r="BT17" s="363">
        <v>8.7333333333333305E-2</v>
      </c>
      <c r="BU17" s="363">
        <v>8.7333333333333305E-2</v>
      </c>
      <c r="BV17" s="363">
        <v>8.7333333333333305E-2</v>
      </c>
      <c r="BW17" s="363">
        <v>8.3333333333333301E-2</v>
      </c>
      <c r="BX17" s="363">
        <v>8.3333333333333301E-2</v>
      </c>
      <c r="BY17" s="363">
        <f>8.33333333333333%-0.6%</f>
        <v>7.7333333333333296E-2</v>
      </c>
      <c r="BZ17" s="389">
        <f>SUM(BN17:BY17)</f>
        <v>0.99999999999999944</v>
      </c>
    </row>
    <row r="18" spans="1:78" s="292" customFormat="1">
      <c r="A18" s="286" t="s">
        <v>399</v>
      </c>
      <c r="B18" s="287"/>
      <c r="C18" s="287" t="s">
        <v>215</v>
      </c>
      <c r="D18" s="287" t="s">
        <v>279</v>
      </c>
      <c r="E18" s="287" t="s">
        <v>496</v>
      </c>
      <c r="F18" s="287"/>
      <c r="G18" s="287"/>
      <c r="H18" s="338"/>
      <c r="I18" s="287"/>
      <c r="J18" s="338">
        <f t="shared" ref="J18:J38" si="38">+Z18+AM18+AZ18+BM18+BZ18</f>
        <v>60642</v>
      </c>
      <c r="K18" s="288"/>
      <c r="L18" s="371">
        <f>SUM(L19:L38)</f>
        <v>1.0000000000000002</v>
      </c>
      <c r="M18" s="378"/>
      <c r="N18" s="368">
        <f>+N17*$Z$18</f>
        <v>38.340000000000003</v>
      </c>
      <c r="O18" s="368">
        <f t="shared" ref="O18:Y18" si="39">+O17*$Z$18</f>
        <v>95.850000000000009</v>
      </c>
      <c r="P18" s="368">
        <f t="shared" si="39"/>
        <v>95.850000000000009</v>
      </c>
      <c r="Q18" s="368">
        <f t="shared" si="39"/>
        <v>191.70000000000002</v>
      </c>
      <c r="R18" s="368">
        <f t="shared" si="39"/>
        <v>287.55</v>
      </c>
      <c r="S18" s="368">
        <f t="shared" si="39"/>
        <v>191.70000000000002</v>
      </c>
      <c r="T18" s="368">
        <f t="shared" si="39"/>
        <v>169.33500000000001</v>
      </c>
      <c r="U18" s="368">
        <f t="shared" si="39"/>
        <v>169.33500000000001</v>
      </c>
      <c r="V18" s="368">
        <f t="shared" si="39"/>
        <v>169.33500000000001</v>
      </c>
      <c r="W18" s="368">
        <f t="shared" si="39"/>
        <v>169.33500000000001</v>
      </c>
      <c r="X18" s="368">
        <f t="shared" si="39"/>
        <v>169.33500000000001</v>
      </c>
      <c r="Y18" s="368">
        <f t="shared" si="39"/>
        <v>169.33500000000001</v>
      </c>
      <c r="Z18" s="386">
        <f>+'Income Statement'!B63</f>
        <v>1917</v>
      </c>
      <c r="AA18" s="368">
        <f>+AA17*$AM$18</f>
        <v>678.59999999999968</v>
      </c>
      <c r="AB18" s="368">
        <f t="shared" ref="AB18:AL18" si="40">+AB17*$AM$18</f>
        <v>696.14999999999964</v>
      </c>
      <c r="AC18" s="368">
        <f t="shared" si="40"/>
        <v>731.24999999999977</v>
      </c>
      <c r="AD18" s="368">
        <f t="shared" si="40"/>
        <v>731.24999999999977</v>
      </c>
      <c r="AE18" s="368">
        <f t="shared" si="40"/>
        <v>731.24999999999977</v>
      </c>
      <c r="AF18" s="368">
        <f t="shared" si="40"/>
        <v>766.3499999999998</v>
      </c>
      <c r="AG18" s="368">
        <f t="shared" si="40"/>
        <v>766.3499999999998</v>
      </c>
      <c r="AH18" s="368">
        <f t="shared" si="40"/>
        <v>766.3499999999998</v>
      </c>
      <c r="AI18" s="368">
        <f t="shared" si="40"/>
        <v>766.3499999999998</v>
      </c>
      <c r="AJ18" s="368">
        <f t="shared" si="40"/>
        <v>731.24999999999977</v>
      </c>
      <c r="AK18" s="368">
        <f t="shared" si="40"/>
        <v>731.24999999999977</v>
      </c>
      <c r="AL18" s="368">
        <f t="shared" si="40"/>
        <v>678.59999999999968</v>
      </c>
      <c r="AM18" s="386">
        <f>+'Income Statement'!C63</f>
        <v>8775</v>
      </c>
      <c r="AN18" s="368">
        <f>+AN17*$AZ$18</f>
        <v>983.09999999999934</v>
      </c>
      <c r="AO18" s="368">
        <f t="shared" ref="AO18:AY18" si="41">+AO17*$AZ$18</f>
        <v>1008.5249999999994</v>
      </c>
      <c r="AP18" s="368">
        <f t="shared" si="41"/>
        <v>1059.3749999999995</v>
      </c>
      <c r="AQ18" s="368">
        <f t="shared" si="41"/>
        <v>1059.3749999999995</v>
      </c>
      <c r="AR18" s="368">
        <f t="shared" si="41"/>
        <v>1059.3749999999995</v>
      </c>
      <c r="AS18" s="368">
        <f t="shared" si="41"/>
        <v>1110.2249999999995</v>
      </c>
      <c r="AT18" s="368">
        <f t="shared" si="41"/>
        <v>1110.2249999999995</v>
      </c>
      <c r="AU18" s="368">
        <f t="shared" si="41"/>
        <v>1110.2249999999995</v>
      </c>
      <c r="AV18" s="368">
        <f t="shared" si="41"/>
        <v>1110.2249999999995</v>
      </c>
      <c r="AW18" s="368">
        <f t="shared" si="41"/>
        <v>1059.3749999999995</v>
      </c>
      <c r="AX18" s="368">
        <f t="shared" si="41"/>
        <v>1059.3749999999995</v>
      </c>
      <c r="AY18" s="368">
        <f t="shared" si="41"/>
        <v>983.09999999999934</v>
      </c>
      <c r="AZ18" s="386">
        <f>+'Income Statement'!D63</f>
        <v>12712.499999999998</v>
      </c>
      <c r="BA18" s="368">
        <f>+BA17*$BM$18</f>
        <v>1287.5999999999995</v>
      </c>
      <c r="BB18" s="368">
        <f t="shared" ref="BB18:BL18" si="42">+BB17*$BM$18</f>
        <v>1320.8999999999994</v>
      </c>
      <c r="BC18" s="368">
        <f t="shared" si="42"/>
        <v>1387.4999999999995</v>
      </c>
      <c r="BD18" s="368">
        <f t="shared" si="42"/>
        <v>1387.4999999999995</v>
      </c>
      <c r="BE18" s="368">
        <f t="shared" si="42"/>
        <v>1387.4999999999995</v>
      </c>
      <c r="BF18" s="368">
        <f t="shared" si="42"/>
        <v>1454.0999999999995</v>
      </c>
      <c r="BG18" s="368">
        <f t="shared" si="42"/>
        <v>1454.0999999999995</v>
      </c>
      <c r="BH18" s="368">
        <f t="shared" si="42"/>
        <v>1454.0999999999995</v>
      </c>
      <c r="BI18" s="368">
        <f t="shared" si="42"/>
        <v>1454.0999999999995</v>
      </c>
      <c r="BJ18" s="368">
        <f t="shared" si="42"/>
        <v>1387.4999999999995</v>
      </c>
      <c r="BK18" s="368">
        <f t="shared" si="42"/>
        <v>1387.4999999999995</v>
      </c>
      <c r="BL18" s="368">
        <f t="shared" si="42"/>
        <v>1287.5999999999995</v>
      </c>
      <c r="BM18" s="386">
        <f>+'Income Statement'!E63</f>
        <v>16650</v>
      </c>
      <c r="BN18" s="368">
        <f>+BN17*$BZ$18</f>
        <v>1592.0999999999992</v>
      </c>
      <c r="BO18" s="368">
        <f t="shared" ref="BO18:BY18" si="43">+BO17*$BZ$18</f>
        <v>1633.2749999999992</v>
      </c>
      <c r="BP18" s="368">
        <f t="shared" si="43"/>
        <v>1715.6249999999993</v>
      </c>
      <c r="BQ18" s="368">
        <f t="shared" si="43"/>
        <v>1715.6249999999993</v>
      </c>
      <c r="BR18" s="368">
        <f t="shared" si="43"/>
        <v>1715.6249999999993</v>
      </c>
      <c r="BS18" s="368">
        <f t="shared" si="43"/>
        <v>1797.9749999999995</v>
      </c>
      <c r="BT18" s="368">
        <f t="shared" si="43"/>
        <v>1797.9749999999995</v>
      </c>
      <c r="BU18" s="368">
        <f t="shared" si="43"/>
        <v>1797.9749999999995</v>
      </c>
      <c r="BV18" s="368">
        <f t="shared" si="43"/>
        <v>1797.9749999999995</v>
      </c>
      <c r="BW18" s="368">
        <f t="shared" si="43"/>
        <v>1715.6249999999993</v>
      </c>
      <c r="BX18" s="368">
        <f t="shared" si="43"/>
        <v>1715.6249999999993</v>
      </c>
      <c r="BY18" s="368">
        <f t="shared" si="43"/>
        <v>1592.0999999999992</v>
      </c>
      <c r="BZ18" s="386">
        <f>+'Income Statement'!F63</f>
        <v>20587.5</v>
      </c>
    </row>
    <row r="19" spans="1:78" s="292" customFormat="1">
      <c r="A19" s="286" t="s">
        <v>399</v>
      </c>
      <c r="B19" s="287"/>
      <c r="C19" s="287" t="s">
        <v>415</v>
      </c>
      <c r="D19" s="287" t="s">
        <v>279</v>
      </c>
      <c r="E19" s="287" t="s">
        <v>421</v>
      </c>
      <c r="F19" s="287"/>
      <c r="G19" s="287"/>
      <c r="H19" s="294">
        <v>500</v>
      </c>
      <c r="I19" s="287" t="s">
        <v>402</v>
      </c>
      <c r="J19" s="288">
        <f t="shared" si="38"/>
        <v>30.320999999999998</v>
      </c>
      <c r="K19" s="288" t="s">
        <v>402</v>
      </c>
      <c r="L19" s="375">
        <v>5.0000000000000001E-4</v>
      </c>
      <c r="M19" s="380"/>
      <c r="N19" s="341">
        <f>$L19*N$18</f>
        <v>1.9170000000000003E-2</v>
      </c>
      <c r="O19" s="341">
        <f t="shared" ref="O19:Y20" si="44">$L19*O$18</f>
        <v>4.7925000000000002E-2</v>
      </c>
      <c r="P19" s="341">
        <f t="shared" si="44"/>
        <v>4.7925000000000002E-2</v>
      </c>
      <c r="Q19" s="341">
        <f t="shared" si="44"/>
        <v>9.5850000000000005E-2</v>
      </c>
      <c r="R19" s="341">
        <f t="shared" si="44"/>
        <v>0.14377500000000001</v>
      </c>
      <c r="S19" s="341">
        <f t="shared" si="44"/>
        <v>9.5850000000000005E-2</v>
      </c>
      <c r="T19" s="341">
        <f t="shared" si="44"/>
        <v>8.4667500000000007E-2</v>
      </c>
      <c r="U19" s="341">
        <f t="shared" si="44"/>
        <v>8.4667500000000007E-2</v>
      </c>
      <c r="V19" s="341">
        <f t="shared" si="44"/>
        <v>8.4667500000000007E-2</v>
      </c>
      <c r="W19" s="341">
        <f t="shared" si="44"/>
        <v>8.4667500000000007E-2</v>
      </c>
      <c r="X19" s="341">
        <f t="shared" si="44"/>
        <v>8.4667500000000007E-2</v>
      </c>
      <c r="Y19" s="341">
        <f t="shared" si="44"/>
        <v>8.4667500000000007E-2</v>
      </c>
      <c r="Z19" s="387">
        <f t="shared" ref="Z19:AQ34" si="45">$L19*Z$18</f>
        <v>0.95850000000000002</v>
      </c>
      <c r="AA19" s="341">
        <f>$L19*AA$18</f>
        <v>0.33929999999999982</v>
      </c>
      <c r="AB19" s="341">
        <f t="shared" si="45"/>
        <v>0.3480749999999998</v>
      </c>
      <c r="AC19" s="341">
        <f t="shared" si="45"/>
        <v>0.36562499999999987</v>
      </c>
      <c r="AD19" s="341">
        <f t="shared" si="45"/>
        <v>0.36562499999999987</v>
      </c>
      <c r="AE19" s="341">
        <f t="shared" si="45"/>
        <v>0.36562499999999987</v>
      </c>
      <c r="AF19" s="341">
        <f t="shared" si="45"/>
        <v>0.38317499999999993</v>
      </c>
      <c r="AG19" s="341">
        <f t="shared" si="45"/>
        <v>0.38317499999999993</v>
      </c>
      <c r="AH19" s="341">
        <f t="shared" si="45"/>
        <v>0.38317499999999993</v>
      </c>
      <c r="AI19" s="341">
        <f t="shared" si="45"/>
        <v>0.38317499999999993</v>
      </c>
      <c r="AJ19" s="341">
        <f t="shared" si="45"/>
        <v>0.36562499999999987</v>
      </c>
      <c r="AK19" s="341">
        <f t="shared" si="45"/>
        <v>0.36562499999999987</v>
      </c>
      <c r="AL19" s="341">
        <f t="shared" si="45"/>
        <v>0.33929999999999982</v>
      </c>
      <c r="AM19" s="387">
        <f t="shared" si="45"/>
        <v>4.3875000000000002</v>
      </c>
      <c r="AN19" s="341">
        <f t="shared" si="45"/>
        <v>0.49154999999999965</v>
      </c>
      <c r="AO19" s="341">
        <f t="shared" si="45"/>
        <v>0.50426249999999972</v>
      </c>
      <c r="AP19" s="341">
        <f t="shared" si="45"/>
        <v>0.52968749999999976</v>
      </c>
      <c r="AQ19" s="341">
        <f t="shared" si="45"/>
        <v>0.52968749999999976</v>
      </c>
      <c r="AR19" s="341">
        <f t="shared" ref="AR19:BZ26" si="46">$L19*AR$18</f>
        <v>0.52968749999999976</v>
      </c>
      <c r="AS19" s="341">
        <f t="shared" si="46"/>
        <v>0.55511249999999979</v>
      </c>
      <c r="AT19" s="341">
        <f t="shared" si="46"/>
        <v>0.55511249999999979</v>
      </c>
      <c r="AU19" s="341">
        <f t="shared" si="46"/>
        <v>0.55511249999999979</v>
      </c>
      <c r="AV19" s="341">
        <f t="shared" si="46"/>
        <v>0.55511249999999979</v>
      </c>
      <c r="AW19" s="341">
        <f t="shared" si="46"/>
        <v>0.52968749999999976</v>
      </c>
      <c r="AX19" s="341">
        <f t="shared" si="46"/>
        <v>0.52968749999999976</v>
      </c>
      <c r="AY19" s="341">
        <f t="shared" si="46"/>
        <v>0.49154999999999965</v>
      </c>
      <c r="AZ19" s="387">
        <f t="shared" si="46"/>
        <v>6.3562499999999993</v>
      </c>
      <c r="BA19" s="341">
        <f t="shared" si="46"/>
        <v>0.64379999999999971</v>
      </c>
      <c r="BB19" s="341">
        <f t="shared" si="46"/>
        <v>0.66044999999999976</v>
      </c>
      <c r="BC19" s="341">
        <f t="shared" si="46"/>
        <v>0.69374999999999976</v>
      </c>
      <c r="BD19" s="341">
        <f t="shared" si="46"/>
        <v>0.69374999999999976</v>
      </c>
      <c r="BE19" s="341">
        <f t="shared" si="46"/>
        <v>0.69374999999999976</v>
      </c>
      <c r="BF19" s="341">
        <f t="shared" si="46"/>
        <v>0.72704999999999975</v>
      </c>
      <c r="BG19" s="341">
        <f t="shared" si="46"/>
        <v>0.72704999999999975</v>
      </c>
      <c r="BH19" s="341">
        <f t="shared" si="46"/>
        <v>0.72704999999999975</v>
      </c>
      <c r="BI19" s="341">
        <f t="shared" si="46"/>
        <v>0.72704999999999975</v>
      </c>
      <c r="BJ19" s="341">
        <f t="shared" si="46"/>
        <v>0.69374999999999976</v>
      </c>
      <c r="BK19" s="341">
        <f t="shared" si="46"/>
        <v>0.69374999999999976</v>
      </c>
      <c r="BL19" s="341">
        <f t="shared" si="46"/>
        <v>0.64379999999999971</v>
      </c>
      <c r="BM19" s="387">
        <f t="shared" si="46"/>
        <v>8.3249999999999993</v>
      </c>
      <c r="BN19" s="341">
        <f t="shared" si="46"/>
        <v>0.79604999999999959</v>
      </c>
      <c r="BO19" s="341">
        <f t="shared" si="46"/>
        <v>0.81663749999999957</v>
      </c>
      <c r="BP19" s="341">
        <f t="shared" si="46"/>
        <v>0.85781249999999964</v>
      </c>
      <c r="BQ19" s="341">
        <f t="shared" si="46"/>
        <v>0.85781249999999964</v>
      </c>
      <c r="BR19" s="341">
        <f t="shared" si="46"/>
        <v>0.85781249999999964</v>
      </c>
      <c r="BS19" s="341">
        <f t="shared" si="46"/>
        <v>0.89898749999999972</v>
      </c>
      <c r="BT19" s="341">
        <f t="shared" si="46"/>
        <v>0.89898749999999972</v>
      </c>
      <c r="BU19" s="341">
        <f t="shared" si="46"/>
        <v>0.89898749999999972</v>
      </c>
      <c r="BV19" s="341">
        <f t="shared" si="46"/>
        <v>0.89898749999999972</v>
      </c>
      <c r="BW19" s="341">
        <f t="shared" si="46"/>
        <v>0.85781249999999964</v>
      </c>
      <c r="BX19" s="341">
        <f t="shared" si="46"/>
        <v>0.85781249999999964</v>
      </c>
      <c r="BY19" s="341">
        <f t="shared" si="46"/>
        <v>0.79604999999999959</v>
      </c>
      <c r="BZ19" s="387">
        <f t="shared" si="46"/>
        <v>10.293750000000001</v>
      </c>
    </row>
    <row r="20" spans="1:78" s="292" customFormat="1">
      <c r="A20" s="286" t="s">
        <v>399</v>
      </c>
      <c r="B20" s="287"/>
      <c r="C20" s="287" t="s">
        <v>400</v>
      </c>
      <c r="D20" s="287" t="s">
        <v>279</v>
      </c>
      <c r="E20" s="287" t="s">
        <v>501</v>
      </c>
      <c r="F20" s="287"/>
      <c r="G20" s="287" t="s">
        <v>502</v>
      </c>
      <c r="H20" s="287">
        <v>500</v>
      </c>
      <c r="I20" s="287" t="s">
        <v>402</v>
      </c>
      <c r="J20" s="288">
        <f t="shared" si="38"/>
        <v>30.320999999999998</v>
      </c>
      <c r="K20" s="288" t="s">
        <v>402</v>
      </c>
      <c r="L20" s="375">
        <v>5.0000000000000001E-4</v>
      </c>
      <c r="M20" s="380"/>
      <c r="N20" s="341">
        <f>$L20*N$18</f>
        <v>1.9170000000000003E-2</v>
      </c>
      <c r="O20" s="341">
        <f t="shared" si="44"/>
        <v>4.7925000000000002E-2</v>
      </c>
      <c r="P20" s="341">
        <f t="shared" si="44"/>
        <v>4.7925000000000002E-2</v>
      </c>
      <c r="Q20" s="341">
        <f t="shared" si="44"/>
        <v>9.5850000000000005E-2</v>
      </c>
      <c r="R20" s="341">
        <f t="shared" si="44"/>
        <v>0.14377500000000001</v>
      </c>
      <c r="S20" s="341">
        <f t="shared" si="44"/>
        <v>9.5850000000000005E-2</v>
      </c>
      <c r="T20" s="341">
        <f t="shared" si="44"/>
        <v>8.4667500000000007E-2</v>
      </c>
      <c r="U20" s="341">
        <f t="shared" si="44"/>
        <v>8.4667500000000007E-2</v>
      </c>
      <c r="V20" s="341">
        <f t="shared" si="44"/>
        <v>8.4667500000000007E-2</v>
      </c>
      <c r="W20" s="341">
        <f t="shared" si="44"/>
        <v>8.4667500000000007E-2</v>
      </c>
      <c r="X20" s="341">
        <f t="shared" si="44"/>
        <v>8.4667500000000007E-2</v>
      </c>
      <c r="Y20" s="341">
        <f t="shared" si="44"/>
        <v>8.4667500000000007E-2</v>
      </c>
      <c r="Z20" s="387">
        <f t="shared" si="45"/>
        <v>0.95850000000000002</v>
      </c>
      <c r="AA20" s="341">
        <f>$L20*AA$18</f>
        <v>0.33929999999999982</v>
      </c>
      <c r="AB20" s="341">
        <f t="shared" si="45"/>
        <v>0.3480749999999998</v>
      </c>
      <c r="AC20" s="341">
        <f t="shared" si="45"/>
        <v>0.36562499999999987</v>
      </c>
      <c r="AD20" s="341">
        <f t="shared" si="45"/>
        <v>0.36562499999999987</v>
      </c>
      <c r="AE20" s="341">
        <f t="shared" si="45"/>
        <v>0.36562499999999987</v>
      </c>
      <c r="AF20" s="341">
        <f t="shared" si="45"/>
        <v>0.38317499999999993</v>
      </c>
      <c r="AG20" s="341">
        <f t="shared" si="45"/>
        <v>0.38317499999999993</v>
      </c>
      <c r="AH20" s="341">
        <f t="shared" si="45"/>
        <v>0.38317499999999993</v>
      </c>
      <c r="AI20" s="341">
        <f t="shared" si="45"/>
        <v>0.38317499999999993</v>
      </c>
      <c r="AJ20" s="341">
        <f t="shared" si="45"/>
        <v>0.36562499999999987</v>
      </c>
      <c r="AK20" s="341">
        <f t="shared" si="45"/>
        <v>0.36562499999999987</v>
      </c>
      <c r="AL20" s="341">
        <f t="shared" si="45"/>
        <v>0.33929999999999982</v>
      </c>
      <c r="AM20" s="387">
        <f t="shared" si="45"/>
        <v>4.3875000000000002</v>
      </c>
      <c r="AN20" s="341">
        <f t="shared" si="45"/>
        <v>0.49154999999999965</v>
      </c>
      <c r="AO20" s="341">
        <f t="shared" si="45"/>
        <v>0.50426249999999972</v>
      </c>
      <c r="AP20" s="341">
        <f t="shared" si="45"/>
        <v>0.52968749999999976</v>
      </c>
      <c r="AQ20" s="341">
        <f t="shared" si="45"/>
        <v>0.52968749999999976</v>
      </c>
      <c r="AR20" s="341">
        <f t="shared" si="46"/>
        <v>0.52968749999999976</v>
      </c>
      <c r="AS20" s="341">
        <f t="shared" si="46"/>
        <v>0.55511249999999979</v>
      </c>
      <c r="AT20" s="341">
        <f t="shared" si="46"/>
        <v>0.55511249999999979</v>
      </c>
      <c r="AU20" s="341">
        <f t="shared" si="46"/>
        <v>0.55511249999999979</v>
      </c>
      <c r="AV20" s="341">
        <f t="shared" si="46"/>
        <v>0.55511249999999979</v>
      </c>
      <c r="AW20" s="341">
        <f t="shared" si="46"/>
        <v>0.52968749999999976</v>
      </c>
      <c r="AX20" s="341">
        <f t="shared" si="46"/>
        <v>0.52968749999999976</v>
      </c>
      <c r="AY20" s="341">
        <f t="shared" si="46"/>
        <v>0.49154999999999965</v>
      </c>
      <c r="AZ20" s="387">
        <f t="shared" si="46"/>
        <v>6.3562499999999993</v>
      </c>
      <c r="BA20" s="341">
        <f t="shared" si="46"/>
        <v>0.64379999999999971</v>
      </c>
      <c r="BB20" s="341">
        <f t="shared" si="46"/>
        <v>0.66044999999999976</v>
      </c>
      <c r="BC20" s="341">
        <f t="shared" si="46"/>
        <v>0.69374999999999976</v>
      </c>
      <c r="BD20" s="341">
        <f t="shared" si="46"/>
        <v>0.69374999999999976</v>
      </c>
      <c r="BE20" s="341">
        <f t="shared" si="46"/>
        <v>0.69374999999999976</v>
      </c>
      <c r="BF20" s="341">
        <f t="shared" si="46"/>
        <v>0.72704999999999975</v>
      </c>
      <c r="BG20" s="341">
        <f t="shared" si="46"/>
        <v>0.72704999999999975</v>
      </c>
      <c r="BH20" s="341">
        <f t="shared" si="46"/>
        <v>0.72704999999999975</v>
      </c>
      <c r="BI20" s="341">
        <f t="shared" si="46"/>
        <v>0.72704999999999975</v>
      </c>
      <c r="BJ20" s="341">
        <f t="shared" si="46"/>
        <v>0.69374999999999976</v>
      </c>
      <c r="BK20" s="341">
        <f t="shared" si="46"/>
        <v>0.69374999999999976</v>
      </c>
      <c r="BL20" s="341">
        <f t="shared" si="46"/>
        <v>0.64379999999999971</v>
      </c>
      <c r="BM20" s="387">
        <f t="shared" si="46"/>
        <v>8.3249999999999993</v>
      </c>
      <c r="BN20" s="341">
        <f t="shared" si="46"/>
        <v>0.79604999999999959</v>
      </c>
      <c r="BO20" s="341">
        <f t="shared" si="46"/>
        <v>0.81663749999999957</v>
      </c>
      <c r="BP20" s="341">
        <f t="shared" si="46"/>
        <v>0.85781249999999964</v>
      </c>
      <c r="BQ20" s="341">
        <f t="shared" si="46"/>
        <v>0.85781249999999964</v>
      </c>
      <c r="BR20" s="341">
        <f t="shared" si="46"/>
        <v>0.85781249999999964</v>
      </c>
      <c r="BS20" s="341">
        <f t="shared" si="46"/>
        <v>0.89898749999999972</v>
      </c>
      <c r="BT20" s="341">
        <f t="shared" si="46"/>
        <v>0.89898749999999972</v>
      </c>
      <c r="BU20" s="341">
        <f t="shared" si="46"/>
        <v>0.89898749999999972</v>
      </c>
      <c r="BV20" s="341">
        <f t="shared" si="46"/>
        <v>0.89898749999999972</v>
      </c>
      <c r="BW20" s="341">
        <f t="shared" si="46"/>
        <v>0.85781249999999964</v>
      </c>
      <c r="BX20" s="341">
        <f t="shared" si="46"/>
        <v>0.85781249999999964</v>
      </c>
      <c r="BY20" s="341">
        <f t="shared" si="46"/>
        <v>0.79604999999999959</v>
      </c>
      <c r="BZ20" s="387">
        <f t="shared" si="46"/>
        <v>10.293750000000001</v>
      </c>
    </row>
    <row r="21" spans="1:78" s="292" customFormat="1">
      <c r="A21" s="286" t="s">
        <v>399</v>
      </c>
      <c r="B21" s="287"/>
      <c r="C21" s="287" t="s">
        <v>415</v>
      </c>
      <c r="D21" s="287" t="s">
        <v>279</v>
      </c>
      <c r="E21" s="287" t="s">
        <v>503</v>
      </c>
      <c r="F21" s="287"/>
      <c r="G21" s="287"/>
      <c r="H21" s="294">
        <v>15</v>
      </c>
      <c r="I21" s="287" t="s">
        <v>504</v>
      </c>
      <c r="J21" s="288">
        <f t="shared" si="38"/>
        <v>3032.1</v>
      </c>
      <c r="K21" s="288" t="s">
        <v>402</v>
      </c>
      <c r="L21" s="375">
        <v>0.05</v>
      </c>
      <c r="M21" s="380"/>
      <c r="N21" s="341">
        <f t="shared" ref="N21:AC38" si="47">$L21*N$18</f>
        <v>1.9170000000000003</v>
      </c>
      <c r="O21" s="341">
        <f t="shared" si="47"/>
        <v>4.7925000000000004</v>
      </c>
      <c r="P21" s="341">
        <f t="shared" si="47"/>
        <v>4.7925000000000004</v>
      </c>
      <c r="Q21" s="341">
        <f t="shared" si="47"/>
        <v>9.5850000000000009</v>
      </c>
      <c r="R21" s="341">
        <f t="shared" si="47"/>
        <v>14.377500000000001</v>
      </c>
      <c r="S21" s="341">
        <f t="shared" si="47"/>
        <v>9.5850000000000009</v>
      </c>
      <c r="T21" s="341">
        <f t="shared" si="47"/>
        <v>8.4667500000000011</v>
      </c>
      <c r="U21" s="341">
        <f t="shared" si="47"/>
        <v>8.4667500000000011</v>
      </c>
      <c r="V21" s="341">
        <f t="shared" si="47"/>
        <v>8.4667500000000011</v>
      </c>
      <c r="W21" s="341">
        <f t="shared" si="47"/>
        <v>8.4667500000000011</v>
      </c>
      <c r="X21" s="341">
        <f t="shared" si="47"/>
        <v>8.4667500000000011</v>
      </c>
      <c r="Y21" s="341">
        <f t="shared" si="47"/>
        <v>8.4667500000000011</v>
      </c>
      <c r="Z21" s="387">
        <f t="shared" si="45"/>
        <v>95.850000000000009</v>
      </c>
      <c r="AA21" s="341">
        <f t="shared" si="47"/>
        <v>33.929999999999986</v>
      </c>
      <c r="AB21" s="341">
        <f t="shared" si="47"/>
        <v>34.807499999999983</v>
      </c>
      <c r="AC21" s="341">
        <f t="shared" si="47"/>
        <v>36.562499999999993</v>
      </c>
      <c r="AD21" s="341">
        <f t="shared" si="45"/>
        <v>36.562499999999993</v>
      </c>
      <c r="AE21" s="341">
        <f t="shared" si="45"/>
        <v>36.562499999999993</v>
      </c>
      <c r="AF21" s="341">
        <f t="shared" si="45"/>
        <v>38.317499999999988</v>
      </c>
      <c r="AG21" s="341">
        <f t="shared" si="45"/>
        <v>38.317499999999988</v>
      </c>
      <c r="AH21" s="341">
        <f t="shared" si="45"/>
        <v>38.317499999999988</v>
      </c>
      <c r="AI21" s="341">
        <f t="shared" si="45"/>
        <v>38.317499999999988</v>
      </c>
      <c r="AJ21" s="341">
        <f t="shared" si="45"/>
        <v>36.562499999999993</v>
      </c>
      <c r="AK21" s="341">
        <f t="shared" si="45"/>
        <v>36.562499999999993</v>
      </c>
      <c r="AL21" s="341">
        <f t="shared" si="45"/>
        <v>33.929999999999986</v>
      </c>
      <c r="AM21" s="387">
        <f t="shared" si="45"/>
        <v>438.75</v>
      </c>
      <c r="AN21" s="341">
        <f t="shared" si="45"/>
        <v>49.154999999999973</v>
      </c>
      <c r="AO21" s="341">
        <f t="shared" si="45"/>
        <v>50.426249999999975</v>
      </c>
      <c r="AP21" s="341">
        <f t="shared" si="45"/>
        <v>52.968749999999979</v>
      </c>
      <c r="AQ21" s="341">
        <f t="shared" si="45"/>
        <v>52.968749999999979</v>
      </c>
      <c r="AR21" s="341">
        <f t="shared" si="46"/>
        <v>52.968749999999979</v>
      </c>
      <c r="AS21" s="341">
        <f t="shared" si="46"/>
        <v>55.511249999999976</v>
      </c>
      <c r="AT21" s="341">
        <f t="shared" si="46"/>
        <v>55.511249999999976</v>
      </c>
      <c r="AU21" s="341">
        <f t="shared" si="46"/>
        <v>55.511249999999976</v>
      </c>
      <c r="AV21" s="341">
        <f t="shared" si="46"/>
        <v>55.511249999999976</v>
      </c>
      <c r="AW21" s="341">
        <f t="shared" si="46"/>
        <v>52.968749999999979</v>
      </c>
      <c r="AX21" s="341">
        <f t="shared" si="46"/>
        <v>52.968749999999979</v>
      </c>
      <c r="AY21" s="341">
        <f t="shared" si="46"/>
        <v>49.154999999999973</v>
      </c>
      <c r="AZ21" s="387">
        <f t="shared" si="46"/>
        <v>635.625</v>
      </c>
      <c r="BA21" s="341">
        <f t="shared" si="46"/>
        <v>64.379999999999981</v>
      </c>
      <c r="BB21" s="341">
        <f t="shared" si="46"/>
        <v>66.044999999999973</v>
      </c>
      <c r="BC21" s="341">
        <f t="shared" si="46"/>
        <v>69.374999999999986</v>
      </c>
      <c r="BD21" s="341">
        <f t="shared" si="46"/>
        <v>69.374999999999986</v>
      </c>
      <c r="BE21" s="341">
        <f t="shared" si="46"/>
        <v>69.374999999999986</v>
      </c>
      <c r="BF21" s="341">
        <f t="shared" si="46"/>
        <v>72.70499999999997</v>
      </c>
      <c r="BG21" s="341">
        <f t="shared" si="46"/>
        <v>72.70499999999997</v>
      </c>
      <c r="BH21" s="341">
        <f t="shared" si="46"/>
        <v>72.70499999999997</v>
      </c>
      <c r="BI21" s="341">
        <f t="shared" si="46"/>
        <v>72.70499999999997</v>
      </c>
      <c r="BJ21" s="341">
        <f t="shared" si="46"/>
        <v>69.374999999999986</v>
      </c>
      <c r="BK21" s="341">
        <f t="shared" si="46"/>
        <v>69.374999999999986</v>
      </c>
      <c r="BL21" s="341">
        <f t="shared" si="46"/>
        <v>64.379999999999981</v>
      </c>
      <c r="BM21" s="387">
        <f t="shared" si="46"/>
        <v>832.5</v>
      </c>
      <c r="BN21" s="341">
        <f t="shared" si="46"/>
        <v>79.604999999999961</v>
      </c>
      <c r="BO21" s="341">
        <f t="shared" si="46"/>
        <v>81.663749999999965</v>
      </c>
      <c r="BP21" s="341">
        <f t="shared" si="46"/>
        <v>85.781249999999972</v>
      </c>
      <c r="BQ21" s="341">
        <f t="shared" si="46"/>
        <v>85.781249999999972</v>
      </c>
      <c r="BR21" s="341">
        <f t="shared" si="46"/>
        <v>85.781249999999972</v>
      </c>
      <c r="BS21" s="341">
        <f t="shared" si="46"/>
        <v>89.898749999999978</v>
      </c>
      <c r="BT21" s="341">
        <f t="shared" si="46"/>
        <v>89.898749999999978</v>
      </c>
      <c r="BU21" s="341">
        <f t="shared" si="46"/>
        <v>89.898749999999978</v>
      </c>
      <c r="BV21" s="341">
        <f t="shared" si="46"/>
        <v>89.898749999999978</v>
      </c>
      <c r="BW21" s="341">
        <f t="shared" si="46"/>
        <v>85.781249999999972</v>
      </c>
      <c r="BX21" s="341">
        <f t="shared" si="46"/>
        <v>85.781249999999972</v>
      </c>
      <c r="BY21" s="341">
        <f t="shared" si="46"/>
        <v>79.604999999999961</v>
      </c>
      <c r="BZ21" s="387">
        <f t="shared" si="46"/>
        <v>1029.375</v>
      </c>
    </row>
    <row r="22" spans="1:78" s="292" customFormat="1">
      <c r="A22" s="286" t="s">
        <v>399</v>
      </c>
      <c r="B22" s="287"/>
      <c r="C22" s="287" t="s">
        <v>415</v>
      </c>
      <c r="D22" s="287" t="s">
        <v>279</v>
      </c>
      <c r="E22" s="287" t="s">
        <v>436</v>
      </c>
      <c r="F22" s="287"/>
      <c r="G22" s="287"/>
      <c r="H22" s="294"/>
      <c r="I22" s="287"/>
      <c r="J22" s="288">
        <f t="shared" si="38"/>
        <v>6064.2</v>
      </c>
      <c r="K22" s="288" t="s">
        <v>402</v>
      </c>
      <c r="L22" s="376">
        <v>0.1</v>
      </c>
      <c r="M22" s="381"/>
      <c r="N22" s="341">
        <f t="shared" si="47"/>
        <v>3.8340000000000005</v>
      </c>
      <c r="O22" s="341">
        <f t="shared" si="47"/>
        <v>9.5850000000000009</v>
      </c>
      <c r="P22" s="341">
        <f t="shared" si="47"/>
        <v>9.5850000000000009</v>
      </c>
      <c r="Q22" s="341">
        <f t="shared" si="47"/>
        <v>19.170000000000002</v>
      </c>
      <c r="R22" s="341">
        <f t="shared" si="47"/>
        <v>28.755000000000003</v>
      </c>
      <c r="S22" s="341">
        <f t="shared" si="47"/>
        <v>19.170000000000002</v>
      </c>
      <c r="T22" s="341">
        <f t="shared" si="47"/>
        <v>16.933500000000002</v>
      </c>
      <c r="U22" s="341">
        <f t="shared" si="47"/>
        <v>16.933500000000002</v>
      </c>
      <c r="V22" s="341">
        <f t="shared" si="47"/>
        <v>16.933500000000002</v>
      </c>
      <c r="W22" s="341">
        <f t="shared" si="47"/>
        <v>16.933500000000002</v>
      </c>
      <c r="X22" s="341">
        <f t="shared" si="47"/>
        <v>16.933500000000002</v>
      </c>
      <c r="Y22" s="341">
        <f t="shared" si="47"/>
        <v>16.933500000000002</v>
      </c>
      <c r="Z22" s="387">
        <f t="shared" si="45"/>
        <v>191.70000000000002</v>
      </c>
      <c r="AA22" s="341">
        <f t="shared" si="47"/>
        <v>67.859999999999971</v>
      </c>
      <c r="AB22" s="341">
        <f t="shared" si="45"/>
        <v>69.614999999999966</v>
      </c>
      <c r="AC22" s="341">
        <f t="shared" si="45"/>
        <v>73.124999999999986</v>
      </c>
      <c r="AD22" s="341">
        <f t="shared" si="45"/>
        <v>73.124999999999986</v>
      </c>
      <c r="AE22" s="341">
        <f t="shared" si="45"/>
        <v>73.124999999999986</v>
      </c>
      <c r="AF22" s="341">
        <f t="shared" si="45"/>
        <v>76.634999999999977</v>
      </c>
      <c r="AG22" s="341">
        <f t="shared" si="45"/>
        <v>76.634999999999977</v>
      </c>
      <c r="AH22" s="341">
        <f t="shared" si="45"/>
        <v>76.634999999999977</v>
      </c>
      <c r="AI22" s="341">
        <f t="shared" si="45"/>
        <v>76.634999999999977</v>
      </c>
      <c r="AJ22" s="341">
        <f t="shared" si="45"/>
        <v>73.124999999999986</v>
      </c>
      <c r="AK22" s="341">
        <f t="shared" si="45"/>
        <v>73.124999999999986</v>
      </c>
      <c r="AL22" s="341">
        <f t="shared" si="45"/>
        <v>67.859999999999971</v>
      </c>
      <c r="AM22" s="387">
        <f t="shared" si="45"/>
        <v>877.5</v>
      </c>
      <c r="AN22" s="341">
        <f t="shared" si="45"/>
        <v>98.309999999999945</v>
      </c>
      <c r="AO22" s="341">
        <f t="shared" si="45"/>
        <v>100.85249999999995</v>
      </c>
      <c r="AP22" s="341">
        <f t="shared" si="45"/>
        <v>105.93749999999996</v>
      </c>
      <c r="AQ22" s="341">
        <f t="shared" si="45"/>
        <v>105.93749999999996</v>
      </c>
      <c r="AR22" s="341">
        <f t="shared" si="46"/>
        <v>105.93749999999996</v>
      </c>
      <c r="AS22" s="341">
        <f t="shared" si="46"/>
        <v>111.02249999999995</v>
      </c>
      <c r="AT22" s="341">
        <f t="shared" si="46"/>
        <v>111.02249999999995</v>
      </c>
      <c r="AU22" s="341">
        <f t="shared" si="46"/>
        <v>111.02249999999995</v>
      </c>
      <c r="AV22" s="341">
        <f t="shared" si="46"/>
        <v>111.02249999999995</v>
      </c>
      <c r="AW22" s="341">
        <f t="shared" si="46"/>
        <v>105.93749999999996</v>
      </c>
      <c r="AX22" s="341">
        <f t="shared" si="46"/>
        <v>105.93749999999996</v>
      </c>
      <c r="AY22" s="341">
        <f t="shared" si="46"/>
        <v>98.309999999999945</v>
      </c>
      <c r="AZ22" s="387">
        <f t="shared" si="46"/>
        <v>1271.25</v>
      </c>
      <c r="BA22" s="341">
        <f t="shared" si="46"/>
        <v>128.75999999999996</v>
      </c>
      <c r="BB22" s="341">
        <f t="shared" si="46"/>
        <v>132.08999999999995</v>
      </c>
      <c r="BC22" s="341">
        <f t="shared" si="46"/>
        <v>138.74999999999997</v>
      </c>
      <c r="BD22" s="341">
        <f t="shared" si="46"/>
        <v>138.74999999999997</v>
      </c>
      <c r="BE22" s="341">
        <f t="shared" si="46"/>
        <v>138.74999999999997</v>
      </c>
      <c r="BF22" s="341">
        <f t="shared" si="46"/>
        <v>145.40999999999994</v>
      </c>
      <c r="BG22" s="341">
        <f t="shared" si="46"/>
        <v>145.40999999999994</v>
      </c>
      <c r="BH22" s="341">
        <f t="shared" si="46"/>
        <v>145.40999999999994</v>
      </c>
      <c r="BI22" s="341">
        <f t="shared" si="46"/>
        <v>145.40999999999994</v>
      </c>
      <c r="BJ22" s="341">
        <f t="shared" si="46"/>
        <v>138.74999999999997</v>
      </c>
      <c r="BK22" s="341">
        <f t="shared" si="46"/>
        <v>138.74999999999997</v>
      </c>
      <c r="BL22" s="341">
        <f t="shared" si="46"/>
        <v>128.75999999999996</v>
      </c>
      <c r="BM22" s="387">
        <f t="shared" si="46"/>
        <v>1665</v>
      </c>
      <c r="BN22" s="341">
        <f t="shared" si="46"/>
        <v>159.20999999999992</v>
      </c>
      <c r="BO22" s="341">
        <f t="shared" si="46"/>
        <v>163.32749999999993</v>
      </c>
      <c r="BP22" s="341">
        <f t="shared" si="46"/>
        <v>171.56249999999994</v>
      </c>
      <c r="BQ22" s="341">
        <f t="shared" si="46"/>
        <v>171.56249999999994</v>
      </c>
      <c r="BR22" s="341">
        <f t="shared" si="46"/>
        <v>171.56249999999994</v>
      </c>
      <c r="BS22" s="341">
        <f t="shared" si="46"/>
        <v>179.79749999999996</v>
      </c>
      <c r="BT22" s="341">
        <f t="shared" si="46"/>
        <v>179.79749999999996</v>
      </c>
      <c r="BU22" s="341">
        <f t="shared" si="46"/>
        <v>179.79749999999996</v>
      </c>
      <c r="BV22" s="341">
        <f t="shared" si="46"/>
        <v>179.79749999999996</v>
      </c>
      <c r="BW22" s="341">
        <f t="shared" si="46"/>
        <v>171.56249999999994</v>
      </c>
      <c r="BX22" s="341">
        <f t="shared" si="46"/>
        <v>171.56249999999994</v>
      </c>
      <c r="BY22" s="341">
        <f t="shared" si="46"/>
        <v>159.20999999999992</v>
      </c>
      <c r="BZ22" s="387">
        <f t="shared" si="46"/>
        <v>2058.75</v>
      </c>
    </row>
    <row r="23" spans="1:78" s="292" customFormat="1">
      <c r="A23" s="286" t="s">
        <v>399</v>
      </c>
      <c r="B23" s="287"/>
      <c r="C23" s="287" t="s">
        <v>400</v>
      </c>
      <c r="D23" s="287" t="s">
        <v>279</v>
      </c>
      <c r="E23" s="287" t="s">
        <v>437</v>
      </c>
      <c r="F23" s="287"/>
      <c r="G23" s="287"/>
      <c r="H23" s="287"/>
      <c r="I23" s="287"/>
      <c r="J23" s="288">
        <f t="shared" si="38"/>
        <v>1819.26</v>
      </c>
      <c r="K23" s="288" t="s">
        <v>402</v>
      </c>
      <c r="L23" s="376">
        <v>0.03</v>
      </c>
      <c r="M23" s="381"/>
      <c r="N23" s="341">
        <f t="shared" si="47"/>
        <v>1.1502000000000001</v>
      </c>
      <c r="O23" s="341">
        <f t="shared" si="47"/>
        <v>2.8755000000000002</v>
      </c>
      <c r="P23" s="341">
        <f t="shared" si="47"/>
        <v>2.8755000000000002</v>
      </c>
      <c r="Q23" s="341">
        <f t="shared" si="47"/>
        <v>5.7510000000000003</v>
      </c>
      <c r="R23" s="341">
        <f t="shared" si="47"/>
        <v>8.6265000000000001</v>
      </c>
      <c r="S23" s="341">
        <f t="shared" si="47"/>
        <v>5.7510000000000003</v>
      </c>
      <c r="T23" s="341">
        <f t="shared" si="47"/>
        <v>5.08005</v>
      </c>
      <c r="U23" s="341">
        <f t="shared" si="47"/>
        <v>5.08005</v>
      </c>
      <c r="V23" s="341">
        <f t="shared" si="47"/>
        <v>5.08005</v>
      </c>
      <c r="W23" s="341">
        <f t="shared" si="47"/>
        <v>5.08005</v>
      </c>
      <c r="X23" s="341">
        <f t="shared" si="47"/>
        <v>5.08005</v>
      </c>
      <c r="Y23" s="341">
        <f t="shared" si="47"/>
        <v>5.08005</v>
      </c>
      <c r="Z23" s="387">
        <f t="shared" si="45"/>
        <v>57.51</v>
      </c>
      <c r="AA23" s="341">
        <f t="shared" si="47"/>
        <v>20.35799999999999</v>
      </c>
      <c r="AB23" s="341">
        <f t="shared" si="45"/>
        <v>20.884499999999989</v>
      </c>
      <c r="AC23" s="341">
        <f t="shared" si="45"/>
        <v>21.937499999999993</v>
      </c>
      <c r="AD23" s="341">
        <f t="shared" si="45"/>
        <v>21.937499999999993</v>
      </c>
      <c r="AE23" s="341">
        <f t="shared" si="45"/>
        <v>21.937499999999993</v>
      </c>
      <c r="AF23" s="341">
        <f t="shared" si="45"/>
        <v>22.990499999999994</v>
      </c>
      <c r="AG23" s="341">
        <f t="shared" si="45"/>
        <v>22.990499999999994</v>
      </c>
      <c r="AH23" s="341">
        <f t="shared" si="45"/>
        <v>22.990499999999994</v>
      </c>
      <c r="AI23" s="341">
        <f t="shared" si="45"/>
        <v>22.990499999999994</v>
      </c>
      <c r="AJ23" s="341">
        <f t="shared" si="45"/>
        <v>21.937499999999993</v>
      </c>
      <c r="AK23" s="341">
        <f t="shared" si="45"/>
        <v>21.937499999999993</v>
      </c>
      <c r="AL23" s="341">
        <f t="shared" si="45"/>
        <v>20.35799999999999</v>
      </c>
      <c r="AM23" s="387">
        <f t="shared" si="45"/>
        <v>263.25</v>
      </c>
      <c r="AN23" s="341">
        <f t="shared" si="45"/>
        <v>29.492999999999981</v>
      </c>
      <c r="AO23" s="341">
        <f t="shared" si="45"/>
        <v>30.255749999999981</v>
      </c>
      <c r="AP23" s="341">
        <f t="shared" si="45"/>
        <v>31.781249999999986</v>
      </c>
      <c r="AQ23" s="341">
        <f t="shared" si="45"/>
        <v>31.781249999999986</v>
      </c>
      <c r="AR23" s="341">
        <f t="shared" si="46"/>
        <v>31.781249999999986</v>
      </c>
      <c r="AS23" s="341">
        <f t="shared" si="46"/>
        <v>33.30674999999998</v>
      </c>
      <c r="AT23" s="341">
        <f t="shared" si="46"/>
        <v>33.30674999999998</v>
      </c>
      <c r="AU23" s="341">
        <f t="shared" si="46"/>
        <v>33.30674999999998</v>
      </c>
      <c r="AV23" s="341">
        <f t="shared" si="46"/>
        <v>33.30674999999998</v>
      </c>
      <c r="AW23" s="341">
        <f t="shared" si="46"/>
        <v>31.781249999999986</v>
      </c>
      <c r="AX23" s="341">
        <f t="shared" si="46"/>
        <v>31.781249999999986</v>
      </c>
      <c r="AY23" s="341">
        <f t="shared" si="46"/>
        <v>29.492999999999981</v>
      </c>
      <c r="AZ23" s="387">
        <f t="shared" si="46"/>
        <v>381.37499999999994</v>
      </c>
      <c r="BA23" s="341">
        <f t="shared" si="46"/>
        <v>38.627999999999979</v>
      </c>
      <c r="BB23" s="341">
        <f t="shared" si="46"/>
        <v>39.626999999999981</v>
      </c>
      <c r="BC23" s="341">
        <f t="shared" si="46"/>
        <v>41.624999999999986</v>
      </c>
      <c r="BD23" s="341">
        <f t="shared" si="46"/>
        <v>41.624999999999986</v>
      </c>
      <c r="BE23" s="341">
        <f t="shared" si="46"/>
        <v>41.624999999999986</v>
      </c>
      <c r="BF23" s="341">
        <f t="shared" si="46"/>
        <v>43.622999999999983</v>
      </c>
      <c r="BG23" s="341">
        <f t="shared" si="46"/>
        <v>43.622999999999983</v>
      </c>
      <c r="BH23" s="341">
        <f t="shared" si="46"/>
        <v>43.622999999999983</v>
      </c>
      <c r="BI23" s="341">
        <f t="shared" si="46"/>
        <v>43.622999999999983</v>
      </c>
      <c r="BJ23" s="341">
        <f t="shared" si="46"/>
        <v>41.624999999999986</v>
      </c>
      <c r="BK23" s="341">
        <f t="shared" si="46"/>
        <v>41.624999999999986</v>
      </c>
      <c r="BL23" s="341">
        <f t="shared" si="46"/>
        <v>38.627999999999979</v>
      </c>
      <c r="BM23" s="387">
        <f t="shared" si="46"/>
        <v>499.5</v>
      </c>
      <c r="BN23" s="341">
        <f t="shared" si="46"/>
        <v>47.762999999999977</v>
      </c>
      <c r="BO23" s="341">
        <f t="shared" si="46"/>
        <v>48.99824999999997</v>
      </c>
      <c r="BP23" s="341">
        <f t="shared" si="46"/>
        <v>51.468749999999979</v>
      </c>
      <c r="BQ23" s="341">
        <f t="shared" si="46"/>
        <v>51.468749999999979</v>
      </c>
      <c r="BR23" s="341">
        <f t="shared" si="46"/>
        <v>51.468749999999979</v>
      </c>
      <c r="BS23" s="341">
        <f t="shared" si="46"/>
        <v>53.93924999999998</v>
      </c>
      <c r="BT23" s="341">
        <f t="shared" si="46"/>
        <v>53.93924999999998</v>
      </c>
      <c r="BU23" s="341">
        <f t="shared" si="46"/>
        <v>53.93924999999998</v>
      </c>
      <c r="BV23" s="341">
        <f t="shared" si="46"/>
        <v>53.93924999999998</v>
      </c>
      <c r="BW23" s="341">
        <f t="shared" si="46"/>
        <v>51.468749999999979</v>
      </c>
      <c r="BX23" s="341">
        <f t="shared" si="46"/>
        <v>51.468749999999979</v>
      </c>
      <c r="BY23" s="341">
        <f t="shared" si="46"/>
        <v>47.762999999999977</v>
      </c>
      <c r="BZ23" s="387">
        <f t="shared" si="46"/>
        <v>617.625</v>
      </c>
    </row>
    <row r="24" spans="1:78" s="292" customFormat="1">
      <c r="A24" s="286" t="s">
        <v>399</v>
      </c>
      <c r="B24" s="287"/>
      <c r="C24" s="287" t="s">
        <v>400</v>
      </c>
      <c r="D24" s="287" t="s">
        <v>279</v>
      </c>
      <c r="E24" s="287" t="s">
        <v>438</v>
      </c>
      <c r="F24" s="287"/>
      <c r="G24" s="287"/>
      <c r="H24" s="287"/>
      <c r="I24" s="287"/>
      <c r="J24" s="288">
        <f t="shared" si="38"/>
        <v>1819.26</v>
      </c>
      <c r="K24" s="288" t="s">
        <v>402</v>
      </c>
      <c r="L24" s="376">
        <v>0.03</v>
      </c>
      <c r="M24" s="381"/>
      <c r="N24" s="341">
        <f t="shared" si="47"/>
        <v>1.1502000000000001</v>
      </c>
      <c r="O24" s="341">
        <f t="shared" si="47"/>
        <v>2.8755000000000002</v>
      </c>
      <c r="P24" s="341">
        <f t="shared" si="47"/>
        <v>2.8755000000000002</v>
      </c>
      <c r="Q24" s="341">
        <f t="shared" si="47"/>
        <v>5.7510000000000003</v>
      </c>
      <c r="R24" s="341">
        <f t="shared" si="47"/>
        <v>8.6265000000000001</v>
      </c>
      <c r="S24" s="341">
        <f t="shared" si="47"/>
        <v>5.7510000000000003</v>
      </c>
      <c r="T24" s="341">
        <f t="shared" si="47"/>
        <v>5.08005</v>
      </c>
      <c r="U24" s="341">
        <f t="shared" si="47"/>
        <v>5.08005</v>
      </c>
      <c r="V24" s="341">
        <f t="shared" si="47"/>
        <v>5.08005</v>
      </c>
      <c r="W24" s="341">
        <f t="shared" si="47"/>
        <v>5.08005</v>
      </c>
      <c r="X24" s="341">
        <f t="shared" si="47"/>
        <v>5.08005</v>
      </c>
      <c r="Y24" s="341">
        <f t="shared" si="47"/>
        <v>5.08005</v>
      </c>
      <c r="Z24" s="387">
        <f t="shared" si="45"/>
        <v>57.51</v>
      </c>
      <c r="AA24" s="341">
        <f t="shared" si="47"/>
        <v>20.35799999999999</v>
      </c>
      <c r="AB24" s="341">
        <f t="shared" si="45"/>
        <v>20.884499999999989</v>
      </c>
      <c r="AC24" s="341">
        <f t="shared" si="45"/>
        <v>21.937499999999993</v>
      </c>
      <c r="AD24" s="341">
        <f t="shared" si="45"/>
        <v>21.937499999999993</v>
      </c>
      <c r="AE24" s="341">
        <f t="shared" si="45"/>
        <v>21.937499999999993</v>
      </c>
      <c r="AF24" s="341">
        <f t="shared" si="45"/>
        <v>22.990499999999994</v>
      </c>
      <c r="AG24" s="341">
        <f t="shared" si="45"/>
        <v>22.990499999999994</v>
      </c>
      <c r="AH24" s="341">
        <f t="shared" si="45"/>
        <v>22.990499999999994</v>
      </c>
      <c r="AI24" s="341">
        <f t="shared" si="45"/>
        <v>22.990499999999994</v>
      </c>
      <c r="AJ24" s="341">
        <f t="shared" si="45"/>
        <v>21.937499999999993</v>
      </c>
      <c r="AK24" s="341">
        <f t="shared" si="45"/>
        <v>21.937499999999993</v>
      </c>
      <c r="AL24" s="341">
        <f t="shared" si="45"/>
        <v>20.35799999999999</v>
      </c>
      <c r="AM24" s="387">
        <f t="shared" si="45"/>
        <v>263.25</v>
      </c>
      <c r="AN24" s="341">
        <f t="shared" si="45"/>
        <v>29.492999999999981</v>
      </c>
      <c r="AO24" s="341">
        <f t="shared" si="45"/>
        <v>30.255749999999981</v>
      </c>
      <c r="AP24" s="341">
        <f t="shared" si="45"/>
        <v>31.781249999999986</v>
      </c>
      <c r="AQ24" s="341">
        <f t="shared" si="45"/>
        <v>31.781249999999986</v>
      </c>
      <c r="AR24" s="341">
        <f t="shared" si="46"/>
        <v>31.781249999999986</v>
      </c>
      <c r="AS24" s="341">
        <f t="shared" si="46"/>
        <v>33.30674999999998</v>
      </c>
      <c r="AT24" s="341">
        <f t="shared" si="46"/>
        <v>33.30674999999998</v>
      </c>
      <c r="AU24" s="341">
        <f t="shared" si="46"/>
        <v>33.30674999999998</v>
      </c>
      <c r="AV24" s="341">
        <f t="shared" si="46"/>
        <v>33.30674999999998</v>
      </c>
      <c r="AW24" s="341">
        <f t="shared" si="46"/>
        <v>31.781249999999986</v>
      </c>
      <c r="AX24" s="341">
        <f t="shared" si="46"/>
        <v>31.781249999999986</v>
      </c>
      <c r="AY24" s="341">
        <f t="shared" si="46"/>
        <v>29.492999999999981</v>
      </c>
      <c r="AZ24" s="387">
        <f t="shared" si="46"/>
        <v>381.37499999999994</v>
      </c>
      <c r="BA24" s="341">
        <f t="shared" si="46"/>
        <v>38.627999999999979</v>
      </c>
      <c r="BB24" s="341">
        <f t="shared" si="46"/>
        <v>39.626999999999981</v>
      </c>
      <c r="BC24" s="341">
        <f t="shared" si="46"/>
        <v>41.624999999999986</v>
      </c>
      <c r="BD24" s="341">
        <f t="shared" si="46"/>
        <v>41.624999999999986</v>
      </c>
      <c r="BE24" s="341">
        <f t="shared" si="46"/>
        <v>41.624999999999986</v>
      </c>
      <c r="BF24" s="341">
        <f t="shared" si="46"/>
        <v>43.622999999999983</v>
      </c>
      <c r="BG24" s="341">
        <f t="shared" si="46"/>
        <v>43.622999999999983</v>
      </c>
      <c r="BH24" s="341">
        <f t="shared" si="46"/>
        <v>43.622999999999983</v>
      </c>
      <c r="BI24" s="341">
        <f t="shared" si="46"/>
        <v>43.622999999999983</v>
      </c>
      <c r="BJ24" s="341">
        <f t="shared" si="46"/>
        <v>41.624999999999986</v>
      </c>
      <c r="BK24" s="341">
        <f t="shared" si="46"/>
        <v>41.624999999999986</v>
      </c>
      <c r="BL24" s="341">
        <f t="shared" si="46"/>
        <v>38.627999999999979</v>
      </c>
      <c r="BM24" s="387">
        <f t="shared" si="46"/>
        <v>499.5</v>
      </c>
      <c r="BN24" s="341">
        <f t="shared" si="46"/>
        <v>47.762999999999977</v>
      </c>
      <c r="BO24" s="341">
        <f t="shared" si="46"/>
        <v>48.99824999999997</v>
      </c>
      <c r="BP24" s="341">
        <f t="shared" si="46"/>
        <v>51.468749999999979</v>
      </c>
      <c r="BQ24" s="341">
        <f t="shared" si="46"/>
        <v>51.468749999999979</v>
      </c>
      <c r="BR24" s="341">
        <f t="shared" si="46"/>
        <v>51.468749999999979</v>
      </c>
      <c r="BS24" s="341">
        <f t="shared" si="46"/>
        <v>53.93924999999998</v>
      </c>
      <c r="BT24" s="341">
        <f t="shared" si="46"/>
        <v>53.93924999999998</v>
      </c>
      <c r="BU24" s="341">
        <f t="shared" si="46"/>
        <v>53.93924999999998</v>
      </c>
      <c r="BV24" s="341">
        <f t="shared" si="46"/>
        <v>53.93924999999998</v>
      </c>
      <c r="BW24" s="341">
        <f t="shared" si="46"/>
        <v>51.468749999999979</v>
      </c>
      <c r="BX24" s="341">
        <f t="shared" si="46"/>
        <v>51.468749999999979</v>
      </c>
      <c r="BY24" s="341">
        <f t="shared" si="46"/>
        <v>47.762999999999977</v>
      </c>
      <c r="BZ24" s="387">
        <f t="shared" si="46"/>
        <v>617.625</v>
      </c>
    </row>
    <row r="25" spans="1:78" s="292" customFormat="1">
      <c r="A25" s="286" t="s">
        <v>399</v>
      </c>
      <c r="B25" s="287"/>
      <c r="C25" s="287" t="s">
        <v>400</v>
      </c>
      <c r="D25" s="287" t="s">
        <v>279</v>
      </c>
      <c r="E25" s="287" t="s">
        <v>509</v>
      </c>
      <c r="F25" s="287"/>
      <c r="G25" s="287"/>
      <c r="H25" s="293"/>
      <c r="I25" s="287"/>
      <c r="J25" s="288">
        <f t="shared" si="38"/>
        <v>18192.599999999999</v>
      </c>
      <c r="K25" s="288" t="s">
        <v>402</v>
      </c>
      <c r="L25" s="376">
        <v>0.3</v>
      </c>
      <c r="M25" s="381"/>
      <c r="N25" s="341">
        <f t="shared" si="47"/>
        <v>11.502000000000001</v>
      </c>
      <c r="O25" s="341">
        <f t="shared" si="47"/>
        <v>28.755000000000003</v>
      </c>
      <c r="P25" s="341">
        <f t="shared" si="47"/>
        <v>28.755000000000003</v>
      </c>
      <c r="Q25" s="341">
        <f t="shared" si="47"/>
        <v>57.510000000000005</v>
      </c>
      <c r="R25" s="341">
        <f t="shared" si="47"/>
        <v>86.265000000000001</v>
      </c>
      <c r="S25" s="341">
        <f t="shared" si="47"/>
        <v>57.510000000000005</v>
      </c>
      <c r="T25" s="341">
        <f t="shared" si="47"/>
        <v>50.8005</v>
      </c>
      <c r="U25" s="341">
        <f t="shared" si="47"/>
        <v>50.8005</v>
      </c>
      <c r="V25" s="341">
        <f t="shared" si="47"/>
        <v>50.8005</v>
      </c>
      <c r="W25" s="341">
        <f t="shared" si="47"/>
        <v>50.8005</v>
      </c>
      <c r="X25" s="341">
        <f t="shared" si="47"/>
        <v>50.8005</v>
      </c>
      <c r="Y25" s="341">
        <f t="shared" si="47"/>
        <v>50.8005</v>
      </c>
      <c r="Z25" s="387">
        <f t="shared" si="45"/>
        <v>575.1</v>
      </c>
      <c r="AA25" s="341">
        <f t="shared" si="47"/>
        <v>203.5799999999999</v>
      </c>
      <c r="AB25" s="341">
        <f t="shared" si="45"/>
        <v>208.84499999999989</v>
      </c>
      <c r="AC25" s="341">
        <f t="shared" si="45"/>
        <v>219.37499999999991</v>
      </c>
      <c r="AD25" s="341">
        <f t="shared" si="45"/>
        <v>219.37499999999991</v>
      </c>
      <c r="AE25" s="341">
        <f t="shared" si="45"/>
        <v>219.37499999999991</v>
      </c>
      <c r="AF25" s="341">
        <f t="shared" si="45"/>
        <v>229.90499999999994</v>
      </c>
      <c r="AG25" s="341">
        <f t="shared" si="45"/>
        <v>229.90499999999994</v>
      </c>
      <c r="AH25" s="341">
        <f t="shared" si="45"/>
        <v>229.90499999999994</v>
      </c>
      <c r="AI25" s="341">
        <f t="shared" si="45"/>
        <v>229.90499999999994</v>
      </c>
      <c r="AJ25" s="341">
        <f t="shared" si="45"/>
        <v>219.37499999999991</v>
      </c>
      <c r="AK25" s="341">
        <f t="shared" si="45"/>
        <v>219.37499999999991</v>
      </c>
      <c r="AL25" s="341">
        <f t="shared" si="45"/>
        <v>203.5799999999999</v>
      </c>
      <c r="AM25" s="387">
        <f t="shared" si="45"/>
        <v>2632.5</v>
      </c>
      <c r="AN25" s="341">
        <f t="shared" si="45"/>
        <v>294.92999999999978</v>
      </c>
      <c r="AO25" s="341">
        <f t="shared" si="45"/>
        <v>302.55749999999983</v>
      </c>
      <c r="AP25" s="341">
        <f t="shared" si="45"/>
        <v>317.81249999999983</v>
      </c>
      <c r="AQ25" s="341">
        <f t="shared" si="45"/>
        <v>317.81249999999983</v>
      </c>
      <c r="AR25" s="341">
        <f t="shared" si="46"/>
        <v>317.81249999999983</v>
      </c>
      <c r="AS25" s="341">
        <f t="shared" si="46"/>
        <v>333.06749999999982</v>
      </c>
      <c r="AT25" s="341">
        <f t="shared" si="46"/>
        <v>333.06749999999982</v>
      </c>
      <c r="AU25" s="341">
        <f t="shared" si="46"/>
        <v>333.06749999999982</v>
      </c>
      <c r="AV25" s="341">
        <f t="shared" si="46"/>
        <v>333.06749999999982</v>
      </c>
      <c r="AW25" s="341">
        <f t="shared" si="46"/>
        <v>317.81249999999983</v>
      </c>
      <c r="AX25" s="341">
        <f t="shared" si="46"/>
        <v>317.81249999999983</v>
      </c>
      <c r="AY25" s="341">
        <f t="shared" si="46"/>
        <v>294.92999999999978</v>
      </c>
      <c r="AZ25" s="387">
        <f t="shared" si="46"/>
        <v>3813.7499999999991</v>
      </c>
      <c r="BA25" s="341">
        <f t="shared" si="46"/>
        <v>386.2799999999998</v>
      </c>
      <c r="BB25" s="341">
        <f t="shared" si="46"/>
        <v>396.26999999999981</v>
      </c>
      <c r="BC25" s="341">
        <f t="shared" si="46"/>
        <v>416.24999999999983</v>
      </c>
      <c r="BD25" s="341">
        <f t="shared" si="46"/>
        <v>416.24999999999983</v>
      </c>
      <c r="BE25" s="341">
        <f t="shared" si="46"/>
        <v>416.24999999999983</v>
      </c>
      <c r="BF25" s="341">
        <f t="shared" si="46"/>
        <v>436.22999999999985</v>
      </c>
      <c r="BG25" s="341">
        <f t="shared" si="46"/>
        <v>436.22999999999985</v>
      </c>
      <c r="BH25" s="341">
        <f t="shared" si="46"/>
        <v>436.22999999999985</v>
      </c>
      <c r="BI25" s="341">
        <f t="shared" si="46"/>
        <v>436.22999999999985</v>
      </c>
      <c r="BJ25" s="341">
        <f t="shared" si="46"/>
        <v>416.24999999999983</v>
      </c>
      <c r="BK25" s="341">
        <f t="shared" si="46"/>
        <v>416.24999999999983</v>
      </c>
      <c r="BL25" s="341">
        <f t="shared" si="46"/>
        <v>386.2799999999998</v>
      </c>
      <c r="BM25" s="387">
        <f t="shared" si="46"/>
        <v>4995</v>
      </c>
      <c r="BN25" s="341">
        <f t="shared" si="46"/>
        <v>477.62999999999977</v>
      </c>
      <c r="BO25" s="341">
        <f t="shared" si="46"/>
        <v>489.98249999999973</v>
      </c>
      <c r="BP25" s="341">
        <f t="shared" si="46"/>
        <v>514.68749999999977</v>
      </c>
      <c r="BQ25" s="341">
        <f t="shared" si="46"/>
        <v>514.68749999999977</v>
      </c>
      <c r="BR25" s="341">
        <f t="shared" si="46"/>
        <v>514.68749999999977</v>
      </c>
      <c r="BS25" s="341">
        <f t="shared" si="46"/>
        <v>539.39249999999981</v>
      </c>
      <c r="BT25" s="341">
        <f t="shared" si="46"/>
        <v>539.39249999999981</v>
      </c>
      <c r="BU25" s="341">
        <f t="shared" si="46"/>
        <v>539.39249999999981</v>
      </c>
      <c r="BV25" s="341">
        <f t="shared" si="46"/>
        <v>539.39249999999981</v>
      </c>
      <c r="BW25" s="341">
        <f t="shared" si="46"/>
        <v>514.68749999999977</v>
      </c>
      <c r="BX25" s="341">
        <f t="shared" si="46"/>
        <v>514.68749999999977</v>
      </c>
      <c r="BY25" s="341">
        <f t="shared" si="46"/>
        <v>477.62999999999977</v>
      </c>
      <c r="BZ25" s="387">
        <f t="shared" si="46"/>
        <v>6176.25</v>
      </c>
    </row>
    <row r="26" spans="1:78" s="292" customFormat="1">
      <c r="A26" s="286" t="s">
        <v>399</v>
      </c>
      <c r="B26" s="287"/>
      <c r="C26" s="287" t="s">
        <v>400</v>
      </c>
      <c r="D26" s="287" t="s">
        <v>279</v>
      </c>
      <c r="E26" s="287" t="s">
        <v>429</v>
      </c>
      <c r="F26" s="287"/>
      <c r="G26" s="287"/>
      <c r="H26" s="293"/>
      <c r="I26" s="287"/>
      <c r="J26" s="288">
        <f t="shared" si="38"/>
        <v>5639.7059999999992</v>
      </c>
      <c r="K26" s="288" t="s">
        <v>402</v>
      </c>
      <c r="L26" s="376">
        <f>31%*L25</f>
        <v>9.2999999999999999E-2</v>
      </c>
      <c r="M26" s="381"/>
      <c r="N26" s="341">
        <f t="shared" si="47"/>
        <v>3.5656200000000005</v>
      </c>
      <c r="O26" s="341">
        <f t="shared" si="47"/>
        <v>8.9140500000000014</v>
      </c>
      <c r="P26" s="341">
        <f t="shared" si="47"/>
        <v>8.9140500000000014</v>
      </c>
      <c r="Q26" s="341">
        <f t="shared" si="47"/>
        <v>17.828100000000003</v>
      </c>
      <c r="R26" s="341">
        <f t="shared" si="47"/>
        <v>26.742150000000002</v>
      </c>
      <c r="S26" s="341">
        <f t="shared" si="47"/>
        <v>17.828100000000003</v>
      </c>
      <c r="T26" s="341">
        <f t="shared" si="47"/>
        <v>15.748155000000001</v>
      </c>
      <c r="U26" s="341">
        <f t="shared" si="47"/>
        <v>15.748155000000001</v>
      </c>
      <c r="V26" s="341">
        <f t="shared" si="47"/>
        <v>15.748155000000001</v>
      </c>
      <c r="W26" s="341">
        <f t="shared" si="47"/>
        <v>15.748155000000001</v>
      </c>
      <c r="X26" s="341">
        <f t="shared" si="47"/>
        <v>15.748155000000001</v>
      </c>
      <c r="Y26" s="341">
        <f t="shared" si="47"/>
        <v>15.748155000000001</v>
      </c>
      <c r="Z26" s="387">
        <f t="shared" si="45"/>
        <v>178.28100000000001</v>
      </c>
      <c r="AA26" s="341">
        <f t="shared" si="47"/>
        <v>63.109799999999971</v>
      </c>
      <c r="AB26" s="341">
        <f t="shared" si="45"/>
        <v>64.74194999999996</v>
      </c>
      <c r="AC26" s="341">
        <f t="shared" si="45"/>
        <v>68.00624999999998</v>
      </c>
      <c r="AD26" s="341">
        <f t="shared" si="45"/>
        <v>68.00624999999998</v>
      </c>
      <c r="AE26" s="341">
        <f t="shared" si="45"/>
        <v>68.00624999999998</v>
      </c>
      <c r="AF26" s="341">
        <f t="shared" si="45"/>
        <v>71.270549999999986</v>
      </c>
      <c r="AG26" s="341">
        <f t="shared" si="45"/>
        <v>71.270549999999986</v>
      </c>
      <c r="AH26" s="341">
        <f t="shared" si="45"/>
        <v>71.270549999999986</v>
      </c>
      <c r="AI26" s="341">
        <f t="shared" si="45"/>
        <v>71.270549999999986</v>
      </c>
      <c r="AJ26" s="341">
        <f t="shared" si="45"/>
        <v>68.00624999999998</v>
      </c>
      <c r="AK26" s="341">
        <f t="shared" si="45"/>
        <v>68.00624999999998</v>
      </c>
      <c r="AL26" s="341">
        <f t="shared" si="45"/>
        <v>63.109799999999971</v>
      </c>
      <c r="AM26" s="387">
        <f t="shared" si="45"/>
        <v>816.07500000000005</v>
      </c>
      <c r="AN26" s="341">
        <f t="shared" si="45"/>
        <v>91.428299999999936</v>
      </c>
      <c r="AO26" s="341">
        <f t="shared" si="45"/>
        <v>93.792824999999951</v>
      </c>
      <c r="AP26" s="341">
        <f t="shared" si="45"/>
        <v>98.521874999999952</v>
      </c>
      <c r="AQ26" s="341">
        <f t="shared" si="45"/>
        <v>98.521874999999952</v>
      </c>
      <c r="AR26" s="341">
        <f t="shared" si="46"/>
        <v>98.521874999999952</v>
      </c>
      <c r="AS26" s="341">
        <f t="shared" si="46"/>
        <v>103.25092499999995</v>
      </c>
      <c r="AT26" s="341">
        <f t="shared" si="46"/>
        <v>103.25092499999995</v>
      </c>
      <c r="AU26" s="341">
        <f t="shared" si="46"/>
        <v>103.25092499999995</v>
      </c>
      <c r="AV26" s="341">
        <f t="shared" si="46"/>
        <v>103.25092499999995</v>
      </c>
      <c r="AW26" s="341">
        <f t="shared" si="46"/>
        <v>98.521874999999952</v>
      </c>
      <c r="AX26" s="341">
        <f t="shared" si="46"/>
        <v>98.521874999999952</v>
      </c>
      <c r="AY26" s="341">
        <f t="shared" si="46"/>
        <v>91.428299999999936</v>
      </c>
      <c r="AZ26" s="387">
        <f t="shared" si="46"/>
        <v>1182.2624999999998</v>
      </c>
      <c r="BA26" s="341">
        <f t="shared" si="46"/>
        <v>119.74679999999995</v>
      </c>
      <c r="BB26" s="341">
        <f t="shared" ref="AN26:BZ32" si="48">$L26*BB$18</f>
        <v>122.84369999999994</v>
      </c>
      <c r="BC26" s="341">
        <f t="shared" si="48"/>
        <v>129.03749999999997</v>
      </c>
      <c r="BD26" s="341">
        <f t="shared" si="48"/>
        <v>129.03749999999997</v>
      </c>
      <c r="BE26" s="341">
        <f t="shared" si="48"/>
        <v>129.03749999999997</v>
      </c>
      <c r="BF26" s="341">
        <f t="shared" si="48"/>
        <v>135.23129999999995</v>
      </c>
      <c r="BG26" s="341">
        <f t="shared" si="48"/>
        <v>135.23129999999995</v>
      </c>
      <c r="BH26" s="341">
        <f t="shared" si="48"/>
        <v>135.23129999999995</v>
      </c>
      <c r="BI26" s="341">
        <f t="shared" si="48"/>
        <v>135.23129999999995</v>
      </c>
      <c r="BJ26" s="341">
        <f t="shared" si="48"/>
        <v>129.03749999999997</v>
      </c>
      <c r="BK26" s="341">
        <f t="shared" si="48"/>
        <v>129.03749999999997</v>
      </c>
      <c r="BL26" s="341">
        <f t="shared" si="48"/>
        <v>119.74679999999995</v>
      </c>
      <c r="BM26" s="387">
        <f t="shared" si="48"/>
        <v>1548.45</v>
      </c>
      <c r="BN26" s="341">
        <f t="shared" si="48"/>
        <v>148.06529999999992</v>
      </c>
      <c r="BO26" s="341">
        <f t="shared" si="48"/>
        <v>151.89457499999992</v>
      </c>
      <c r="BP26" s="341">
        <f t="shared" si="48"/>
        <v>159.55312499999994</v>
      </c>
      <c r="BQ26" s="341">
        <f t="shared" si="48"/>
        <v>159.55312499999994</v>
      </c>
      <c r="BR26" s="341">
        <f t="shared" si="48"/>
        <v>159.55312499999994</v>
      </c>
      <c r="BS26" s="341">
        <f t="shared" si="48"/>
        <v>167.21167499999996</v>
      </c>
      <c r="BT26" s="341">
        <f t="shared" si="48"/>
        <v>167.21167499999996</v>
      </c>
      <c r="BU26" s="341">
        <f t="shared" si="48"/>
        <v>167.21167499999996</v>
      </c>
      <c r="BV26" s="341">
        <f t="shared" si="48"/>
        <v>167.21167499999996</v>
      </c>
      <c r="BW26" s="341">
        <f t="shared" si="48"/>
        <v>159.55312499999994</v>
      </c>
      <c r="BX26" s="341">
        <f t="shared" si="48"/>
        <v>159.55312499999994</v>
      </c>
      <c r="BY26" s="341">
        <f t="shared" si="48"/>
        <v>148.06529999999992</v>
      </c>
      <c r="BZ26" s="387">
        <f t="shared" si="48"/>
        <v>1914.6375</v>
      </c>
    </row>
    <row r="27" spans="1:78" s="292" customFormat="1">
      <c r="A27" s="286" t="s">
        <v>399</v>
      </c>
      <c r="B27" s="287"/>
      <c r="C27" s="287" t="s">
        <v>400</v>
      </c>
      <c r="D27" s="287" t="s">
        <v>279</v>
      </c>
      <c r="E27" s="287" t="s">
        <v>440</v>
      </c>
      <c r="F27" s="287"/>
      <c r="G27" s="287"/>
      <c r="H27" s="294"/>
      <c r="I27" s="287"/>
      <c r="J27" s="288">
        <f t="shared" si="38"/>
        <v>727.70399999999995</v>
      </c>
      <c r="K27" s="288" t="s">
        <v>402</v>
      </c>
      <c r="L27" s="376">
        <v>1.2E-2</v>
      </c>
      <c r="M27" s="381"/>
      <c r="N27" s="341">
        <f t="shared" si="47"/>
        <v>0.46008000000000004</v>
      </c>
      <c r="O27" s="341">
        <f t="shared" si="47"/>
        <v>1.1502000000000001</v>
      </c>
      <c r="P27" s="341">
        <f t="shared" si="47"/>
        <v>1.1502000000000001</v>
      </c>
      <c r="Q27" s="341">
        <f t="shared" si="47"/>
        <v>2.3004000000000002</v>
      </c>
      <c r="R27" s="341">
        <f t="shared" si="47"/>
        <v>3.4506000000000001</v>
      </c>
      <c r="S27" s="341">
        <f t="shared" si="47"/>
        <v>2.3004000000000002</v>
      </c>
      <c r="T27" s="341">
        <f t="shared" si="47"/>
        <v>2.0320200000000002</v>
      </c>
      <c r="U27" s="341">
        <f t="shared" si="47"/>
        <v>2.0320200000000002</v>
      </c>
      <c r="V27" s="341">
        <f t="shared" si="47"/>
        <v>2.0320200000000002</v>
      </c>
      <c r="W27" s="341">
        <f t="shared" si="47"/>
        <v>2.0320200000000002</v>
      </c>
      <c r="X27" s="341">
        <f t="shared" si="47"/>
        <v>2.0320200000000002</v>
      </c>
      <c r="Y27" s="341">
        <f t="shared" si="47"/>
        <v>2.0320200000000002</v>
      </c>
      <c r="Z27" s="387">
        <f t="shared" si="45"/>
        <v>23.004000000000001</v>
      </c>
      <c r="AA27" s="341">
        <f t="shared" si="47"/>
        <v>8.1431999999999967</v>
      </c>
      <c r="AB27" s="341">
        <f t="shared" si="45"/>
        <v>8.3537999999999961</v>
      </c>
      <c r="AC27" s="341">
        <f t="shared" si="45"/>
        <v>8.7749999999999968</v>
      </c>
      <c r="AD27" s="341">
        <f t="shared" si="45"/>
        <v>8.7749999999999968</v>
      </c>
      <c r="AE27" s="341">
        <f t="shared" si="45"/>
        <v>8.7749999999999968</v>
      </c>
      <c r="AF27" s="341">
        <f t="shared" si="45"/>
        <v>9.1961999999999975</v>
      </c>
      <c r="AG27" s="341">
        <f t="shared" si="45"/>
        <v>9.1961999999999975</v>
      </c>
      <c r="AH27" s="341">
        <f t="shared" si="45"/>
        <v>9.1961999999999975</v>
      </c>
      <c r="AI27" s="341">
        <f t="shared" si="45"/>
        <v>9.1961999999999975</v>
      </c>
      <c r="AJ27" s="341">
        <f t="shared" si="45"/>
        <v>8.7749999999999968</v>
      </c>
      <c r="AK27" s="341">
        <f t="shared" si="45"/>
        <v>8.7749999999999968</v>
      </c>
      <c r="AL27" s="341">
        <f t="shared" si="45"/>
        <v>8.1431999999999967</v>
      </c>
      <c r="AM27" s="387">
        <f t="shared" si="45"/>
        <v>105.3</v>
      </c>
      <c r="AN27" s="341">
        <f t="shared" si="48"/>
        <v>11.797199999999993</v>
      </c>
      <c r="AO27" s="341">
        <f t="shared" si="48"/>
        <v>12.102299999999993</v>
      </c>
      <c r="AP27" s="341">
        <f t="shared" si="48"/>
        <v>12.712499999999995</v>
      </c>
      <c r="AQ27" s="341">
        <f t="shared" si="48"/>
        <v>12.712499999999995</v>
      </c>
      <c r="AR27" s="341">
        <f t="shared" si="48"/>
        <v>12.712499999999995</v>
      </c>
      <c r="AS27" s="341">
        <f t="shared" si="48"/>
        <v>13.322699999999994</v>
      </c>
      <c r="AT27" s="341">
        <f t="shared" si="48"/>
        <v>13.322699999999994</v>
      </c>
      <c r="AU27" s="341">
        <f t="shared" si="48"/>
        <v>13.322699999999994</v>
      </c>
      <c r="AV27" s="341">
        <f t="shared" si="48"/>
        <v>13.322699999999994</v>
      </c>
      <c r="AW27" s="341">
        <f t="shared" si="48"/>
        <v>12.712499999999995</v>
      </c>
      <c r="AX27" s="341">
        <f t="shared" si="48"/>
        <v>12.712499999999995</v>
      </c>
      <c r="AY27" s="341">
        <f t="shared" si="48"/>
        <v>11.797199999999993</v>
      </c>
      <c r="AZ27" s="387">
        <f t="shared" si="48"/>
        <v>152.54999999999998</v>
      </c>
      <c r="BA27" s="341">
        <f t="shared" si="48"/>
        <v>15.451199999999993</v>
      </c>
      <c r="BB27" s="341">
        <f t="shared" si="48"/>
        <v>15.850799999999992</v>
      </c>
      <c r="BC27" s="341">
        <f t="shared" si="48"/>
        <v>16.649999999999995</v>
      </c>
      <c r="BD27" s="341">
        <f t="shared" si="48"/>
        <v>16.649999999999995</v>
      </c>
      <c r="BE27" s="341">
        <f t="shared" si="48"/>
        <v>16.649999999999995</v>
      </c>
      <c r="BF27" s="341">
        <f t="shared" si="48"/>
        <v>17.449199999999994</v>
      </c>
      <c r="BG27" s="341">
        <f t="shared" si="48"/>
        <v>17.449199999999994</v>
      </c>
      <c r="BH27" s="341">
        <f t="shared" si="48"/>
        <v>17.449199999999994</v>
      </c>
      <c r="BI27" s="341">
        <f t="shared" si="48"/>
        <v>17.449199999999994</v>
      </c>
      <c r="BJ27" s="341">
        <f t="shared" si="48"/>
        <v>16.649999999999995</v>
      </c>
      <c r="BK27" s="341">
        <f t="shared" si="48"/>
        <v>16.649999999999995</v>
      </c>
      <c r="BL27" s="341">
        <f t="shared" si="48"/>
        <v>15.451199999999993</v>
      </c>
      <c r="BM27" s="387">
        <f t="shared" si="48"/>
        <v>199.8</v>
      </c>
      <c r="BN27" s="341">
        <f t="shared" si="48"/>
        <v>19.105199999999993</v>
      </c>
      <c r="BO27" s="341">
        <f t="shared" si="48"/>
        <v>19.599299999999989</v>
      </c>
      <c r="BP27" s="341">
        <f t="shared" si="48"/>
        <v>20.587499999999991</v>
      </c>
      <c r="BQ27" s="341">
        <f t="shared" si="48"/>
        <v>20.587499999999991</v>
      </c>
      <c r="BR27" s="341">
        <f t="shared" si="48"/>
        <v>20.587499999999991</v>
      </c>
      <c r="BS27" s="341">
        <f t="shared" si="48"/>
        <v>21.575699999999994</v>
      </c>
      <c r="BT27" s="341">
        <f t="shared" si="48"/>
        <v>21.575699999999994</v>
      </c>
      <c r="BU27" s="341">
        <f t="shared" si="48"/>
        <v>21.575699999999994</v>
      </c>
      <c r="BV27" s="341">
        <f t="shared" si="48"/>
        <v>21.575699999999994</v>
      </c>
      <c r="BW27" s="341">
        <f t="shared" si="48"/>
        <v>20.587499999999991</v>
      </c>
      <c r="BX27" s="341">
        <f t="shared" si="48"/>
        <v>20.587499999999991</v>
      </c>
      <c r="BY27" s="341">
        <f t="shared" si="48"/>
        <v>19.105199999999993</v>
      </c>
      <c r="BZ27" s="387">
        <f t="shared" si="48"/>
        <v>247.05</v>
      </c>
    </row>
    <row r="28" spans="1:78" s="292" customFormat="1">
      <c r="A28" s="286" t="s">
        <v>399</v>
      </c>
      <c r="B28" s="287"/>
      <c r="C28" s="287" t="s">
        <v>400</v>
      </c>
      <c r="D28" s="287" t="s">
        <v>279</v>
      </c>
      <c r="E28" s="287" t="s">
        <v>441</v>
      </c>
      <c r="F28" s="287"/>
      <c r="G28" s="287"/>
      <c r="H28" s="294"/>
      <c r="I28" s="287"/>
      <c r="J28" s="288">
        <f t="shared" si="38"/>
        <v>727.70399999999995</v>
      </c>
      <c r="K28" s="288" t="s">
        <v>402</v>
      </c>
      <c r="L28" s="376">
        <v>1.2E-2</v>
      </c>
      <c r="M28" s="381"/>
      <c r="N28" s="341">
        <f t="shared" si="47"/>
        <v>0.46008000000000004</v>
      </c>
      <c r="O28" s="341">
        <f t="shared" si="47"/>
        <v>1.1502000000000001</v>
      </c>
      <c r="P28" s="341">
        <f t="shared" si="47"/>
        <v>1.1502000000000001</v>
      </c>
      <c r="Q28" s="341">
        <f t="shared" si="47"/>
        <v>2.3004000000000002</v>
      </c>
      <c r="R28" s="341">
        <f t="shared" si="47"/>
        <v>3.4506000000000001</v>
      </c>
      <c r="S28" s="341">
        <f t="shared" si="47"/>
        <v>2.3004000000000002</v>
      </c>
      <c r="T28" s="341">
        <f t="shared" si="47"/>
        <v>2.0320200000000002</v>
      </c>
      <c r="U28" s="341">
        <f t="shared" si="47"/>
        <v>2.0320200000000002</v>
      </c>
      <c r="V28" s="341">
        <f t="shared" si="47"/>
        <v>2.0320200000000002</v>
      </c>
      <c r="W28" s="341">
        <f t="shared" si="47"/>
        <v>2.0320200000000002</v>
      </c>
      <c r="X28" s="341">
        <f t="shared" si="47"/>
        <v>2.0320200000000002</v>
      </c>
      <c r="Y28" s="341">
        <f t="shared" si="47"/>
        <v>2.0320200000000002</v>
      </c>
      <c r="Z28" s="387">
        <f t="shared" si="45"/>
        <v>23.004000000000001</v>
      </c>
      <c r="AA28" s="341">
        <f t="shared" si="47"/>
        <v>8.1431999999999967</v>
      </c>
      <c r="AB28" s="341">
        <f t="shared" si="45"/>
        <v>8.3537999999999961</v>
      </c>
      <c r="AC28" s="341">
        <f t="shared" si="45"/>
        <v>8.7749999999999968</v>
      </c>
      <c r="AD28" s="341">
        <f t="shared" si="45"/>
        <v>8.7749999999999968</v>
      </c>
      <c r="AE28" s="341">
        <f t="shared" si="45"/>
        <v>8.7749999999999968</v>
      </c>
      <c r="AF28" s="341">
        <f t="shared" si="45"/>
        <v>9.1961999999999975</v>
      </c>
      <c r="AG28" s="341">
        <f t="shared" si="45"/>
        <v>9.1961999999999975</v>
      </c>
      <c r="AH28" s="341">
        <f t="shared" si="45"/>
        <v>9.1961999999999975</v>
      </c>
      <c r="AI28" s="341">
        <f t="shared" si="45"/>
        <v>9.1961999999999975</v>
      </c>
      <c r="AJ28" s="341">
        <f t="shared" si="45"/>
        <v>8.7749999999999968</v>
      </c>
      <c r="AK28" s="341">
        <f t="shared" si="45"/>
        <v>8.7749999999999968</v>
      </c>
      <c r="AL28" s="341">
        <f t="shared" si="45"/>
        <v>8.1431999999999967</v>
      </c>
      <c r="AM28" s="387">
        <f t="shared" si="45"/>
        <v>105.3</v>
      </c>
      <c r="AN28" s="341">
        <f t="shared" si="48"/>
        <v>11.797199999999993</v>
      </c>
      <c r="AO28" s="341">
        <f t="shared" si="48"/>
        <v>12.102299999999993</v>
      </c>
      <c r="AP28" s="341">
        <f t="shared" si="48"/>
        <v>12.712499999999995</v>
      </c>
      <c r="AQ28" s="341">
        <f t="shared" si="48"/>
        <v>12.712499999999995</v>
      </c>
      <c r="AR28" s="341">
        <f t="shared" si="48"/>
        <v>12.712499999999995</v>
      </c>
      <c r="AS28" s="341">
        <f t="shared" si="48"/>
        <v>13.322699999999994</v>
      </c>
      <c r="AT28" s="341">
        <f t="shared" si="48"/>
        <v>13.322699999999994</v>
      </c>
      <c r="AU28" s="341">
        <f t="shared" si="48"/>
        <v>13.322699999999994</v>
      </c>
      <c r="AV28" s="341">
        <f t="shared" si="48"/>
        <v>13.322699999999994</v>
      </c>
      <c r="AW28" s="341">
        <f t="shared" si="48"/>
        <v>12.712499999999995</v>
      </c>
      <c r="AX28" s="341">
        <f t="shared" si="48"/>
        <v>12.712499999999995</v>
      </c>
      <c r="AY28" s="341">
        <f t="shared" si="48"/>
        <v>11.797199999999993</v>
      </c>
      <c r="AZ28" s="387">
        <f t="shared" si="48"/>
        <v>152.54999999999998</v>
      </c>
      <c r="BA28" s="341">
        <f t="shared" si="48"/>
        <v>15.451199999999993</v>
      </c>
      <c r="BB28" s="341">
        <f t="shared" si="48"/>
        <v>15.850799999999992</v>
      </c>
      <c r="BC28" s="341">
        <f t="shared" si="48"/>
        <v>16.649999999999995</v>
      </c>
      <c r="BD28" s="341">
        <f t="shared" si="48"/>
        <v>16.649999999999995</v>
      </c>
      <c r="BE28" s="341">
        <f t="shared" si="48"/>
        <v>16.649999999999995</v>
      </c>
      <c r="BF28" s="341">
        <f t="shared" si="48"/>
        <v>17.449199999999994</v>
      </c>
      <c r="BG28" s="341">
        <f t="shared" si="48"/>
        <v>17.449199999999994</v>
      </c>
      <c r="BH28" s="341">
        <f t="shared" si="48"/>
        <v>17.449199999999994</v>
      </c>
      <c r="BI28" s="341">
        <f t="shared" si="48"/>
        <v>17.449199999999994</v>
      </c>
      <c r="BJ28" s="341">
        <f t="shared" si="48"/>
        <v>16.649999999999995</v>
      </c>
      <c r="BK28" s="341">
        <f t="shared" si="48"/>
        <v>16.649999999999995</v>
      </c>
      <c r="BL28" s="341">
        <f t="shared" si="48"/>
        <v>15.451199999999993</v>
      </c>
      <c r="BM28" s="387">
        <f t="shared" si="48"/>
        <v>199.8</v>
      </c>
      <c r="BN28" s="341">
        <f t="shared" si="48"/>
        <v>19.105199999999993</v>
      </c>
      <c r="BO28" s="341">
        <f t="shared" si="48"/>
        <v>19.599299999999989</v>
      </c>
      <c r="BP28" s="341">
        <f t="shared" si="48"/>
        <v>20.587499999999991</v>
      </c>
      <c r="BQ28" s="341">
        <f t="shared" si="48"/>
        <v>20.587499999999991</v>
      </c>
      <c r="BR28" s="341">
        <f t="shared" si="48"/>
        <v>20.587499999999991</v>
      </c>
      <c r="BS28" s="341">
        <f t="shared" si="48"/>
        <v>21.575699999999994</v>
      </c>
      <c r="BT28" s="341">
        <f t="shared" si="48"/>
        <v>21.575699999999994</v>
      </c>
      <c r="BU28" s="341">
        <f t="shared" si="48"/>
        <v>21.575699999999994</v>
      </c>
      <c r="BV28" s="341">
        <f t="shared" si="48"/>
        <v>21.575699999999994</v>
      </c>
      <c r="BW28" s="341">
        <f t="shared" si="48"/>
        <v>20.587499999999991</v>
      </c>
      <c r="BX28" s="341">
        <f t="shared" si="48"/>
        <v>20.587499999999991</v>
      </c>
      <c r="BY28" s="341">
        <f t="shared" si="48"/>
        <v>19.105199999999993</v>
      </c>
      <c r="BZ28" s="387">
        <f t="shared" si="48"/>
        <v>247.05</v>
      </c>
    </row>
    <row r="29" spans="1:78" s="292" customFormat="1">
      <c r="A29" s="286" t="s">
        <v>399</v>
      </c>
      <c r="B29" s="287"/>
      <c r="C29" s="287" t="s">
        <v>400</v>
      </c>
      <c r="D29" s="287" t="s">
        <v>279</v>
      </c>
      <c r="E29" s="287" t="s">
        <v>442</v>
      </c>
      <c r="F29" s="287"/>
      <c r="G29" s="287"/>
      <c r="H29" s="294"/>
      <c r="I29" s="287"/>
      <c r="J29" s="288">
        <f t="shared" si="38"/>
        <v>727.70399999999995</v>
      </c>
      <c r="K29" s="288" t="s">
        <v>402</v>
      </c>
      <c r="L29" s="376">
        <v>1.2E-2</v>
      </c>
      <c r="M29" s="381"/>
      <c r="N29" s="341">
        <f t="shared" si="47"/>
        <v>0.46008000000000004</v>
      </c>
      <c r="O29" s="341">
        <f t="shared" si="47"/>
        <v>1.1502000000000001</v>
      </c>
      <c r="P29" s="341">
        <f t="shared" si="47"/>
        <v>1.1502000000000001</v>
      </c>
      <c r="Q29" s="341">
        <f t="shared" si="47"/>
        <v>2.3004000000000002</v>
      </c>
      <c r="R29" s="341">
        <f t="shared" si="47"/>
        <v>3.4506000000000001</v>
      </c>
      <c r="S29" s="341">
        <f t="shared" si="47"/>
        <v>2.3004000000000002</v>
      </c>
      <c r="T29" s="341">
        <f t="shared" si="47"/>
        <v>2.0320200000000002</v>
      </c>
      <c r="U29" s="341">
        <f t="shared" si="47"/>
        <v>2.0320200000000002</v>
      </c>
      <c r="V29" s="341">
        <f t="shared" si="47"/>
        <v>2.0320200000000002</v>
      </c>
      <c r="W29" s="341">
        <f t="shared" si="47"/>
        <v>2.0320200000000002</v>
      </c>
      <c r="X29" s="341">
        <f t="shared" si="47"/>
        <v>2.0320200000000002</v>
      </c>
      <c r="Y29" s="341">
        <f t="shared" si="47"/>
        <v>2.0320200000000002</v>
      </c>
      <c r="Z29" s="387">
        <f t="shared" si="45"/>
        <v>23.004000000000001</v>
      </c>
      <c r="AA29" s="341">
        <f t="shared" si="47"/>
        <v>8.1431999999999967</v>
      </c>
      <c r="AB29" s="341">
        <f t="shared" si="45"/>
        <v>8.3537999999999961</v>
      </c>
      <c r="AC29" s="341">
        <f t="shared" si="45"/>
        <v>8.7749999999999968</v>
      </c>
      <c r="AD29" s="341">
        <f t="shared" si="45"/>
        <v>8.7749999999999968</v>
      </c>
      <c r="AE29" s="341">
        <f t="shared" si="45"/>
        <v>8.7749999999999968</v>
      </c>
      <c r="AF29" s="341">
        <f t="shared" si="45"/>
        <v>9.1961999999999975</v>
      </c>
      <c r="AG29" s="341">
        <f t="shared" si="45"/>
        <v>9.1961999999999975</v>
      </c>
      <c r="AH29" s="341">
        <f t="shared" si="45"/>
        <v>9.1961999999999975</v>
      </c>
      <c r="AI29" s="341">
        <f t="shared" si="45"/>
        <v>9.1961999999999975</v>
      </c>
      <c r="AJ29" s="341">
        <f t="shared" si="45"/>
        <v>8.7749999999999968</v>
      </c>
      <c r="AK29" s="341">
        <f t="shared" si="45"/>
        <v>8.7749999999999968</v>
      </c>
      <c r="AL29" s="341">
        <f t="shared" si="45"/>
        <v>8.1431999999999967</v>
      </c>
      <c r="AM29" s="387">
        <f t="shared" si="45"/>
        <v>105.3</v>
      </c>
      <c r="AN29" s="341">
        <f t="shared" si="48"/>
        <v>11.797199999999993</v>
      </c>
      <c r="AO29" s="341">
        <f t="shared" si="48"/>
        <v>12.102299999999993</v>
      </c>
      <c r="AP29" s="341">
        <f t="shared" si="48"/>
        <v>12.712499999999995</v>
      </c>
      <c r="AQ29" s="341">
        <f t="shared" si="48"/>
        <v>12.712499999999995</v>
      </c>
      <c r="AR29" s="341">
        <f t="shared" si="48"/>
        <v>12.712499999999995</v>
      </c>
      <c r="AS29" s="341">
        <f t="shared" si="48"/>
        <v>13.322699999999994</v>
      </c>
      <c r="AT29" s="341">
        <f t="shared" si="48"/>
        <v>13.322699999999994</v>
      </c>
      <c r="AU29" s="341">
        <f t="shared" si="48"/>
        <v>13.322699999999994</v>
      </c>
      <c r="AV29" s="341">
        <f t="shared" si="48"/>
        <v>13.322699999999994</v>
      </c>
      <c r="AW29" s="341">
        <f t="shared" si="48"/>
        <v>12.712499999999995</v>
      </c>
      <c r="AX29" s="341">
        <f t="shared" si="48"/>
        <v>12.712499999999995</v>
      </c>
      <c r="AY29" s="341">
        <f t="shared" si="48"/>
        <v>11.797199999999993</v>
      </c>
      <c r="AZ29" s="387">
        <f t="shared" si="48"/>
        <v>152.54999999999998</v>
      </c>
      <c r="BA29" s="341">
        <f t="shared" si="48"/>
        <v>15.451199999999993</v>
      </c>
      <c r="BB29" s="341">
        <f t="shared" si="48"/>
        <v>15.850799999999992</v>
      </c>
      <c r="BC29" s="341">
        <f t="shared" si="48"/>
        <v>16.649999999999995</v>
      </c>
      <c r="BD29" s="341">
        <f t="shared" si="48"/>
        <v>16.649999999999995</v>
      </c>
      <c r="BE29" s="341">
        <f t="shared" si="48"/>
        <v>16.649999999999995</v>
      </c>
      <c r="BF29" s="341">
        <f t="shared" si="48"/>
        <v>17.449199999999994</v>
      </c>
      <c r="BG29" s="341">
        <f t="shared" si="48"/>
        <v>17.449199999999994</v>
      </c>
      <c r="BH29" s="341">
        <f t="shared" si="48"/>
        <v>17.449199999999994</v>
      </c>
      <c r="BI29" s="341">
        <f t="shared" si="48"/>
        <v>17.449199999999994</v>
      </c>
      <c r="BJ29" s="341">
        <f t="shared" si="48"/>
        <v>16.649999999999995</v>
      </c>
      <c r="BK29" s="341">
        <f t="shared" si="48"/>
        <v>16.649999999999995</v>
      </c>
      <c r="BL29" s="341">
        <f t="shared" si="48"/>
        <v>15.451199999999993</v>
      </c>
      <c r="BM29" s="387">
        <f t="shared" si="48"/>
        <v>199.8</v>
      </c>
      <c r="BN29" s="341">
        <f t="shared" si="48"/>
        <v>19.105199999999993</v>
      </c>
      <c r="BO29" s="341">
        <f t="shared" si="48"/>
        <v>19.599299999999989</v>
      </c>
      <c r="BP29" s="341">
        <f t="shared" si="48"/>
        <v>20.587499999999991</v>
      </c>
      <c r="BQ29" s="341">
        <f t="shared" si="48"/>
        <v>20.587499999999991</v>
      </c>
      <c r="BR29" s="341">
        <f t="shared" si="48"/>
        <v>20.587499999999991</v>
      </c>
      <c r="BS29" s="341">
        <f t="shared" si="48"/>
        <v>21.575699999999994</v>
      </c>
      <c r="BT29" s="341">
        <f t="shared" si="48"/>
        <v>21.575699999999994</v>
      </c>
      <c r="BU29" s="341">
        <f t="shared" si="48"/>
        <v>21.575699999999994</v>
      </c>
      <c r="BV29" s="341">
        <f t="shared" si="48"/>
        <v>21.575699999999994</v>
      </c>
      <c r="BW29" s="341">
        <f t="shared" si="48"/>
        <v>20.587499999999991</v>
      </c>
      <c r="BX29" s="341">
        <f t="shared" si="48"/>
        <v>20.587499999999991</v>
      </c>
      <c r="BY29" s="341">
        <f t="shared" si="48"/>
        <v>19.105199999999993</v>
      </c>
      <c r="BZ29" s="387">
        <f t="shared" si="48"/>
        <v>247.05</v>
      </c>
    </row>
    <row r="30" spans="1:78" s="292" customFormat="1">
      <c r="A30" s="286" t="s">
        <v>399</v>
      </c>
      <c r="B30" s="287"/>
      <c r="C30" s="287" t="s">
        <v>400</v>
      </c>
      <c r="D30" s="287" t="s">
        <v>279</v>
      </c>
      <c r="E30" s="287" t="s">
        <v>443</v>
      </c>
      <c r="F30" s="287"/>
      <c r="G30" s="287"/>
      <c r="H30" s="294"/>
      <c r="I30" s="287"/>
      <c r="J30" s="288">
        <f t="shared" si="38"/>
        <v>727.70399999999995</v>
      </c>
      <c r="K30" s="288" t="s">
        <v>402</v>
      </c>
      <c r="L30" s="376">
        <v>1.2E-2</v>
      </c>
      <c r="M30" s="381"/>
      <c r="N30" s="341">
        <f t="shared" si="47"/>
        <v>0.46008000000000004</v>
      </c>
      <c r="O30" s="341">
        <f t="shared" si="47"/>
        <v>1.1502000000000001</v>
      </c>
      <c r="P30" s="341">
        <f t="shared" si="47"/>
        <v>1.1502000000000001</v>
      </c>
      <c r="Q30" s="341">
        <f t="shared" si="47"/>
        <v>2.3004000000000002</v>
      </c>
      <c r="R30" s="341">
        <f t="shared" si="47"/>
        <v>3.4506000000000001</v>
      </c>
      <c r="S30" s="341">
        <f t="shared" si="47"/>
        <v>2.3004000000000002</v>
      </c>
      <c r="T30" s="341">
        <f t="shared" si="47"/>
        <v>2.0320200000000002</v>
      </c>
      <c r="U30" s="341">
        <f t="shared" si="47"/>
        <v>2.0320200000000002</v>
      </c>
      <c r="V30" s="341">
        <f t="shared" si="47"/>
        <v>2.0320200000000002</v>
      </c>
      <c r="W30" s="341">
        <f t="shared" si="47"/>
        <v>2.0320200000000002</v>
      </c>
      <c r="X30" s="341">
        <f t="shared" si="47"/>
        <v>2.0320200000000002</v>
      </c>
      <c r="Y30" s="341">
        <f t="shared" si="47"/>
        <v>2.0320200000000002</v>
      </c>
      <c r="Z30" s="387">
        <f t="shared" si="45"/>
        <v>23.004000000000001</v>
      </c>
      <c r="AA30" s="341">
        <f t="shared" si="47"/>
        <v>8.1431999999999967</v>
      </c>
      <c r="AB30" s="341">
        <f t="shared" si="45"/>
        <v>8.3537999999999961</v>
      </c>
      <c r="AC30" s="341">
        <f t="shared" si="45"/>
        <v>8.7749999999999968</v>
      </c>
      <c r="AD30" s="341">
        <f t="shared" si="45"/>
        <v>8.7749999999999968</v>
      </c>
      <c r="AE30" s="341">
        <f t="shared" si="45"/>
        <v>8.7749999999999968</v>
      </c>
      <c r="AF30" s="341">
        <f t="shared" si="45"/>
        <v>9.1961999999999975</v>
      </c>
      <c r="AG30" s="341">
        <f t="shared" si="45"/>
        <v>9.1961999999999975</v>
      </c>
      <c r="AH30" s="341">
        <f t="shared" si="45"/>
        <v>9.1961999999999975</v>
      </c>
      <c r="AI30" s="341">
        <f t="shared" si="45"/>
        <v>9.1961999999999975</v>
      </c>
      <c r="AJ30" s="341">
        <f t="shared" si="45"/>
        <v>8.7749999999999968</v>
      </c>
      <c r="AK30" s="341">
        <f t="shared" si="45"/>
        <v>8.7749999999999968</v>
      </c>
      <c r="AL30" s="341">
        <f t="shared" si="45"/>
        <v>8.1431999999999967</v>
      </c>
      <c r="AM30" s="387">
        <f t="shared" si="45"/>
        <v>105.3</v>
      </c>
      <c r="AN30" s="341">
        <f t="shared" si="48"/>
        <v>11.797199999999993</v>
      </c>
      <c r="AO30" s="341">
        <f t="shared" si="48"/>
        <v>12.102299999999993</v>
      </c>
      <c r="AP30" s="341">
        <f t="shared" si="48"/>
        <v>12.712499999999995</v>
      </c>
      <c r="AQ30" s="341">
        <f t="shared" si="48"/>
        <v>12.712499999999995</v>
      </c>
      <c r="AR30" s="341">
        <f t="shared" si="48"/>
        <v>12.712499999999995</v>
      </c>
      <c r="AS30" s="341">
        <f t="shared" si="48"/>
        <v>13.322699999999994</v>
      </c>
      <c r="AT30" s="341">
        <f t="shared" si="48"/>
        <v>13.322699999999994</v>
      </c>
      <c r="AU30" s="341">
        <f t="shared" si="48"/>
        <v>13.322699999999994</v>
      </c>
      <c r="AV30" s="341">
        <f t="shared" si="48"/>
        <v>13.322699999999994</v>
      </c>
      <c r="AW30" s="341">
        <f t="shared" si="48"/>
        <v>12.712499999999995</v>
      </c>
      <c r="AX30" s="341">
        <f t="shared" si="48"/>
        <v>12.712499999999995</v>
      </c>
      <c r="AY30" s="341">
        <f t="shared" si="48"/>
        <v>11.797199999999993</v>
      </c>
      <c r="AZ30" s="387">
        <f t="shared" si="48"/>
        <v>152.54999999999998</v>
      </c>
      <c r="BA30" s="341">
        <f t="shared" si="48"/>
        <v>15.451199999999993</v>
      </c>
      <c r="BB30" s="341">
        <f t="shared" si="48"/>
        <v>15.850799999999992</v>
      </c>
      <c r="BC30" s="341">
        <f t="shared" si="48"/>
        <v>16.649999999999995</v>
      </c>
      <c r="BD30" s="341">
        <f t="shared" si="48"/>
        <v>16.649999999999995</v>
      </c>
      <c r="BE30" s="341">
        <f t="shared" si="48"/>
        <v>16.649999999999995</v>
      </c>
      <c r="BF30" s="341">
        <f t="shared" si="48"/>
        <v>17.449199999999994</v>
      </c>
      <c r="BG30" s="341">
        <f t="shared" si="48"/>
        <v>17.449199999999994</v>
      </c>
      <c r="BH30" s="341">
        <f t="shared" si="48"/>
        <v>17.449199999999994</v>
      </c>
      <c r="BI30" s="341">
        <f t="shared" si="48"/>
        <v>17.449199999999994</v>
      </c>
      <c r="BJ30" s="341">
        <f t="shared" si="48"/>
        <v>16.649999999999995</v>
      </c>
      <c r="BK30" s="341">
        <f t="shared" si="48"/>
        <v>16.649999999999995</v>
      </c>
      <c r="BL30" s="341">
        <f t="shared" si="48"/>
        <v>15.451199999999993</v>
      </c>
      <c r="BM30" s="387">
        <f t="shared" si="48"/>
        <v>199.8</v>
      </c>
      <c r="BN30" s="341">
        <f t="shared" si="48"/>
        <v>19.105199999999993</v>
      </c>
      <c r="BO30" s="341">
        <f t="shared" si="48"/>
        <v>19.599299999999989</v>
      </c>
      <c r="BP30" s="341">
        <f t="shared" si="48"/>
        <v>20.587499999999991</v>
      </c>
      <c r="BQ30" s="341">
        <f t="shared" si="48"/>
        <v>20.587499999999991</v>
      </c>
      <c r="BR30" s="341">
        <f t="shared" si="48"/>
        <v>20.587499999999991</v>
      </c>
      <c r="BS30" s="341">
        <f t="shared" si="48"/>
        <v>21.575699999999994</v>
      </c>
      <c r="BT30" s="341">
        <f t="shared" si="48"/>
        <v>21.575699999999994</v>
      </c>
      <c r="BU30" s="341">
        <f t="shared" si="48"/>
        <v>21.575699999999994</v>
      </c>
      <c r="BV30" s="341">
        <f t="shared" si="48"/>
        <v>21.575699999999994</v>
      </c>
      <c r="BW30" s="341">
        <f t="shared" si="48"/>
        <v>20.587499999999991</v>
      </c>
      <c r="BX30" s="341">
        <f t="shared" si="48"/>
        <v>20.587499999999991</v>
      </c>
      <c r="BY30" s="341">
        <f t="shared" si="48"/>
        <v>19.105199999999993</v>
      </c>
      <c r="BZ30" s="387">
        <f t="shared" si="48"/>
        <v>247.05</v>
      </c>
    </row>
    <row r="31" spans="1:78" s="292" customFormat="1">
      <c r="A31" s="286" t="s">
        <v>399</v>
      </c>
      <c r="B31" s="287"/>
      <c r="C31" s="287" t="s">
        <v>400</v>
      </c>
      <c r="D31" s="287" t="s">
        <v>279</v>
      </c>
      <c r="E31" s="287" t="s">
        <v>444</v>
      </c>
      <c r="F31" s="287"/>
      <c r="G31" s="287"/>
      <c r="H31" s="294"/>
      <c r="I31" s="287"/>
      <c r="J31" s="288">
        <f t="shared" si="38"/>
        <v>727.70399999999995</v>
      </c>
      <c r="K31" s="288" t="s">
        <v>402</v>
      </c>
      <c r="L31" s="376">
        <v>1.2E-2</v>
      </c>
      <c r="M31" s="381"/>
      <c r="N31" s="341">
        <f t="shared" si="47"/>
        <v>0.46008000000000004</v>
      </c>
      <c r="O31" s="341">
        <f t="shared" si="47"/>
        <v>1.1502000000000001</v>
      </c>
      <c r="P31" s="341">
        <f t="shared" si="47"/>
        <v>1.1502000000000001</v>
      </c>
      <c r="Q31" s="341">
        <f t="shared" si="47"/>
        <v>2.3004000000000002</v>
      </c>
      <c r="R31" s="341">
        <f t="shared" si="47"/>
        <v>3.4506000000000001</v>
      </c>
      <c r="S31" s="341">
        <f t="shared" si="47"/>
        <v>2.3004000000000002</v>
      </c>
      <c r="T31" s="341">
        <f t="shared" si="47"/>
        <v>2.0320200000000002</v>
      </c>
      <c r="U31" s="341">
        <f t="shared" si="47"/>
        <v>2.0320200000000002</v>
      </c>
      <c r="V31" s="341">
        <f t="shared" si="47"/>
        <v>2.0320200000000002</v>
      </c>
      <c r="W31" s="341">
        <f t="shared" si="47"/>
        <v>2.0320200000000002</v>
      </c>
      <c r="X31" s="341">
        <f t="shared" si="47"/>
        <v>2.0320200000000002</v>
      </c>
      <c r="Y31" s="341">
        <f t="shared" si="47"/>
        <v>2.0320200000000002</v>
      </c>
      <c r="Z31" s="387">
        <f t="shared" si="45"/>
        <v>23.004000000000001</v>
      </c>
      <c r="AA31" s="341">
        <f t="shared" si="47"/>
        <v>8.1431999999999967</v>
      </c>
      <c r="AB31" s="341">
        <f t="shared" si="45"/>
        <v>8.3537999999999961</v>
      </c>
      <c r="AC31" s="341">
        <f t="shared" si="45"/>
        <v>8.7749999999999968</v>
      </c>
      <c r="AD31" s="341">
        <f t="shared" si="45"/>
        <v>8.7749999999999968</v>
      </c>
      <c r="AE31" s="341">
        <f t="shared" si="45"/>
        <v>8.7749999999999968</v>
      </c>
      <c r="AF31" s="341">
        <f t="shared" si="45"/>
        <v>9.1961999999999975</v>
      </c>
      <c r="AG31" s="341">
        <f t="shared" si="45"/>
        <v>9.1961999999999975</v>
      </c>
      <c r="AH31" s="341">
        <f t="shared" si="45"/>
        <v>9.1961999999999975</v>
      </c>
      <c r="AI31" s="341">
        <f t="shared" si="45"/>
        <v>9.1961999999999975</v>
      </c>
      <c r="AJ31" s="341">
        <f t="shared" si="45"/>
        <v>8.7749999999999968</v>
      </c>
      <c r="AK31" s="341">
        <f t="shared" si="45"/>
        <v>8.7749999999999968</v>
      </c>
      <c r="AL31" s="341">
        <f t="shared" si="45"/>
        <v>8.1431999999999967</v>
      </c>
      <c r="AM31" s="387">
        <f t="shared" si="45"/>
        <v>105.3</v>
      </c>
      <c r="AN31" s="341">
        <f t="shared" si="48"/>
        <v>11.797199999999993</v>
      </c>
      <c r="AO31" s="341">
        <f t="shared" si="48"/>
        <v>12.102299999999993</v>
      </c>
      <c r="AP31" s="341">
        <f t="shared" si="48"/>
        <v>12.712499999999995</v>
      </c>
      <c r="AQ31" s="341">
        <f t="shared" si="48"/>
        <v>12.712499999999995</v>
      </c>
      <c r="AR31" s="341">
        <f t="shared" si="48"/>
        <v>12.712499999999995</v>
      </c>
      <c r="AS31" s="341">
        <f t="shared" si="48"/>
        <v>13.322699999999994</v>
      </c>
      <c r="AT31" s="341">
        <f t="shared" si="48"/>
        <v>13.322699999999994</v>
      </c>
      <c r="AU31" s="341">
        <f t="shared" si="48"/>
        <v>13.322699999999994</v>
      </c>
      <c r="AV31" s="341">
        <f t="shared" si="48"/>
        <v>13.322699999999994</v>
      </c>
      <c r="AW31" s="341">
        <f t="shared" si="48"/>
        <v>12.712499999999995</v>
      </c>
      <c r="AX31" s="341">
        <f t="shared" si="48"/>
        <v>12.712499999999995</v>
      </c>
      <c r="AY31" s="341">
        <f t="shared" si="48"/>
        <v>11.797199999999993</v>
      </c>
      <c r="AZ31" s="387">
        <f t="shared" si="48"/>
        <v>152.54999999999998</v>
      </c>
      <c r="BA31" s="341">
        <f t="shared" si="48"/>
        <v>15.451199999999993</v>
      </c>
      <c r="BB31" s="341">
        <f t="shared" si="48"/>
        <v>15.850799999999992</v>
      </c>
      <c r="BC31" s="341">
        <f t="shared" si="48"/>
        <v>16.649999999999995</v>
      </c>
      <c r="BD31" s="341">
        <f t="shared" si="48"/>
        <v>16.649999999999995</v>
      </c>
      <c r="BE31" s="341">
        <f t="shared" si="48"/>
        <v>16.649999999999995</v>
      </c>
      <c r="BF31" s="341">
        <f t="shared" si="48"/>
        <v>17.449199999999994</v>
      </c>
      <c r="BG31" s="341">
        <f t="shared" si="48"/>
        <v>17.449199999999994</v>
      </c>
      <c r="BH31" s="341">
        <f t="shared" si="48"/>
        <v>17.449199999999994</v>
      </c>
      <c r="BI31" s="341">
        <f t="shared" si="48"/>
        <v>17.449199999999994</v>
      </c>
      <c r="BJ31" s="341">
        <f t="shared" si="48"/>
        <v>16.649999999999995</v>
      </c>
      <c r="BK31" s="341">
        <f t="shared" si="48"/>
        <v>16.649999999999995</v>
      </c>
      <c r="BL31" s="341">
        <f t="shared" si="48"/>
        <v>15.451199999999993</v>
      </c>
      <c r="BM31" s="387">
        <f t="shared" si="48"/>
        <v>199.8</v>
      </c>
      <c r="BN31" s="341">
        <f t="shared" si="48"/>
        <v>19.105199999999993</v>
      </c>
      <c r="BO31" s="341">
        <f t="shared" si="48"/>
        <v>19.599299999999989</v>
      </c>
      <c r="BP31" s="341">
        <f t="shared" si="48"/>
        <v>20.587499999999991</v>
      </c>
      <c r="BQ31" s="341">
        <f t="shared" si="48"/>
        <v>20.587499999999991</v>
      </c>
      <c r="BR31" s="341">
        <f t="shared" si="48"/>
        <v>20.587499999999991</v>
      </c>
      <c r="BS31" s="341">
        <f t="shared" si="48"/>
        <v>21.575699999999994</v>
      </c>
      <c r="BT31" s="341">
        <f t="shared" si="48"/>
        <v>21.575699999999994</v>
      </c>
      <c r="BU31" s="341">
        <f t="shared" si="48"/>
        <v>21.575699999999994</v>
      </c>
      <c r="BV31" s="341">
        <f t="shared" si="48"/>
        <v>21.575699999999994</v>
      </c>
      <c r="BW31" s="341">
        <f t="shared" si="48"/>
        <v>20.587499999999991</v>
      </c>
      <c r="BX31" s="341">
        <f t="shared" si="48"/>
        <v>20.587499999999991</v>
      </c>
      <c r="BY31" s="341">
        <f t="shared" si="48"/>
        <v>19.105199999999993</v>
      </c>
      <c r="BZ31" s="387">
        <f t="shared" si="48"/>
        <v>247.05</v>
      </c>
    </row>
    <row r="32" spans="1:78" s="292" customFormat="1">
      <c r="A32" s="286" t="s">
        <v>399</v>
      </c>
      <c r="B32" s="287"/>
      <c r="C32" s="287" t="s">
        <v>400</v>
      </c>
      <c r="D32" s="287" t="s">
        <v>279</v>
      </c>
      <c r="E32" s="287" t="s">
        <v>445</v>
      </c>
      <c r="F32" s="287"/>
      <c r="G32" s="287"/>
      <c r="H32" s="294"/>
      <c r="I32" s="287"/>
      <c r="J32" s="288">
        <f t="shared" si="38"/>
        <v>727.70399999999995</v>
      </c>
      <c r="K32" s="288" t="s">
        <v>402</v>
      </c>
      <c r="L32" s="376">
        <v>1.2E-2</v>
      </c>
      <c r="M32" s="381"/>
      <c r="N32" s="341">
        <f t="shared" si="47"/>
        <v>0.46008000000000004</v>
      </c>
      <c r="O32" s="341">
        <f t="shared" si="47"/>
        <v>1.1502000000000001</v>
      </c>
      <c r="P32" s="341">
        <f t="shared" si="47"/>
        <v>1.1502000000000001</v>
      </c>
      <c r="Q32" s="341">
        <f t="shared" si="47"/>
        <v>2.3004000000000002</v>
      </c>
      <c r="R32" s="341">
        <f t="shared" si="47"/>
        <v>3.4506000000000001</v>
      </c>
      <c r="S32" s="341">
        <f t="shared" si="47"/>
        <v>2.3004000000000002</v>
      </c>
      <c r="T32" s="341">
        <f t="shared" si="47"/>
        <v>2.0320200000000002</v>
      </c>
      <c r="U32" s="341">
        <f t="shared" si="47"/>
        <v>2.0320200000000002</v>
      </c>
      <c r="V32" s="341">
        <f t="shared" si="47"/>
        <v>2.0320200000000002</v>
      </c>
      <c r="W32" s="341">
        <f t="shared" si="47"/>
        <v>2.0320200000000002</v>
      </c>
      <c r="X32" s="341">
        <f t="shared" si="47"/>
        <v>2.0320200000000002</v>
      </c>
      <c r="Y32" s="341">
        <f t="shared" si="47"/>
        <v>2.0320200000000002</v>
      </c>
      <c r="Z32" s="387">
        <f t="shared" si="45"/>
        <v>23.004000000000001</v>
      </c>
      <c r="AA32" s="341">
        <f t="shared" si="47"/>
        <v>8.1431999999999967</v>
      </c>
      <c r="AB32" s="341">
        <f t="shared" si="45"/>
        <v>8.3537999999999961</v>
      </c>
      <c r="AC32" s="341">
        <f t="shared" si="45"/>
        <v>8.7749999999999968</v>
      </c>
      <c r="AD32" s="341">
        <f t="shared" si="45"/>
        <v>8.7749999999999968</v>
      </c>
      <c r="AE32" s="341">
        <f t="shared" si="45"/>
        <v>8.7749999999999968</v>
      </c>
      <c r="AF32" s="341">
        <f t="shared" si="45"/>
        <v>9.1961999999999975</v>
      </c>
      <c r="AG32" s="341">
        <f t="shared" si="45"/>
        <v>9.1961999999999975</v>
      </c>
      <c r="AH32" s="341">
        <f t="shared" si="45"/>
        <v>9.1961999999999975</v>
      </c>
      <c r="AI32" s="341">
        <f t="shared" si="45"/>
        <v>9.1961999999999975</v>
      </c>
      <c r="AJ32" s="341">
        <f t="shared" si="45"/>
        <v>8.7749999999999968</v>
      </c>
      <c r="AK32" s="341">
        <f t="shared" si="45"/>
        <v>8.7749999999999968</v>
      </c>
      <c r="AL32" s="341">
        <f t="shared" si="45"/>
        <v>8.1431999999999967</v>
      </c>
      <c r="AM32" s="387">
        <f t="shared" si="45"/>
        <v>105.3</v>
      </c>
      <c r="AN32" s="341">
        <f t="shared" si="48"/>
        <v>11.797199999999993</v>
      </c>
      <c r="AO32" s="341">
        <f t="shared" si="48"/>
        <v>12.102299999999993</v>
      </c>
      <c r="AP32" s="341">
        <f t="shared" si="48"/>
        <v>12.712499999999995</v>
      </c>
      <c r="AQ32" s="341">
        <f t="shared" si="48"/>
        <v>12.712499999999995</v>
      </c>
      <c r="AR32" s="341">
        <f t="shared" si="48"/>
        <v>12.712499999999995</v>
      </c>
      <c r="AS32" s="341">
        <f t="shared" si="48"/>
        <v>13.322699999999994</v>
      </c>
      <c r="AT32" s="341">
        <f t="shared" si="48"/>
        <v>13.322699999999994</v>
      </c>
      <c r="AU32" s="341">
        <f t="shared" si="48"/>
        <v>13.322699999999994</v>
      </c>
      <c r="AV32" s="341">
        <f t="shared" si="48"/>
        <v>13.322699999999994</v>
      </c>
      <c r="AW32" s="341">
        <f t="shared" si="48"/>
        <v>12.712499999999995</v>
      </c>
      <c r="AX32" s="341">
        <f t="shared" si="48"/>
        <v>12.712499999999995</v>
      </c>
      <c r="AY32" s="341">
        <f t="shared" si="48"/>
        <v>11.797199999999993</v>
      </c>
      <c r="AZ32" s="387">
        <f t="shared" si="48"/>
        <v>152.54999999999998</v>
      </c>
      <c r="BA32" s="341">
        <f t="shared" si="48"/>
        <v>15.451199999999993</v>
      </c>
      <c r="BB32" s="341">
        <f t="shared" si="48"/>
        <v>15.850799999999992</v>
      </c>
      <c r="BC32" s="341">
        <f t="shared" si="48"/>
        <v>16.649999999999995</v>
      </c>
      <c r="BD32" s="341">
        <f t="shared" si="48"/>
        <v>16.649999999999995</v>
      </c>
      <c r="BE32" s="341">
        <f t="shared" si="48"/>
        <v>16.649999999999995</v>
      </c>
      <c r="BF32" s="341">
        <f t="shared" si="48"/>
        <v>17.449199999999994</v>
      </c>
      <c r="BG32" s="341">
        <f t="shared" si="48"/>
        <v>17.449199999999994</v>
      </c>
      <c r="BH32" s="341">
        <f t="shared" si="48"/>
        <v>17.449199999999994</v>
      </c>
      <c r="BI32" s="341">
        <f t="shared" si="48"/>
        <v>17.449199999999994</v>
      </c>
      <c r="BJ32" s="341">
        <f t="shared" si="48"/>
        <v>16.649999999999995</v>
      </c>
      <c r="BK32" s="341">
        <f t="shared" si="48"/>
        <v>16.649999999999995</v>
      </c>
      <c r="BL32" s="341">
        <f t="shared" si="48"/>
        <v>15.451199999999993</v>
      </c>
      <c r="BM32" s="387">
        <f t="shared" si="48"/>
        <v>199.8</v>
      </c>
      <c r="BN32" s="341">
        <f t="shared" si="48"/>
        <v>19.105199999999993</v>
      </c>
      <c r="BO32" s="341">
        <f t="shared" si="48"/>
        <v>19.599299999999989</v>
      </c>
      <c r="BP32" s="341">
        <f t="shared" si="48"/>
        <v>20.587499999999991</v>
      </c>
      <c r="BQ32" s="341">
        <f t="shared" si="48"/>
        <v>20.587499999999991</v>
      </c>
      <c r="BR32" s="341">
        <f t="shared" si="48"/>
        <v>20.587499999999991</v>
      </c>
      <c r="BS32" s="341">
        <f t="shared" si="48"/>
        <v>21.575699999999994</v>
      </c>
      <c r="BT32" s="341">
        <f t="shared" si="48"/>
        <v>21.575699999999994</v>
      </c>
      <c r="BU32" s="341">
        <f t="shared" si="48"/>
        <v>21.575699999999994</v>
      </c>
      <c r="BV32" s="341">
        <f t="shared" si="48"/>
        <v>21.575699999999994</v>
      </c>
      <c r="BW32" s="341">
        <f t="shared" ref="AN32:BZ38" si="49">$L32*BW$18</f>
        <v>20.587499999999991</v>
      </c>
      <c r="BX32" s="341">
        <f t="shared" si="49"/>
        <v>20.587499999999991</v>
      </c>
      <c r="BY32" s="341">
        <f t="shared" si="49"/>
        <v>19.105199999999993</v>
      </c>
      <c r="BZ32" s="387">
        <f t="shared" si="49"/>
        <v>247.05</v>
      </c>
    </row>
    <row r="33" spans="1:78" s="292" customFormat="1">
      <c r="A33" s="286" t="s">
        <v>399</v>
      </c>
      <c r="B33" s="287"/>
      <c r="C33" s="287" t="s">
        <v>400</v>
      </c>
      <c r="D33" s="287" t="s">
        <v>279</v>
      </c>
      <c r="E33" s="287" t="s">
        <v>506</v>
      </c>
      <c r="F33" s="287"/>
      <c r="G33" s="287"/>
      <c r="H33" s="294"/>
      <c r="I33" s="287"/>
      <c r="J33" s="288">
        <f t="shared" si="38"/>
        <v>3032.1</v>
      </c>
      <c r="K33" s="288" t="s">
        <v>402</v>
      </c>
      <c r="L33" s="376">
        <v>0.05</v>
      </c>
      <c r="M33" s="381"/>
      <c r="N33" s="341">
        <f t="shared" si="47"/>
        <v>1.9170000000000003</v>
      </c>
      <c r="O33" s="341">
        <f t="shared" si="47"/>
        <v>4.7925000000000004</v>
      </c>
      <c r="P33" s="341">
        <f t="shared" si="47"/>
        <v>4.7925000000000004</v>
      </c>
      <c r="Q33" s="341">
        <f t="shared" si="47"/>
        <v>9.5850000000000009</v>
      </c>
      <c r="R33" s="341">
        <f t="shared" si="47"/>
        <v>14.377500000000001</v>
      </c>
      <c r="S33" s="341">
        <f t="shared" si="47"/>
        <v>9.5850000000000009</v>
      </c>
      <c r="T33" s="341">
        <f t="shared" si="47"/>
        <v>8.4667500000000011</v>
      </c>
      <c r="U33" s="341">
        <f t="shared" si="47"/>
        <v>8.4667500000000011</v>
      </c>
      <c r="V33" s="341">
        <f t="shared" si="47"/>
        <v>8.4667500000000011</v>
      </c>
      <c r="W33" s="341">
        <f t="shared" si="47"/>
        <v>8.4667500000000011</v>
      </c>
      <c r="X33" s="341">
        <f t="shared" si="47"/>
        <v>8.4667500000000011</v>
      </c>
      <c r="Y33" s="341">
        <f t="shared" si="47"/>
        <v>8.4667500000000011</v>
      </c>
      <c r="Z33" s="387">
        <f t="shared" si="45"/>
        <v>95.850000000000009</v>
      </c>
      <c r="AA33" s="341">
        <f t="shared" si="47"/>
        <v>33.929999999999986</v>
      </c>
      <c r="AB33" s="341">
        <f t="shared" si="45"/>
        <v>34.807499999999983</v>
      </c>
      <c r="AC33" s="341">
        <f t="shared" si="45"/>
        <v>36.562499999999993</v>
      </c>
      <c r="AD33" s="341">
        <f t="shared" si="45"/>
        <v>36.562499999999993</v>
      </c>
      <c r="AE33" s="341">
        <f t="shared" si="45"/>
        <v>36.562499999999993</v>
      </c>
      <c r="AF33" s="341">
        <f t="shared" si="45"/>
        <v>38.317499999999988</v>
      </c>
      <c r="AG33" s="341">
        <f t="shared" si="45"/>
        <v>38.317499999999988</v>
      </c>
      <c r="AH33" s="341">
        <f t="shared" si="45"/>
        <v>38.317499999999988</v>
      </c>
      <c r="AI33" s="341">
        <f t="shared" si="45"/>
        <v>38.317499999999988</v>
      </c>
      <c r="AJ33" s="341">
        <f t="shared" si="45"/>
        <v>36.562499999999993</v>
      </c>
      <c r="AK33" s="341">
        <f t="shared" si="45"/>
        <v>36.562499999999993</v>
      </c>
      <c r="AL33" s="341">
        <f t="shared" si="45"/>
        <v>33.929999999999986</v>
      </c>
      <c r="AM33" s="387">
        <f t="shared" si="45"/>
        <v>438.75</v>
      </c>
      <c r="AN33" s="341">
        <f t="shared" si="49"/>
        <v>49.154999999999973</v>
      </c>
      <c r="AO33" s="341">
        <f t="shared" si="49"/>
        <v>50.426249999999975</v>
      </c>
      <c r="AP33" s="341">
        <f t="shared" si="49"/>
        <v>52.968749999999979</v>
      </c>
      <c r="AQ33" s="341">
        <f t="shared" si="49"/>
        <v>52.968749999999979</v>
      </c>
      <c r="AR33" s="341">
        <f t="shared" si="49"/>
        <v>52.968749999999979</v>
      </c>
      <c r="AS33" s="341">
        <f t="shared" si="49"/>
        <v>55.511249999999976</v>
      </c>
      <c r="AT33" s="341">
        <f t="shared" si="49"/>
        <v>55.511249999999976</v>
      </c>
      <c r="AU33" s="341">
        <f t="shared" si="49"/>
        <v>55.511249999999976</v>
      </c>
      <c r="AV33" s="341">
        <f t="shared" si="49"/>
        <v>55.511249999999976</v>
      </c>
      <c r="AW33" s="341">
        <f t="shared" si="49"/>
        <v>52.968749999999979</v>
      </c>
      <c r="AX33" s="341">
        <f t="shared" si="49"/>
        <v>52.968749999999979</v>
      </c>
      <c r="AY33" s="341">
        <f t="shared" si="49"/>
        <v>49.154999999999973</v>
      </c>
      <c r="AZ33" s="387">
        <f t="shared" si="49"/>
        <v>635.625</v>
      </c>
      <c r="BA33" s="341">
        <f t="shared" si="49"/>
        <v>64.379999999999981</v>
      </c>
      <c r="BB33" s="341">
        <f t="shared" si="49"/>
        <v>66.044999999999973</v>
      </c>
      <c r="BC33" s="341">
        <f t="shared" si="49"/>
        <v>69.374999999999986</v>
      </c>
      <c r="BD33" s="341">
        <f t="shared" si="49"/>
        <v>69.374999999999986</v>
      </c>
      <c r="BE33" s="341">
        <f t="shared" si="49"/>
        <v>69.374999999999986</v>
      </c>
      <c r="BF33" s="341">
        <f t="shared" si="49"/>
        <v>72.70499999999997</v>
      </c>
      <c r="BG33" s="341">
        <f t="shared" si="49"/>
        <v>72.70499999999997</v>
      </c>
      <c r="BH33" s="341">
        <f t="shared" si="49"/>
        <v>72.70499999999997</v>
      </c>
      <c r="BI33" s="341">
        <f t="shared" si="49"/>
        <v>72.70499999999997</v>
      </c>
      <c r="BJ33" s="341">
        <f t="shared" si="49"/>
        <v>69.374999999999986</v>
      </c>
      <c r="BK33" s="341">
        <f t="shared" si="49"/>
        <v>69.374999999999986</v>
      </c>
      <c r="BL33" s="341">
        <f t="shared" si="49"/>
        <v>64.379999999999981</v>
      </c>
      <c r="BM33" s="387">
        <f t="shared" si="49"/>
        <v>832.5</v>
      </c>
      <c r="BN33" s="341">
        <f t="shared" si="49"/>
        <v>79.604999999999961</v>
      </c>
      <c r="BO33" s="341">
        <f t="shared" si="49"/>
        <v>81.663749999999965</v>
      </c>
      <c r="BP33" s="341">
        <f t="shared" si="49"/>
        <v>85.781249999999972</v>
      </c>
      <c r="BQ33" s="341">
        <f t="shared" si="49"/>
        <v>85.781249999999972</v>
      </c>
      <c r="BR33" s="341">
        <f t="shared" si="49"/>
        <v>85.781249999999972</v>
      </c>
      <c r="BS33" s="341">
        <f t="shared" si="49"/>
        <v>89.898749999999978</v>
      </c>
      <c r="BT33" s="341">
        <f t="shared" si="49"/>
        <v>89.898749999999978</v>
      </c>
      <c r="BU33" s="341">
        <f t="shared" si="49"/>
        <v>89.898749999999978</v>
      </c>
      <c r="BV33" s="341">
        <f t="shared" si="49"/>
        <v>89.898749999999978</v>
      </c>
      <c r="BW33" s="341">
        <f t="shared" si="49"/>
        <v>85.781249999999972</v>
      </c>
      <c r="BX33" s="341">
        <f t="shared" si="49"/>
        <v>85.781249999999972</v>
      </c>
      <c r="BY33" s="341">
        <f t="shared" si="49"/>
        <v>79.604999999999961</v>
      </c>
      <c r="BZ33" s="387">
        <f t="shared" si="49"/>
        <v>1029.375</v>
      </c>
    </row>
    <row r="34" spans="1:78" s="292" customFormat="1" ht="31.5">
      <c r="A34" s="286" t="s">
        <v>399</v>
      </c>
      <c r="B34" s="287"/>
      <c r="C34" s="287" t="s">
        <v>415</v>
      </c>
      <c r="D34" s="287" t="s">
        <v>279</v>
      </c>
      <c r="E34" s="287" t="s">
        <v>507</v>
      </c>
      <c r="F34" s="287"/>
      <c r="G34" s="295" t="s">
        <v>453</v>
      </c>
      <c r="H34" s="293"/>
      <c r="I34" s="295"/>
      <c r="J34" s="288">
        <f t="shared" si="38"/>
        <v>606.41999999999996</v>
      </c>
      <c r="K34" s="288" t="s">
        <v>402</v>
      </c>
      <c r="L34" s="376">
        <v>0.01</v>
      </c>
      <c r="M34" s="381"/>
      <c r="N34" s="341">
        <f t="shared" si="47"/>
        <v>0.38340000000000002</v>
      </c>
      <c r="O34" s="341">
        <f t="shared" si="47"/>
        <v>0.95850000000000013</v>
      </c>
      <c r="P34" s="341">
        <f t="shared" si="47"/>
        <v>0.95850000000000013</v>
      </c>
      <c r="Q34" s="341">
        <f t="shared" si="47"/>
        <v>1.9170000000000003</v>
      </c>
      <c r="R34" s="341">
        <f t="shared" si="47"/>
        <v>2.8755000000000002</v>
      </c>
      <c r="S34" s="341">
        <f t="shared" si="47"/>
        <v>1.9170000000000003</v>
      </c>
      <c r="T34" s="341">
        <f t="shared" si="47"/>
        <v>1.6933500000000001</v>
      </c>
      <c r="U34" s="341">
        <f t="shared" si="47"/>
        <v>1.6933500000000001</v>
      </c>
      <c r="V34" s="341">
        <f t="shared" si="47"/>
        <v>1.6933500000000001</v>
      </c>
      <c r="W34" s="341">
        <f t="shared" si="47"/>
        <v>1.6933500000000001</v>
      </c>
      <c r="X34" s="341">
        <f t="shared" si="47"/>
        <v>1.6933500000000001</v>
      </c>
      <c r="Y34" s="341">
        <f t="shared" si="47"/>
        <v>1.6933500000000001</v>
      </c>
      <c r="Z34" s="387">
        <f t="shared" si="45"/>
        <v>19.170000000000002</v>
      </c>
      <c r="AA34" s="341">
        <f t="shared" si="47"/>
        <v>6.7859999999999969</v>
      </c>
      <c r="AB34" s="341">
        <f t="shared" si="45"/>
        <v>6.9614999999999965</v>
      </c>
      <c r="AC34" s="341">
        <f t="shared" si="45"/>
        <v>7.3124999999999982</v>
      </c>
      <c r="AD34" s="341">
        <f t="shared" si="45"/>
        <v>7.3124999999999982</v>
      </c>
      <c r="AE34" s="341">
        <f t="shared" si="45"/>
        <v>7.3124999999999982</v>
      </c>
      <c r="AF34" s="341">
        <f t="shared" si="45"/>
        <v>7.6634999999999982</v>
      </c>
      <c r="AG34" s="341">
        <f t="shared" si="45"/>
        <v>7.6634999999999982</v>
      </c>
      <c r="AH34" s="341">
        <f t="shared" si="45"/>
        <v>7.6634999999999982</v>
      </c>
      <c r="AI34" s="341">
        <f t="shared" si="45"/>
        <v>7.6634999999999982</v>
      </c>
      <c r="AJ34" s="341">
        <f t="shared" si="45"/>
        <v>7.3124999999999982</v>
      </c>
      <c r="AK34" s="341">
        <f t="shared" si="45"/>
        <v>7.3124999999999982</v>
      </c>
      <c r="AL34" s="341">
        <f t="shared" si="45"/>
        <v>6.7859999999999969</v>
      </c>
      <c r="AM34" s="387">
        <f t="shared" si="45"/>
        <v>87.75</v>
      </c>
      <c r="AN34" s="341">
        <f t="shared" si="49"/>
        <v>9.8309999999999942</v>
      </c>
      <c r="AO34" s="341">
        <f t="shared" si="49"/>
        <v>10.085249999999995</v>
      </c>
      <c r="AP34" s="341">
        <f t="shared" si="49"/>
        <v>10.593749999999996</v>
      </c>
      <c r="AQ34" s="341">
        <f t="shared" si="49"/>
        <v>10.593749999999996</v>
      </c>
      <c r="AR34" s="341">
        <f t="shared" si="49"/>
        <v>10.593749999999996</v>
      </c>
      <c r="AS34" s="341">
        <f t="shared" si="49"/>
        <v>11.102249999999994</v>
      </c>
      <c r="AT34" s="341">
        <f t="shared" si="49"/>
        <v>11.102249999999994</v>
      </c>
      <c r="AU34" s="341">
        <f t="shared" si="49"/>
        <v>11.102249999999994</v>
      </c>
      <c r="AV34" s="341">
        <f t="shared" si="49"/>
        <v>11.102249999999994</v>
      </c>
      <c r="AW34" s="341">
        <f t="shared" si="49"/>
        <v>10.593749999999996</v>
      </c>
      <c r="AX34" s="341">
        <f t="shared" si="49"/>
        <v>10.593749999999996</v>
      </c>
      <c r="AY34" s="341">
        <f t="shared" si="49"/>
        <v>9.8309999999999942</v>
      </c>
      <c r="AZ34" s="387">
        <f t="shared" si="49"/>
        <v>127.12499999999999</v>
      </c>
      <c r="BA34" s="341">
        <f t="shared" si="49"/>
        <v>12.875999999999994</v>
      </c>
      <c r="BB34" s="341">
        <f t="shared" si="49"/>
        <v>13.208999999999994</v>
      </c>
      <c r="BC34" s="341">
        <f t="shared" si="49"/>
        <v>13.874999999999996</v>
      </c>
      <c r="BD34" s="341">
        <f t="shared" si="49"/>
        <v>13.874999999999996</v>
      </c>
      <c r="BE34" s="341">
        <f t="shared" si="49"/>
        <v>13.874999999999996</v>
      </c>
      <c r="BF34" s="341">
        <f t="shared" si="49"/>
        <v>14.540999999999995</v>
      </c>
      <c r="BG34" s="341">
        <f t="shared" si="49"/>
        <v>14.540999999999995</v>
      </c>
      <c r="BH34" s="341">
        <f t="shared" si="49"/>
        <v>14.540999999999995</v>
      </c>
      <c r="BI34" s="341">
        <f t="shared" si="49"/>
        <v>14.540999999999995</v>
      </c>
      <c r="BJ34" s="341">
        <f t="shared" si="49"/>
        <v>13.874999999999996</v>
      </c>
      <c r="BK34" s="341">
        <f t="shared" si="49"/>
        <v>13.874999999999996</v>
      </c>
      <c r="BL34" s="341">
        <f t="shared" si="49"/>
        <v>12.875999999999994</v>
      </c>
      <c r="BM34" s="387">
        <f t="shared" si="49"/>
        <v>166.5</v>
      </c>
      <c r="BN34" s="341">
        <f t="shared" si="49"/>
        <v>15.920999999999992</v>
      </c>
      <c r="BO34" s="341">
        <f t="shared" si="49"/>
        <v>16.332749999999994</v>
      </c>
      <c r="BP34" s="341">
        <f t="shared" si="49"/>
        <v>17.156249999999993</v>
      </c>
      <c r="BQ34" s="341">
        <f t="shared" si="49"/>
        <v>17.156249999999993</v>
      </c>
      <c r="BR34" s="341">
        <f t="shared" si="49"/>
        <v>17.156249999999993</v>
      </c>
      <c r="BS34" s="341">
        <f t="shared" si="49"/>
        <v>17.979749999999996</v>
      </c>
      <c r="BT34" s="341">
        <f t="shared" si="49"/>
        <v>17.979749999999996</v>
      </c>
      <c r="BU34" s="341">
        <f t="shared" si="49"/>
        <v>17.979749999999996</v>
      </c>
      <c r="BV34" s="341">
        <f t="shared" si="49"/>
        <v>17.979749999999996</v>
      </c>
      <c r="BW34" s="341">
        <f t="shared" si="49"/>
        <v>17.156249999999993</v>
      </c>
      <c r="BX34" s="341">
        <f t="shared" si="49"/>
        <v>17.156249999999993</v>
      </c>
      <c r="BY34" s="341">
        <f t="shared" si="49"/>
        <v>15.920999999999992</v>
      </c>
      <c r="BZ34" s="387">
        <f t="shared" si="49"/>
        <v>205.875</v>
      </c>
    </row>
    <row r="35" spans="1:78" s="292" customFormat="1">
      <c r="A35" s="286" t="s">
        <v>399</v>
      </c>
      <c r="B35" s="287"/>
      <c r="C35" s="287" t="s">
        <v>415</v>
      </c>
      <c r="D35" s="287" t="s">
        <v>279</v>
      </c>
      <c r="E35" s="287" t="s">
        <v>449</v>
      </c>
      <c r="F35" s="287"/>
      <c r="G35" s="287" t="s">
        <v>508</v>
      </c>
      <c r="H35" s="293"/>
      <c r="I35" s="287"/>
      <c r="J35" s="288">
        <f t="shared" si="38"/>
        <v>606.41999999999996</v>
      </c>
      <c r="K35" s="288" t="s">
        <v>402</v>
      </c>
      <c r="L35" s="376">
        <v>0.01</v>
      </c>
      <c r="M35" s="381"/>
      <c r="N35" s="341">
        <f t="shared" si="47"/>
        <v>0.38340000000000002</v>
      </c>
      <c r="O35" s="341">
        <f t="shared" si="47"/>
        <v>0.95850000000000013</v>
      </c>
      <c r="P35" s="341">
        <f t="shared" si="47"/>
        <v>0.95850000000000013</v>
      </c>
      <c r="Q35" s="341">
        <f t="shared" si="47"/>
        <v>1.9170000000000003</v>
      </c>
      <c r="R35" s="341">
        <f t="shared" si="47"/>
        <v>2.8755000000000002</v>
      </c>
      <c r="S35" s="341">
        <f t="shared" si="47"/>
        <v>1.9170000000000003</v>
      </c>
      <c r="T35" s="341">
        <f t="shared" si="47"/>
        <v>1.6933500000000001</v>
      </c>
      <c r="U35" s="341">
        <f t="shared" si="47"/>
        <v>1.6933500000000001</v>
      </c>
      <c r="V35" s="341">
        <f t="shared" si="47"/>
        <v>1.6933500000000001</v>
      </c>
      <c r="W35" s="341">
        <f t="shared" si="47"/>
        <v>1.6933500000000001</v>
      </c>
      <c r="X35" s="341">
        <f t="shared" si="47"/>
        <v>1.6933500000000001</v>
      </c>
      <c r="Y35" s="341">
        <f t="shared" si="47"/>
        <v>1.6933500000000001</v>
      </c>
      <c r="Z35" s="387">
        <f t="shared" si="47"/>
        <v>19.170000000000002</v>
      </c>
      <c r="AA35" s="341">
        <f t="shared" si="47"/>
        <v>6.7859999999999969</v>
      </c>
      <c r="AB35" s="341">
        <f t="shared" ref="AB35:AM38" si="50">$L35*AB$18</f>
        <v>6.9614999999999965</v>
      </c>
      <c r="AC35" s="341">
        <f t="shared" si="50"/>
        <v>7.3124999999999982</v>
      </c>
      <c r="AD35" s="341">
        <f t="shared" si="50"/>
        <v>7.3124999999999982</v>
      </c>
      <c r="AE35" s="341">
        <f t="shared" si="50"/>
        <v>7.3124999999999982</v>
      </c>
      <c r="AF35" s="341">
        <f t="shared" si="50"/>
        <v>7.6634999999999982</v>
      </c>
      <c r="AG35" s="341">
        <f t="shared" si="50"/>
        <v>7.6634999999999982</v>
      </c>
      <c r="AH35" s="341">
        <f t="shared" si="50"/>
        <v>7.6634999999999982</v>
      </c>
      <c r="AI35" s="341">
        <f t="shared" si="50"/>
        <v>7.6634999999999982</v>
      </c>
      <c r="AJ35" s="341">
        <f t="shared" si="50"/>
        <v>7.3124999999999982</v>
      </c>
      <c r="AK35" s="341">
        <f t="shared" si="50"/>
        <v>7.3124999999999982</v>
      </c>
      <c r="AL35" s="341">
        <f t="shared" si="50"/>
        <v>6.7859999999999969</v>
      </c>
      <c r="AM35" s="387">
        <f t="shared" si="50"/>
        <v>87.75</v>
      </c>
      <c r="AN35" s="341">
        <f t="shared" si="49"/>
        <v>9.8309999999999942</v>
      </c>
      <c r="AO35" s="341">
        <f t="shared" si="49"/>
        <v>10.085249999999995</v>
      </c>
      <c r="AP35" s="341">
        <f t="shared" si="49"/>
        <v>10.593749999999996</v>
      </c>
      <c r="AQ35" s="341">
        <f t="shared" si="49"/>
        <v>10.593749999999996</v>
      </c>
      <c r="AR35" s="341">
        <f t="shared" si="49"/>
        <v>10.593749999999996</v>
      </c>
      <c r="AS35" s="341">
        <f t="shared" si="49"/>
        <v>11.102249999999994</v>
      </c>
      <c r="AT35" s="341">
        <f t="shared" si="49"/>
        <v>11.102249999999994</v>
      </c>
      <c r="AU35" s="341">
        <f t="shared" si="49"/>
        <v>11.102249999999994</v>
      </c>
      <c r="AV35" s="341">
        <f t="shared" si="49"/>
        <v>11.102249999999994</v>
      </c>
      <c r="AW35" s="341">
        <f t="shared" si="49"/>
        <v>10.593749999999996</v>
      </c>
      <c r="AX35" s="341">
        <f t="shared" si="49"/>
        <v>10.593749999999996</v>
      </c>
      <c r="AY35" s="341">
        <f t="shared" si="49"/>
        <v>9.8309999999999942</v>
      </c>
      <c r="AZ35" s="387">
        <f t="shared" si="49"/>
        <v>127.12499999999999</v>
      </c>
      <c r="BA35" s="341">
        <f t="shared" si="49"/>
        <v>12.875999999999994</v>
      </c>
      <c r="BB35" s="341">
        <f t="shared" si="49"/>
        <v>13.208999999999994</v>
      </c>
      <c r="BC35" s="341">
        <f t="shared" si="49"/>
        <v>13.874999999999996</v>
      </c>
      <c r="BD35" s="341">
        <f t="shared" si="49"/>
        <v>13.874999999999996</v>
      </c>
      <c r="BE35" s="341">
        <f t="shared" si="49"/>
        <v>13.874999999999996</v>
      </c>
      <c r="BF35" s="341">
        <f t="shared" si="49"/>
        <v>14.540999999999995</v>
      </c>
      <c r="BG35" s="341">
        <f t="shared" si="49"/>
        <v>14.540999999999995</v>
      </c>
      <c r="BH35" s="341">
        <f t="shared" si="49"/>
        <v>14.540999999999995</v>
      </c>
      <c r="BI35" s="341">
        <f t="shared" si="49"/>
        <v>14.540999999999995</v>
      </c>
      <c r="BJ35" s="341">
        <f t="shared" si="49"/>
        <v>13.874999999999996</v>
      </c>
      <c r="BK35" s="341">
        <f t="shared" si="49"/>
        <v>13.874999999999996</v>
      </c>
      <c r="BL35" s="341">
        <f t="shared" si="49"/>
        <v>12.875999999999994</v>
      </c>
      <c r="BM35" s="387">
        <f t="shared" si="49"/>
        <v>166.5</v>
      </c>
      <c r="BN35" s="341">
        <f t="shared" si="49"/>
        <v>15.920999999999992</v>
      </c>
      <c r="BO35" s="341">
        <f t="shared" si="49"/>
        <v>16.332749999999994</v>
      </c>
      <c r="BP35" s="341">
        <f t="shared" si="49"/>
        <v>17.156249999999993</v>
      </c>
      <c r="BQ35" s="341">
        <f t="shared" si="49"/>
        <v>17.156249999999993</v>
      </c>
      <c r="BR35" s="341">
        <f t="shared" si="49"/>
        <v>17.156249999999993</v>
      </c>
      <c r="BS35" s="341">
        <f t="shared" si="49"/>
        <v>17.979749999999996</v>
      </c>
      <c r="BT35" s="341">
        <f t="shared" si="49"/>
        <v>17.979749999999996</v>
      </c>
      <c r="BU35" s="341">
        <f t="shared" si="49"/>
        <v>17.979749999999996</v>
      </c>
      <c r="BV35" s="341">
        <f t="shared" si="49"/>
        <v>17.979749999999996</v>
      </c>
      <c r="BW35" s="341">
        <f t="shared" si="49"/>
        <v>17.156249999999993</v>
      </c>
      <c r="BX35" s="341">
        <f t="shared" si="49"/>
        <v>17.156249999999993</v>
      </c>
      <c r="BY35" s="341">
        <f t="shared" si="49"/>
        <v>15.920999999999992</v>
      </c>
      <c r="BZ35" s="387">
        <f t="shared" si="49"/>
        <v>205.875</v>
      </c>
    </row>
    <row r="36" spans="1:78" s="292" customFormat="1">
      <c r="A36" s="286" t="s">
        <v>399</v>
      </c>
      <c r="B36" s="287"/>
      <c r="C36" s="287" t="s">
        <v>400</v>
      </c>
      <c r="D36" s="287" t="s">
        <v>279</v>
      </c>
      <c r="E36" s="287" t="s">
        <v>450</v>
      </c>
      <c r="F36" s="287"/>
      <c r="G36" s="287" t="s">
        <v>508</v>
      </c>
      <c r="H36" s="293"/>
      <c r="I36" s="287"/>
      <c r="J36" s="288">
        <f t="shared" si="38"/>
        <v>3032.1</v>
      </c>
      <c r="K36" s="288" t="s">
        <v>402</v>
      </c>
      <c r="L36" s="376">
        <v>0.05</v>
      </c>
      <c r="M36" s="381"/>
      <c r="N36" s="341">
        <f t="shared" si="47"/>
        <v>1.9170000000000003</v>
      </c>
      <c r="O36" s="341">
        <f t="shared" si="47"/>
        <v>4.7925000000000004</v>
      </c>
      <c r="P36" s="341">
        <f t="shared" si="47"/>
        <v>4.7925000000000004</v>
      </c>
      <c r="Q36" s="341">
        <f t="shared" si="47"/>
        <v>9.5850000000000009</v>
      </c>
      <c r="R36" s="341">
        <f t="shared" si="47"/>
        <v>14.377500000000001</v>
      </c>
      <c r="S36" s="341">
        <f t="shared" si="47"/>
        <v>9.5850000000000009</v>
      </c>
      <c r="T36" s="341">
        <f t="shared" si="47"/>
        <v>8.4667500000000011</v>
      </c>
      <c r="U36" s="341">
        <f t="shared" si="47"/>
        <v>8.4667500000000011</v>
      </c>
      <c r="V36" s="341">
        <f t="shared" si="47"/>
        <v>8.4667500000000011</v>
      </c>
      <c r="W36" s="341">
        <f t="shared" si="47"/>
        <v>8.4667500000000011</v>
      </c>
      <c r="X36" s="341">
        <f t="shared" si="47"/>
        <v>8.4667500000000011</v>
      </c>
      <c r="Y36" s="341">
        <f t="shared" si="47"/>
        <v>8.4667500000000011</v>
      </c>
      <c r="Z36" s="387">
        <f t="shared" si="47"/>
        <v>95.850000000000009</v>
      </c>
      <c r="AA36" s="341">
        <f t="shared" si="47"/>
        <v>33.929999999999986</v>
      </c>
      <c r="AB36" s="341">
        <f t="shared" si="50"/>
        <v>34.807499999999983</v>
      </c>
      <c r="AC36" s="341">
        <f t="shared" si="50"/>
        <v>36.562499999999993</v>
      </c>
      <c r="AD36" s="341">
        <f t="shared" si="50"/>
        <v>36.562499999999993</v>
      </c>
      <c r="AE36" s="341">
        <f t="shared" si="50"/>
        <v>36.562499999999993</v>
      </c>
      <c r="AF36" s="341">
        <f t="shared" si="50"/>
        <v>38.317499999999988</v>
      </c>
      <c r="AG36" s="341">
        <f t="shared" si="50"/>
        <v>38.317499999999988</v>
      </c>
      <c r="AH36" s="341">
        <f t="shared" si="50"/>
        <v>38.317499999999988</v>
      </c>
      <c r="AI36" s="341">
        <f t="shared" si="50"/>
        <v>38.317499999999988</v>
      </c>
      <c r="AJ36" s="341">
        <f t="shared" si="50"/>
        <v>36.562499999999993</v>
      </c>
      <c r="AK36" s="341">
        <f t="shared" si="50"/>
        <v>36.562499999999993</v>
      </c>
      <c r="AL36" s="341">
        <f t="shared" si="50"/>
        <v>33.929999999999986</v>
      </c>
      <c r="AM36" s="387">
        <f t="shared" si="50"/>
        <v>438.75</v>
      </c>
      <c r="AN36" s="341">
        <f t="shared" si="49"/>
        <v>49.154999999999973</v>
      </c>
      <c r="AO36" s="341">
        <f t="shared" si="49"/>
        <v>50.426249999999975</v>
      </c>
      <c r="AP36" s="341">
        <f t="shared" si="49"/>
        <v>52.968749999999979</v>
      </c>
      <c r="AQ36" s="341">
        <f t="shared" si="49"/>
        <v>52.968749999999979</v>
      </c>
      <c r="AR36" s="341">
        <f t="shared" si="49"/>
        <v>52.968749999999979</v>
      </c>
      <c r="AS36" s="341">
        <f t="shared" si="49"/>
        <v>55.511249999999976</v>
      </c>
      <c r="AT36" s="341">
        <f t="shared" si="49"/>
        <v>55.511249999999976</v>
      </c>
      <c r="AU36" s="341">
        <f t="shared" si="49"/>
        <v>55.511249999999976</v>
      </c>
      <c r="AV36" s="341">
        <f t="shared" si="49"/>
        <v>55.511249999999976</v>
      </c>
      <c r="AW36" s="341">
        <f t="shared" si="49"/>
        <v>52.968749999999979</v>
      </c>
      <c r="AX36" s="341">
        <f t="shared" si="49"/>
        <v>52.968749999999979</v>
      </c>
      <c r="AY36" s="341">
        <f t="shared" si="49"/>
        <v>49.154999999999973</v>
      </c>
      <c r="AZ36" s="387">
        <f t="shared" si="49"/>
        <v>635.625</v>
      </c>
      <c r="BA36" s="341">
        <f t="shared" si="49"/>
        <v>64.379999999999981</v>
      </c>
      <c r="BB36" s="341">
        <f t="shared" si="49"/>
        <v>66.044999999999973</v>
      </c>
      <c r="BC36" s="341">
        <f t="shared" si="49"/>
        <v>69.374999999999986</v>
      </c>
      <c r="BD36" s="341">
        <f t="shared" si="49"/>
        <v>69.374999999999986</v>
      </c>
      <c r="BE36" s="341">
        <f t="shared" si="49"/>
        <v>69.374999999999986</v>
      </c>
      <c r="BF36" s="341">
        <f t="shared" si="49"/>
        <v>72.70499999999997</v>
      </c>
      <c r="BG36" s="341">
        <f t="shared" si="49"/>
        <v>72.70499999999997</v>
      </c>
      <c r="BH36" s="341">
        <f t="shared" si="49"/>
        <v>72.70499999999997</v>
      </c>
      <c r="BI36" s="341">
        <f t="shared" si="49"/>
        <v>72.70499999999997</v>
      </c>
      <c r="BJ36" s="341">
        <f t="shared" si="49"/>
        <v>69.374999999999986</v>
      </c>
      <c r="BK36" s="341">
        <f t="shared" si="49"/>
        <v>69.374999999999986</v>
      </c>
      <c r="BL36" s="341">
        <f t="shared" si="49"/>
        <v>64.379999999999981</v>
      </c>
      <c r="BM36" s="387">
        <f t="shared" si="49"/>
        <v>832.5</v>
      </c>
      <c r="BN36" s="341">
        <f t="shared" si="49"/>
        <v>79.604999999999961</v>
      </c>
      <c r="BO36" s="341">
        <f t="shared" si="49"/>
        <v>81.663749999999965</v>
      </c>
      <c r="BP36" s="341">
        <f t="shared" si="49"/>
        <v>85.781249999999972</v>
      </c>
      <c r="BQ36" s="341">
        <f t="shared" si="49"/>
        <v>85.781249999999972</v>
      </c>
      <c r="BR36" s="341">
        <f t="shared" si="49"/>
        <v>85.781249999999972</v>
      </c>
      <c r="BS36" s="341">
        <f t="shared" si="49"/>
        <v>89.898749999999978</v>
      </c>
      <c r="BT36" s="341">
        <f t="shared" si="49"/>
        <v>89.898749999999978</v>
      </c>
      <c r="BU36" s="341">
        <f t="shared" si="49"/>
        <v>89.898749999999978</v>
      </c>
      <c r="BV36" s="341">
        <f t="shared" si="49"/>
        <v>89.898749999999978</v>
      </c>
      <c r="BW36" s="341">
        <f t="shared" si="49"/>
        <v>85.781249999999972</v>
      </c>
      <c r="BX36" s="341">
        <f t="shared" si="49"/>
        <v>85.781249999999972</v>
      </c>
      <c r="BY36" s="341">
        <f t="shared" si="49"/>
        <v>79.604999999999961</v>
      </c>
      <c r="BZ36" s="387">
        <f t="shared" si="49"/>
        <v>1029.375</v>
      </c>
    </row>
    <row r="37" spans="1:78" s="292" customFormat="1">
      <c r="A37" s="286" t="s">
        <v>399</v>
      </c>
      <c r="B37" s="287"/>
      <c r="C37" s="287" t="s">
        <v>400</v>
      </c>
      <c r="D37" s="287" t="s">
        <v>279</v>
      </c>
      <c r="E37" s="287" t="s">
        <v>451</v>
      </c>
      <c r="F37" s="287"/>
      <c r="G37" s="287" t="s">
        <v>508</v>
      </c>
      <c r="H37" s="293">
        <v>0.04</v>
      </c>
      <c r="I37" s="287" t="s">
        <v>402</v>
      </c>
      <c r="J37" s="288">
        <f t="shared" si="38"/>
        <v>9096.2999999999993</v>
      </c>
      <c r="K37" s="288" t="s">
        <v>402</v>
      </c>
      <c r="L37" s="376">
        <v>0.15</v>
      </c>
      <c r="M37" s="381"/>
      <c r="N37" s="341">
        <f t="shared" si="47"/>
        <v>5.7510000000000003</v>
      </c>
      <c r="O37" s="341">
        <f t="shared" si="47"/>
        <v>14.377500000000001</v>
      </c>
      <c r="P37" s="341">
        <f t="shared" si="47"/>
        <v>14.377500000000001</v>
      </c>
      <c r="Q37" s="341">
        <f t="shared" si="47"/>
        <v>28.755000000000003</v>
      </c>
      <c r="R37" s="341">
        <f t="shared" si="47"/>
        <v>43.1325</v>
      </c>
      <c r="S37" s="341">
        <f t="shared" si="47"/>
        <v>28.755000000000003</v>
      </c>
      <c r="T37" s="341">
        <f t="shared" si="47"/>
        <v>25.40025</v>
      </c>
      <c r="U37" s="341">
        <f t="shared" si="47"/>
        <v>25.40025</v>
      </c>
      <c r="V37" s="341">
        <f t="shared" si="47"/>
        <v>25.40025</v>
      </c>
      <c r="W37" s="341">
        <f t="shared" si="47"/>
        <v>25.40025</v>
      </c>
      <c r="X37" s="341">
        <f t="shared" si="47"/>
        <v>25.40025</v>
      </c>
      <c r="Y37" s="341">
        <f t="shared" si="47"/>
        <v>25.40025</v>
      </c>
      <c r="Z37" s="387">
        <f t="shared" si="47"/>
        <v>287.55</v>
      </c>
      <c r="AA37" s="341">
        <f t="shared" si="47"/>
        <v>101.78999999999995</v>
      </c>
      <c r="AB37" s="341">
        <f t="shared" si="50"/>
        <v>104.42249999999994</v>
      </c>
      <c r="AC37" s="341">
        <f t="shared" si="50"/>
        <v>109.68749999999996</v>
      </c>
      <c r="AD37" s="341">
        <f t="shared" si="50"/>
        <v>109.68749999999996</v>
      </c>
      <c r="AE37" s="341">
        <f t="shared" si="50"/>
        <v>109.68749999999996</v>
      </c>
      <c r="AF37" s="341">
        <f t="shared" si="50"/>
        <v>114.95249999999997</v>
      </c>
      <c r="AG37" s="341">
        <f t="shared" si="50"/>
        <v>114.95249999999997</v>
      </c>
      <c r="AH37" s="341">
        <f t="shared" si="50"/>
        <v>114.95249999999997</v>
      </c>
      <c r="AI37" s="341">
        <f t="shared" si="50"/>
        <v>114.95249999999997</v>
      </c>
      <c r="AJ37" s="341">
        <f t="shared" si="50"/>
        <v>109.68749999999996</v>
      </c>
      <c r="AK37" s="341">
        <f t="shared" si="50"/>
        <v>109.68749999999996</v>
      </c>
      <c r="AL37" s="341">
        <f t="shared" si="50"/>
        <v>101.78999999999995</v>
      </c>
      <c r="AM37" s="387">
        <f t="shared" si="50"/>
        <v>1316.25</v>
      </c>
      <c r="AN37" s="341">
        <f t="shared" si="49"/>
        <v>147.46499999999989</v>
      </c>
      <c r="AO37" s="341">
        <f t="shared" si="49"/>
        <v>151.27874999999992</v>
      </c>
      <c r="AP37" s="341">
        <f t="shared" si="49"/>
        <v>158.90624999999991</v>
      </c>
      <c r="AQ37" s="341">
        <f t="shared" si="49"/>
        <v>158.90624999999991</v>
      </c>
      <c r="AR37" s="341">
        <f t="shared" si="49"/>
        <v>158.90624999999991</v>
      </c>
      <c r="AS37" s="341">
        <f t="shared" si="49"/>
        <v>166.53374999999991</v>
      </c>
      <c r="AT37" s="341">
        <f t="shared" si="49"/>
        <v>166.53374999999991</v>
      </c>
      <c r="AU37" s="341">
        <f t="shared" si="49"/>
        <v>166.53374999999991</v>
      </c>
      <c r="AV37" s="341">
        <f t="shared" si="49"/>
        <v>166.53374999999991</v>
      </c>
      <c r="AW37" s="341">
        <f t="shared" si="49"/>
        <v>158.90624999999991</v>
      </c>
      <c r="AX37" s="341">
        <f t="shared" si="49"/>
        <v>158.90624999999991</v>
      </c>
      <c r="AY37" s="341">
        <f t="shared" si="49"/>
        <v>147.46499999999989</v>
      </c>
      <c r="AZ37" s="387">
        <f t="shared" si="49"/>
        <v>1906.8749999999995</v>
      </c>
      <c r="BA37" s="341">
        <f t="shared" si="49"/>
        <v>193.1399999999999</v>
      </c>
      <c r="BB37" s="341">
        <f t="shared" si="49"/>
        <v>198.13499999999991</v>
      </c>
      <c r="BC37" s="341">
        <f t="shared" si="49"/>
        <v>208.12499999999991</v>
      </c>
      <c r="BD37" s="341">
        <f t="shared" si="49"/>
        <v>208.12499999999991</v>
      </c>
      <c r="BE37" s="341">
        <f t="shared" si="49"/>
        <v>208.12499999999991</v>
      </c>
      <c r="BF37" s="341">
        <f t="shared" si="49"/>
        <v>218.11499999999992</v>
      </c>
      <c r="BG37" s="341">
        <f t="shared" si="49"/>
        <v>218.11499999999992</v>
      </c>
      <c r="BH37" s="341">
        <f t="shared" si="49"/>
        <v>218.11499999999992</v>
      </c>
      <c r="BI37" s="341">
        <f t="shared" si="49"/>
        <v>218.11499999999992</v>
      </c>
      <c r="BJ37" s="341">
        <f t="shared" si="49"/>
        <v>208.12499999999991</v>
      </c>
      <c r="BK37" s="341">
        <f t="shared" si="49"/>
        <v>208.12499999999991</v>
      </c>
      <c r="BL37" s="341">
        <f t="shared" si="49"/>
        <v>193.1399999999999</v>
      </c>
      <c r="BM37" s="387">
        <f t="shared" si="49"/>
        <v>2497.5</v>
      </c>
      <c r="BN37" s="341">
        <f t="shared" si="49"/>
        <v>238.81499999999988</v>
      </c>
      <c r="BO37" s="341">
        <f t="shared" si="49"/>
        <v>244.99124999999987</v>
      </c>
      <c r="BP37" s="341">
        <f t="shared" si="49"/>
        <v>257.34374999999989</v>
      </c>
      <c r="BQ37" s="341">
        <f t="shared" si="49"/>
        <v>257.34374999999989</v>
      </c>
      <c r="BR37" s="341">
        <f t="shared" si="49"/>
        <v>257.34374999999989</v>
      </c>
      <c r="BS37" s="341">
        <f t="shared" si="49"/>
        <v>269.69624999999991</v>
      </c>
      <c r="BT37" s="341">
        <f t="shared" si="49"/>
        <v>269.69624999999991</v>
      </c>
      <c r="BU37" s="341">
        <f t="shared" si="49"/>
        <v>269.69624999999991</v>
      </c>
      <c r="BV37" s="341">
        <f t="shared" si="49"/>
        <v>269.69624999999991</v>
      </c>
      <c r="BW37" s="341">
        <f t="shared" si="49"/>
        <v>257.34374999999989</v>
      </c>
      <c r="BX37" s="341">
        <f t="shared" si="49"/>
        <v>257.34374999999989</v>
      </c>
      <c r="BY37" s="341">
        <f t="shared" si="49"/>
        <v>238.81499999999988</v>
      </c>
      <c r="BZ37" s="387">
        <f t="shared" si="49"/>
        <v>3088.125</v>
      </c>
    </row>
    <row r="38" spans="1:78" s="292" customFormat="1">
      <c r="A38" s="286" t="s">
        <v>399</v>
      </c>
      <c r="B38" s="287"/>
      <c r="C38" s="287" t="s">
        <v>400</v>
      </c>
      <c r="D38" s="287" t="s">
        <v>279</v>
      </c>
      <c r="E38" s="287" t="s">
        <v>424</v>
      </c>
      <c r="F38" s="287"/>
      <c r="G38" s="287"/>
      <c r="H38" s="294"/>
      <c r="I38" s="287"/>
      <c r="J38" s="288">
        <f t="shared" si="38"/>
        <v>3274.6679999999997</v>
      </c>
      <c r="K38" s="288" t="s">
        <v>402</v>
      </c>
      <c r="L38" s="376">
        <v>5.3999999999999999E-2</v>
      </c>
      <c r="M38" s="381"/>
      <c r="N38" s="341">
        <f t="shared" si="47"/>
        <v>2.07036</v>
      </c>
      <c r="O38" s="341">
        <f t="shared" si="47"/>
        <v>5.1759000000000004</v>
      </c>
      <c r="P38" s="341">
        <f t="shared" si="47"/>
        <v>5.1759000000000004</v>
      </c>
      <c r="Q38" s="341">
        <f t="shared" si="47"/>
        <v>10.351800000000001</v>
      </c>
      <c r="R38" s="341">
        <f t="shared" si="47"/>
        <v>15.527700000000001</v>
      </c>
      <c r="S38" s="341">
        <f t="shared" si="47"/>
        <v>10.351800000000001</v>
      </c>
      <c r="T38" s="341">
        <f t="shared" si="47"/>
        <v>9.1440900000000003</v>
      </c>
      <c r="U38" s="341">
        <f t="shared" si="47"/>
        <v>9.1440900000000003</v>
      </c>
      <c r="V38" s="341">
        <f t="shared" si="47"/>
        <v>9.1440900000000003</v>
      </c>
      <c r="W38" s="341">
        <f t="shared" si="47"/>
        <v>9.1440900000000003</v>
      </c>
      <c r="X38" s="341">
        <f t="shared" si="47"/>
        <v>9.1440900000000003</v>
      </c>
      <c r="Y38" s="341">
        <f t="shared" si="47"/>
        <v>9.1440900000000003</v>
      </c>
      <c r="Z38" s="387">
        <f t="shared" si="47"/>
        <v>103.518</v>
      </c>
      <c r="AA38" s="341">
        <f t="shared" si="47"/>
        <v>36.644399999999983</v>
      </c>
      <c r="AB38" s="341">
        <f t="shared" si="50"/>
        <v>37.592099999999981</v>
      </c>
      <c r="AC38" s="341">
        <f t="shared" si="50"/>
        <v>39.48749999999999</v>
      </c>
      <c r="AD38" s="341">
        <f t="shared" si="50"/>
        <v>39.48749999999999</v>
      </c>
      <c r="AE38" s="341">
        <f t="shared" si="50"/>
        <v>39.48749999999999</v>
      </c>
      <c r="AF38" s="341">
        <f t="shared" si="50"/>
        <v>41.382899999999985</v>
      </c>
      <c r="AG38" s="341">
        <f t="shared" si="50"/>
        <v>41.382899999999985</v>
      </c>
      <c r="AH38" s="341">
        <f t="shared" si="50"/>
        <v>41.382899999999985</v>
      </c>
      <c r="AI38" s="341">
        <f t="shared" si="50"/>
        <v>41.382899999999985</v>
      </c>
      <c r="AJ38" s="341">
        <f t="shared" si="50"/>
        <v>39.48749999999999</v>
      </c>
      <c r="AK38" s="341">
        <f t="shared" si="50"/>
        <v>39.48749999999999</v>
      </c>
      <c r="AL38" s="341">
        <f t="shared" si="50"/>
        <v>36.644399999999983</v>
      </c>
      <c r="AM38" s="387">
        <f t="shared" si="50"/>
        <v>473.85</v>
      </c>
      <c r="AN38" s="341">
        <f t="shared" si="49"/>
        <v>53.087399999999967</v>
      </c>
      <c r="AO38" s="341">
        <f t="shared" si="49"/>
        <v>54.46034999999997</v>
      </c>
      <c r="AP38" s="341">
        <f t="shared" si="49"/>
        <v>57.206249999999976</v>
      </c>
      <c r="AQ38" s="341">
        <f t="shared" si="49"/>
        <v>57.206249999999976</v>
      </c>
      <c r="AR38" s="341">
        <f t="shared" si="49"/>
        <v>57.206249999999976</v>
      </c>
      <c r="AS38" s="341">
        <f t="shared" si="49"/>
        <v>59.952149999999968</v>
      </c>
      <c r="AT38" s="341">
        <f t="shared" si="49"/>
        <v>59.952149999999968</v>
      </c>
      <c r="AU38" s="341">
        <f t="shared" si="49"/>
        <v>59.952149999999968</v>
      </c>
      <c r="AV38" s="341">
        <f t="shared" si="49"/>
        <v>59.952149999999968</v>
      </c>
      <c r="AW38" s="341">
        <f t="shared" si="49"/>
        <v>57.206249999999976</v>
      </c>
      <c r="AX38" s="341">
        <f t="shared" si="49"/>
        <v>57.206249999999976</v>
      </c>
      <c r="AY38" s="341">
        <f t="shared" si="49"/>
        <v>53.087399999999967</v>
      </c>
      <c r="AZ38" s="387">
        <f t="shared" si="49"/>
        <v>686.47499999999991</v>
      </c>
      <c r="BA38" s="341">
        <f t="shared" si="49"/>
        <v>69.530399999999972</v>
      </c>
      <c r="BB38" s="341">
        <f t="shared" si="49"/>
        <v>71.328599999999966</v>
      </c>
      <c r="BC38" s="341">
        <f t="shared" si="49"/>
        <v>74.924999999999969</v>
      </c>
      <c r="BD38" s="341">
        <f t="shared" si="49"/>
        <v>74.924999999999969</v>
      </c>
      <c r="BE38" s="341">
        <f t="shared" si="49"/>
        <v>74.924999999999969</v>
      </c>
      <c r="BF38" s="341">
        <f t="shared" si="49"/>
        <v>78.521399999999971</v>
      </c>
      <c r="BG38" s="341">
        <f t="shared" si="49"/>
        <v>78.521399999999971</v>
      </c>
      <c r="BH38" s="341">
        <f t="shared" si="49"/>
        <v>78.521399999999971</v>
      </c>
      <c r="BI38" s="341">
        <f t="shared" si="49"/>
        <v>78.521399999999971</v>
      </c>
      <c r="BJ38" s="341">
        <f t="shared" si="49"/>
        <v>74.924999999999969</v>
      </c>
      <c r="BK38" s="341">
        <f t="shared" si="49"/>
        <v>74.924999999999969</v>
      </c>
      <c r="BL38" s="341">
        <f t="shared" si="49"/>
        <v>69.530399999999972</v>
      </c>
      <c r="BM38" s="387">
        <f t="shared" si="49"/>
        <v>899.1</v>
      </c>
      <c r="BN38" s="341">
        <f t="shared" si="49"/>
        <v>85.973399999999955</v>
      </c>
      <c r="BO38" s="341">
        <f t="shared" si="49"/>
        <v>88.196849999999955</v>
      </c>
      <c r="BP38" s="341">
        <f t="shared" si="49"/>
        <v>92.643749999999969</v>
      </c>
      <c r="BQ38" s="341">
        <f t="shared" si="49"/>
        <v>92.643749999999969</v>
      </c>
      <c r="BR38" s="341">
        <f t="shared" si="49"/>
        <v>92.643749999999969</v>
      </c>
      <c r="BS38" s="341">
        <f t="shared" si="49"/>
        <v>97.090649999999968</v>
      </c>
      <c r="BT38" s="341">
        <f t="shared" si="49"/>
        <v>97.090649999999968</v>
      </c>
      <c r="BU38" s="341">
        <f t="shared" si="49"/>
        <v>97.090649999999968</v>
      </c>
      <c r="BV38" s="341">
        <f t="shared" si="49"/>
        <v>97.090649999999968</v>
      </c>
      <c r="BW38" s="341">
        <f t="shared" si="49"/>
        <v>92.643749999999969</v>
      </c>
      <c r="BX38" s="341">
        <f t="shared" si="49"/>
        <v>92.643749999999969</v>
      </c>
      <c r="BY38" s="341">
        <f t="shared" si="49"/>
        <v>85.973399999999955</v>
      </c>
      <c r="BZ38" s="387">
        <f t="shared" si="49"/>
        <v>1111.7249999999999</v>
      </c>
    </row>
    <row r="39" spans="1:78" s="360" customFormat="1" ht="16.5" thickBot="1">
      <c r="A39" s="359"/>
      <c r="B39" s="293"/>
      <c r="C39" s="293"/>
      <c r="D39" s="293"/>
      <c r="E39" s="293" t="s">
        <v>511</v>
      </c>
      <c r="F39" s="293"/>
      <c r="G39" s="293"/>
      <c r="H39" s="293"/>
      <c r="I39" s="293"/>
      <c r="J39" s="354"/>
      <c r="K39" s="354"/>
      <c r="L39" s="373"/>
      <c r="M39" s="382"/>
      <c r="N39" s="349">
        <v>0</v>
      </c>
      <c r="O39" s="347">
        <v>0</v>
      </c>
      <c r="P39" s="347">
        <v>0</v>
      </c>
      <c r="Q39" s="347">
        <v>0</v>
      </c>
      <c r="R39" s="347">
        <v>0</v>
      </c>
      <c r="S39" s="347">
        <v>0</v>
      </c>
      <c r="T39" s="347">
        <v>0.31</v>
      </c>
      <c r="U39" s="347">
        <v>0.23</v>
      </c>
      <c r="V39" s="347">
        <v>0.17</v>
      </c>
      <c r="W39" s="347">
        <v>0.14000000000000001</v>
      </c>
      <c r="X39" s="347">
        <v>0.08</v>
      </c>
      <c r="Y39" s="347">
        <v>7.0000000000000007E-2</v>
      </c>
      <c r="Z39" s="348">
        <f>SUM(N39:Y39)</f>
        <v>1</v>
      </c>
      <c r="AA39" s="349">
        <v>6.7666741851935386E-2</v>
      </c>
      <c r="AB39" s="349">
        <v>6.8666742963047742E-2</v>
      </c>
      <c r="AC39" s="349">
        <v>7.1333412592680653E-2</v>
      </c>
      <c r="AD39" s="349">
        <v>7.477786086428985E-2</v>
      </c>
      <c r="AE39" s="349">
        <v>7.8000086666762961E-2</v>
      </c>
      <c r="AF39" s="349">
        <v>8.0443422714914087E-2</v>
      </c>
      <c r="AG39" s="349">
        <v>8.4666760740845268E-2</v>
      </c>
      <c r="AH39" s="349">
        <v>9.1222323580359532E-2</v>
      </c>
      <c r="AI39" s="349">
        <v>9.2333435926039889E-2</v>
      </c>
      <c r="AJ39" s="349">
        <v>9.48889943211048E-2</v>
      </c>
      <c r="AK39" s="349">
        <v>9.5777884197649113E-2</v>
      </c>
      <c r="AL39" s="349">
        <v>0.10022233358037065</v>
      </c>
      <c r="AM39" s="350">
        <f>SUM(AA39:AL39)</f>
        <v>0.99999999999999989</v>
      </c>
      <c r="AN39" s="349">
        <v>7.2491462509279903E-2</v>
      </c>
      <c r="AO39" s="349">
        <v>7.5426874536005953E-2</v>
      </c>
      <c r="AP39" s="349">
        <v>7.6317743132887916E-2</v>
      </c>
      <c r="AQ39" s="349">
        <v>7.6633837107793937E-2</v>
      </c>
      <c r="AR39" s="349">
        <v>8.3147735708982942E-2</v>
      </c>
      <c r="AS39" s="349">
        <v>8.5003711952487029E-2</v>
      </c>
      <c r="AT39" s="349">
        <v>8.5597624350408338E-2</v>
      </c>
      <c r="AU39" s="349">
        <v>8.7973273942093561E-2</v>
      </c>
      <c r="AV39" s="349">
        <v>8.9012620638455858E-2</v>
      </c>
      <c r="AW39" s="349">
        <v>8.9321065590592552E-2</v>
      </c>
      <c r="AX39" s="349">
        <v>8.9467564969735222E-2</v>
      </c>
      <c r="AY39" s="349">
        <v>8.9606149467527291E-2</v>
      </c>
      <c r="AZ39" s="348">
        <f>SUM(AN39:AY39)</f>
        <v>0.99999966390625028</v>
      </c>
      <c r="BA39" s="349">
        <v>6.7666741851935386E-2</v>
      </c>
      <c r="BB39" s="349">
        <v>6.8666742963047742E-2</v>
      </c>
      <c r="BC39" s="349">
        <v>7.1333412592680653E-2</v>
      </c>
      <c r="BD39" s="349">
        <v>7.477786086428985E-2</v>
      </c>
      <c r="BE39" s="349">
        <v>7.8000086666762961E-2</v>
      </c>
      <c r="BF39" s="349">
        <v>8.0443422714914087E-2</v>
      </c>
      <c r="BG39" s="349">
        <v>8.4666760740845268E-2</v>
      </c>
      <c r="BH39" s="349">
        <v>9.1222323580359532E-2</v>
      </c>
      <c r="BI39" s="349">
        <v>9.2333435926039889E-2</v>
      </c>
      <c r="BJ39" s="349">
        <v>9.48889943211048E-2</v>
      </c>
      <c r="BK39" s="349">
        <v>9.5777884197649113E-2</v>
      </c>
      <c r="BL39" s="349">
        <v>0.10022233358037065</v>
      </c>
      <c r="BM39" s="348">
        <f>SUM(BA39:BL39)</f>
        <v>0.99999999999999989</v>
      </c>
      <c r="BN39" s="349">
        <v>8.1288888888888883E-2</v>
      </c>
      <c r="BO39" s="349">
        <v>8.1658753333333334E-2</v>
      </c>
      <c r="BP39" s="349">
        <v>8.2030300661000005E-2</v>
      </c>
      <c r="BQ39" s="349">
        <v>8.2403538529007558E-2</v>
      </c>
      <c r="BR39" s="349">
        <v>8.277847462931455E-2</v>
      </c>
      <c r="BS39" s="349">
        <v>8.3155116688877928E-2</v>
      </c>
      <c r="BT39" s="349">
        <v>8.3533472469812339E-2</v>
      </c>
      <c r="BU39" s="349">
        <v>8.3913549769549997E-2</v>
      </c>
      <c r="BV39" s="349">
        <v>8.4295356421001458E-2</v>
      </c>
      <c r="BW39" s="349">
        <v>8.4678900292717019E-2</v>
      </c>
      <c r="BX39" s="349">
        <v>8.4975300400159992E-2</v>
      </c>
      <c r="BY39" s="349">
        <v>8.5273049128091846E-2</v>
      </c>
      <c r="BZ39" s="348">
        <f>SUM(BN39:BY39)</f>
        <v>0.99998470121175487</v>
      </c>
    </row>
    <row r="40" spans="1:78" s="360" customFormat="1">
      <c r="A40" s="359"/>
      <c r="B40" s="293"/>
      <c r="C40" s="293"/>
      <c r="D40" s="293"/>
      <c r="E40" s="293"/>
      <c r="F40" s="293"/>
      <c r="G40" s="293"/>
      <c r="H40" s="293"/>
      <c r="I40" s="293"/>
      <c r="J40" s="354"/>
      <c r="K40" s="354"/>
      <c r="L40" s="373"/>
      <c r="M40" s="382" t="s">
        <v>514</v>
      </c>
      <c r="N40" s="395">
        <f t="shared" ref="N40:S40" si="51">+N41+N44</f>
        <v>0</v>
      </c>
      <c r="O40" s="395">
        <f t="shared" si="51"/>
        <v>0</v>
      </c>
      <c r="P40" s="395">
        <f t="shared" si="51"/>
        <v>0</v>
      </c>
      <c r="Q40" s="395">
        <f t="shared" si="51"/>
        <v>0</v>
      </c>
      <c r="R40" s="395">
        <f t="shared" si="51"/>
        <v>0</v>
      </c>
      <c r="S40" s="395">
        <f t="shared" si="51"/>
        <v>0</v>
      </c>
      <c r="T40" s="395">
        <f>+T41+T44</f>
        <v>382.72500000000002</v>
      </c>
      <c r="U40" s="395">
        <f t="shared" ref="U40:Y40" si="52">+U41+U44</f>
        <v>226.8</v>
      </c>
      <c r="V40" s="395">
        <f t="shared" si="52"/>
        <v>198.45</v>
      </c>
      <c r="W40" s="395">
        <f t="shared" si="52"/>
        <v>66.150000000000006</v>
      </c>
      <c r="X40" s="395">
        <f t="shared" si="52"/>
        <v>37.800000000000004</v>
      </c>
      <c r="Y40" s="395">
        <f t="shared" si="52"/>
        <v>33.075000000000003</v>
      </c>
      <c r="Z40" s="388">
        <f>+'Income Statement'!B62</f>
        <v>945</v>
      </c>
      <c r="AA40" s="395">
        <f t="shared" ref="AA40" si="53">+AA41+AA44</f>
        <v>799.31338812598676</v>
      </c>
      <c r="AB40" s="395">
        <f t="shared" ref="AB40" si="54">+AB41+AB44</f>
        <v>811.12590125100144</v>
      </c>
      <c r="AC40" s="395">
        <f t="shared" ref="AC40" si="55">+AC41+AC44</f>
        <v>6748.87593625104</v>
      </c>
      <c r="AD40" s="395">
        <f t="shared" ref="AD40" si="56">+AD41+AD44</f>
        <v>883.31348145942388</v>
      </c>
      <c r="AE40" s="395">
        <f t="shared" ref="AE40" si="57">+AE41+AE44</f>
        <v>921.3760237511375</v>
      </c>
      <c r="AF40" s="395">
        <f t="shared" ref="AF40" si="58">+AF41+AF44</f>
        <v>950.23793081992267</v>
      </c>
      <c r="AG40" s="395">
        <f>+AG41+AG44</f>
        <v>1000.1261112512348</v>
      </c>
      <c r="AH40" s="395">
        <f t="shared" ref="AH40" si="59">+AH41+AH44</f>
        <v>1077.5636972929969</v>
      </c>
      <c r="AI40" s="395">
        <f t="shared" ref="AI40" si="60">+AI41+AI44</f>
        <v>6996.9387118763461</v>
      </c>
      <c r="AJ40" s="395">
        <f t="shared" ref="AJ40" si="61">+AJ41+AJ44</f>
        <v>1120.8762454180505</v>
      </c>
      <c r="AK40" s="395">
        <f t="shared" ref="AK40" si="62">+AK41+AK44</f>
        <v>1131.3762570847302</v>
      </c>
      <c r="AL40" s="395">
        <f t="shared" ref="AL40" si="63">+AL41+AL44</f>
        <v>1183.8763154181283</v>
      </c>
      <c r="AM40" s="388">
        <f>+'Income Statement'!C62</f>
        <v>23625</v>
      </c>
      <c r="AN40" s="395">
        <f t="shared" ref="AN40" si="64">+AN41+AN44</f>
        <v>685.04432071269503</v>
      </c>
      <c r="AO40" s="395">
        <f t="shared" ref="AO40" si="65">+AO41+AO44</f>
        <v>712.78396436525622</v>
      </c>
      <c r="AP40" s="395">
        <f t="shared" ref="AP40" si="66">+AP41+AP44</f>
        <v>5446.2026726057911</v>
      </c>
      <c r="AQ40" s="395">
        <f t="shared" ref="AQ40" si="67">+AQ41+AQ44</f>
        <v>724.18976066865275</v>
      </c>
      <c r="AR40" s="395">
        <f t="shared" ref="AR40" si="68">+AR41+AR44</f>
        <v>785.74610244988878</v>
      </c>
      <c r="AS40" s="395">
        <f t="shared" ref="AS40" si="69">+AS41+AS44</f>
        <v>803.28507795100245</v>
      </c>
      <c r="AT40" s="395">
        <f>+AT41+AT44</f>
        <v>808.89755011135878</v>
      </c>
      <c r="AU40" s="395">
        <f t="shared" ref="AU40" si="70">+AU41+AU44</f>
        <v>831.34743875278411</v>
      </c>
      <c r="AV40" s="395">
        <f t="shared" ref="AV40" si="71">+AV41+AV44</f>
        <v>5566.169265033408</v>
      </c>
      <c r="AW40" s="395">
        <f t="shared" ref="AW40" si="72">+AW41+AW44</f>
        <v>844.08406983109967</v>
      </c>
      <c r="AX40" s="395">
        <f t="shared" ref="AX40" si="73">+AX41+AX44</f>
        <v>845.46848896399786</v>
      </c>
      <c r="AY40" s="395">
        <f t="shared" ref="AY40" si="74">+AY41+AY44</f>
        <v>846.77811246813292</v>
      </c>
      <c r="AZ40" s="388">
        <f>+'Income Statement'!D62</f>
        <v>18900</v>
      </c>
      <c r="BA40" s="395">
        <f t="shared" ref="BA40" si="75">+BA41+BA44</f>
        <v>586.16315129239024</v>
      </c>
      <c r="BB40" s="395">
        <f t="shared" ref="BB40" si="76">+BB41+BB44</f>
        <v>594.82566091740102</v>
      </c>
      <c r="BC40" s="395">
        <f t="shared" ref="BC40" si="77">+BC41+BC44</f>
        <v>4949.1756865840962</v>
      </c>
      <c r="BD40" s="395">
        <f t="shared" ref="BD40" si="78">+BD41+BD44</f>
        <v>647.76321973691086</v>
      </c>
      <c r="BE40" s="395">
        <f t="shared" ref="BE40" si="79">+BE41+BE44</f>
        <v>675.67575075083414</v>
      </c>
      <c r="BF40" s="395">
        <f t="shared" ref="BF40" si="80">+BF41+BF44</f>
        <v>696.84114926794325</v>
      </c>
      <c r="BG40" s="395">
        <f>+BG41+BG44</f>
        <v>733.4258149175721</v>
      </c>
      <c r="BH40" s="395">
        <f t="shared" ref="BH40" si="81">+BH41+BH44</f>
        <v>790.21337801486447</v>
      </c>
      <c r="BI40" s="395">
        <f t="shared" ref="BI40" si="82">+BI41+BI44</f>
        <v>5131.0883887093205</v>
      </c>
      <c r="BJ40" s="395">
        <f t="shared" ref="BJ40" si="83">+BJ41+BJ44</f>
        <v>821.97591330657031</v>
      </c>
      <c r="BK40" s="395">
        <f t="shared" ref="BK40" si="84">+BK41+BK44</f>
        <v>829.6759218621354</v>
      </c>
      <c r="BL40" s="395">
        <f t="shared" ref="BL40" si="85">+BL41+BL44</f>
        <v>868.17596463996074</v>
      </c>
      <c r="BM40" s="388">
        <f>+'Income Statement'!E62</f>
        <v>17325</v>
      </c>
      <c r="BN40" s="395">
        <f t="shared" ref="BN40" si="86">+BN41+BN44</f>
        <v>640.15</v>
      </c>
      <c r="BO40" s="395">
        <f t="shared" ref="BO40" si="87">+BO41+BO44</f>
        <v>643.06268250000005</v>
      </c>
      <c r="BP40" s="395">
        <f t="shared" ref="BP40" si="88">+BP41+BP44</f>
        <v>4583.488617705375</v>
      </c>
      <c r="BQ40" s="395">
        <f t="shared" ref="BQ40" si="89">+BQ41+BQ44</f>
        <v>648.92786591593449</v>
      </c>
      <c r="BR40" s="395">
        <f t="shared" ref="BR40" si="90">+BR41+BR44</f>
        <v>651.88048770585203</v>
      </c>
      <c r="BS40" s="395">
        <f t="shared" ref="BS40" si="91">+BS41+BS44</f>
        <v>654.8465439249137</v>
      </c>
      <c r="BT40" s="395">
        <f>+BT41+BT44</f>
        <v>657.82609569977217</v>
      </c>
      <c r="BU40" s="395">
        <f t="shared" ref="BU40" si="92">+BU41+BU44</f>
        <v>660.81920443520619</v>
      </c>
      <c r="BV40" s="395">
        <f t="shared" ref="BV40" si="93">+BV41+BV44</f>
        <v>4601.3259318153869</v>
      </c>
      <c r="BW40" s="395">
        <f t="shared" ref="BW40" si="94">+BW41+BW44</f>
        <v>666.8463398051465</v>
      </c>
      <c r="BX40" s="395">
        <f t="shared" ref="BX40" si="95">+BX41+BX44</f>
        <v>669.1804906512599</v>
      </c>
      <c r="BY40" s="395">
        <f t="shared" ref="BY40" si="96">+BY41+BY44</f>
        <v>671.52526188372326</v>
      </c>
      <c r="BZ40" s="388">
        <f>+'Income Statement'!F62</f>
        <v>15750</v>
      </c>
    </row>
    <row r="41" spans="1:78" s="292" customFormat="1">
      <c r="A41" s="286" t="s">
        <v>399</v>
      </c>
      <c r="B41" s="287"/>
      <c r="C41" s="287" t="s">
        <v>215</v>
      </c>
      <c r="D41" s="287" t="s">
        <v>416</v>
      </c>
      <c r="E41" s="287" t="s">
        <v>495</v>
      </c>
      <c r="F41" s="287"/>
      <c r="G41" s="295"/>
      <c r="H41" s="293"/>
      <c r="I41" s="295"/>
      <c r="J41" s="338">
        <f>+Z41+AM41+AZ41+BM40+BZ40</f>
        <v>54810</v>
      </c>
      <c r="K41" s="288"/>
      <c r="L41" s="376"/>
      <c r="M41" s="381"/>
      <c r="N41" s="291">
        <f t="shared" ref="N41:S41" si="97">+($Z$41/2)*N39</f>
        <v>0</v>
      </c>
      <c r="O41" s="291">
        <f t="shared" si="97"/>
        <v>0</v>
      </c>
      <c r="P41" s="291">
        <f t="shared" si="97"/>
        <v>0</v>
      </c>
      <c r="Q41" s="291">
        <f t="shared" si="97"/>
        <v>0</v>
      </c>
      <c r="R41" s="291">
        <f t="shared" si="97"/>
        <v>0</v>
      </c>
      <c r="S41" s="291">
        <f t="shared" si="97"/>
        <v>0</v>
      </c>
      <c r="T41" s="291">
        <f>(($Z$41)*T39)</f>
        <v>146.47499999999999</v>
      </c>
      <c r="U41" s="291">
        <f>(($Z$41)*U39)</f>
        <v>108.67500000000001</v>
      </c>
      <c r="V41" s="291">
        <f>(($Z$41)*V39)</f>
        <v>80.325000000000003</v>
      </c>
      <c r="W41" s="291">
        <f t="shared" ref="W41:Y41" si="98">(($Z$41)*W39)</f>
        <v>66.150000000000006</v>
      </c>
      <c r="X41" s="291">
        <f t="shared" si="98"/>
        <v>37.800000000000004</v>
      </c>
      <c r="Y41" s="291">
        <f t="shared" si="98"/>
        <v>33.075000000000003</v>
      </c>
      <c r="Z41" s="388">
        <f>+Z$40/2</f>
        <v>472.5</v>
      </c>
      <c r="AA41" s="291">
        <f>(($AM$41)*AA39)</f>
        <v>799.31338812598676</v>
      </c>
      <c r="AB41" s="291">
        <f t="shared" ref="AB41:AL41" si="99">(($AM$41)*AB39)</f>
        <v>811.12590125100144</v>
      </c>
      <c r="AC41" s="291">
        <f t="shared" si="99"/>
        <v>842.62593625104023</v>
      </c>
      <c r="AD41" s="291">
        <f t="shared" si="99"/>
        <v>883.31348145942388</v>
      </c>
      <c r="AE41" s="291">
        <f t="shared" si="99"/>
        <v>921.3760237511375</v>
      </c>
      <c r="AF41" s="291">
        <f t="shared" si="99"/>
        <v>950.23793081992267</v>
      </c>
      <c r="AG41" s="291">
        <f t="shared" si="99"/>
        <v>1000.1261112512348</v>
      </c>
      <c r="AH41" s="291">
        <f t="shared" si="99"/>
        <v>1077.5636972929969</v>
      </c>
      <c r="AI41" s="291">
        <f t="shared" si="99"/>
        <v>1090.6887118763461</v>
      </c>
      <c r="AJ41" s="291">
        <f t="shared" si="99"/>
        <v>1120.8762454180505</v>
      </c>
      <c r="AK41" s="291">
        <f t="shared" si="99"/>
        <v>1131.3762570847302</v>
      </c>
      <c r="AL41" s="291">
        <f t="shared" si="99"/>
        <v>1183.8763154181283</v>
      </c>
      <c r="AM41" s="388">
        <f>+AM$40/2</f>
        <v>11812.5</v>
      </c>
      <c r="AN41" s="291">
        <f>(($AZ$41)*AN39)</f>
        <v>685.04432071269503</v>
      </c>
      <c r="AO41" s="291">
        <f t="shared" ref="AO41:AY41" si="100">(($AZ$41)*AO39)</f>
        <v>712.78396436525622</v>
      </c>
      <c r="AP41" s="291">
        <f t="shared" si="100"/>
        <v>721.20267260579078</v>
      </c>
      <c r="AQ41" s="291">
        <f t="shared" si="100"/>
        <v>724.18976066865275</v>
      </c>
      <c r="AR41" s="291">
        <f t="shared" si="100"/>
        <v>785.74610244988878</v>
      </c>
      <c r="AS41" s="291">
        <f t="shared" si="100"/>
        <v>803.28507795100245</v>
      </c>
      <c r="AT41" s="291">
        <f t="shared" si="100"/>
        <v>808.89755011135878</v>
      </c>
      <c r="AU41" s="291">
        <f t="shared" si="100"/>
        <v>831.34743875278411</v>
      </c>
      <c r="AV41" s="291">
        <f t="shared" si="100"/>
        <v>841.1692650334079</v>
      </c>
      <c r="AW41" s="291">
        <f t="shared" si="100"/>
        <v>844.08406983109967</v>
      </c>
      <c r="AX41" s="291">
        <f t="shared" si="100"/>
        <v>845.46848896399786</v>
      </c>
      <c r="AY41" s="291">
        <f t="shared" si="100"/>
        <v>846.77811246813292</v>
      </c>
      <c r="AZ41" s="388">
        <f>+AZ$40/2</f>
        <v>9450</v>
      </c>
      <c r="BA41" s="291">
        <f>(($BM$41)*BA39)</f>
        <v>586.16315129239024</v>
      </c>
      <c r="BB41" s="291">
        <f t="shared" ref="BB41:BL41" si="101">(($BM$41)*BB39)</f>
        <v>594.82566091740102</v>
      </c>
      <c r="BC41" s="291">
        <f t="shared" si="101"/>
        <v>617.92568658409618</v>
      </c>
      <c r="BD41" s="291">
        <f t="shared" si="101"/>
        <v>647.76321973691086</v>
      </c>
      <c r="BE41" s="291">
        <f t="shared" si="101"/>
        <v>675.67575075083414</v>
      </c>
      <c r="BF41" s="291">
        <f t="shared" si="101"/>
        <v>696.84114926794325</v>
      </c>
      <c r="BG41" s="291">
        <f t="shared" si="101"/>
        <v>733.4258149175721</v>
      </c>
      <c r="BH41" s="291">
        <f t="shared" si="101"/>
        <v>790.21337801486447</v>
      </c>
      <c r="BI41" s="291">
        <f t="shared" si="101"/>
        <v>799.8383887093205</v>
      </c>
      <c r="BJ41" s="291">
        <f t="shared" si="101"/>
        <v>821.97591330657031</v>
      </c>
      <c r="BK41" s="291">
        <f t="shared" si="101"/>
        <v>829.6759218621354</v>
      </c>
      <c r="BL41" s="291">
        <f t="shared" si="101"/>
        <v>868.17596463996074</v>
      </c>
      <c r="BM41" s="388">
        <f>+BM$40/2</f>
        <v>8662.5</v>
      </c>
      <c r="BN41" s="291">
        <f>(($BZ$41)*BN39)</f>
        <v>640.15</v>
      </c>
      <c r="BO41" s="291">
        <f t="shared" ref="BO41:BY41" si="102">(($BZ$41)*BO39)</f>
        <v>643.06268250000005</v>
      </c>
      <c r="BP41" s="291">
        <f t="shared" si="102"/>
        <v>645.98861770537508</v>
      </c>
      <c r="BQ41" s="291">
        <f t="shared" si="102"/>
        <v>648.92786591593449</v>
      </c>
      <c r="BR41" s="291">
        <f t="shared" si="102"/>
        <v>651.88048770585203</v>
      </c>
      <c r="BS41" s="291">
        <f t="shared" si="102"/>
        <v>654.8465439249137</v>
      </c>
      <c r="BT41" s="291">
        <f t="shared" si="102"/>
        <v>657.82609569977217</v>
      </c>
      <c r="BU41" s="291">
        <f t="shared" si="102"/>
        <v>660.81920443520619</v>
      </c>
      <c r="BV41" s="291">
        <f t="shared" si="102"/>
        <v>663.82593181538653</v>
      </c>
      <c r="BW41" s="291">
        <f t="shared" si="102"/>
        <v>666.8463398051465</v>
      </c>
      <c r="BX41" s="291">
        <f t="shared" si="102"/>
        <v>669.1804906512599</v>
      </c>
      <c r="BY41" s="291">
        <f t="shared" si="102"/>
        <v>671.52526188372326</v>
      </c>
      <c r="BZ41" s="388">
        <f>+BZ$40/2</f>
        <v>7875</v>
      </c>
    </row>
    <row r="42" spans="1:78" s="292" customFormat="1">
      <c r="A42" s="286" t="s">
        <v>399</v>
      </c>
      <c r="B42" s="287"/>
      <c r="C42" s="287" t="s">
        <v>415</v>
      </c>
      <c r="D42" s="287" t="s">
        <v>416</v>
      </c>
      <c r="E42" s="287" t="s">
        <v>447</v>
      </c>
      <c r="F42" s="287"/>
      <c r="G42" s="287"/>
      <c r="H42" s="294"/>
      <c r="I42" s="287"/>
      <c r="J42" s="288">
        <f t="shared" ref="J42:J51" si="103">+Z42+AM42+AZ42+BM42+BZ42</f>
        <v>0</v>
      </c>
      <c r="K42" s="288" t="s">
        <v>402</v>
      </c>
      <c r="L42" s="376">
        <v>0.05</v>
      </c>
      <c r="M42" s="342">
        <f>+Z41*L42</f>
        <v>23.625</v>
      </c>
      <c r="N42" s="341">
        <f t="shared" ref="N42:W43" si="104">$L42*N$41*2</f>
        <v>0</v>
      </c>
      <c r="O42" s="341">
        <f t="shared" si="104"/>
        <v>0</v>
      </c>
      <c r="P42" s="341">
        <f t="shared" si="104"/>
        <v>0</v>
      </c>
      <c r="Q42" s="341">
        <f t="shared" si="104"/>
        <v>0</v>
      </c>
      <c r="R42" s="341">
        <f t="shared" si="104"/>
        <v>0</v>
      </c>
      <c r="S42" s="341">
        <f t="shared" si="104"/>
        <v>0</v>
      </c>
      <c r="T42" s="341">
        <f t="shared" si="104"/>
        <v>14.647500000000001</v>
      </c>
      <c r="U42" s="341">
        <f t="shared" si="104"/>
        <v>10.867500000000001</v>
      </c>
      <c r="V42" s="341">
        <f t="shared" si="104"/>
        <v>8.0325000000000006</v>
      </c>
      <c r="W42" s="341">
        <f t="shared" si="104"/>
        <v>6.6150000000000011</v>
      </c>
      <c r="X42" s="341">
        <f t="shared" ref="X42:Y43" si="105">$L42*X$41*2</f>
        <v>3.7800000000000007</v>
      </c>
      <c r="Y42" s="341">
        <f t="shared" si="105"/>
        <v>3.3075000000000006</v>
      </c>
      <c r="Z42" s="387"/>
      <c r="AA42" s="341">
        <f t="shared" ref="AA42:AL43" si="106">$L42*AA$41*2</f>
        <v>79.931338812598682</v>
      </c>
      <c r="AB42" s="341">
        <f t="shared" si="106"/>
        <v>81.112590125100155</v>
      </c>
      <c r="AC42" s="341">
        <f t="shared" si="106"/>
        <v>84.262593625104032</v>
      </c>
      <c r="AD42" s="341">
        <f t="shared" si="106"/>
        <v>88.3313481459424</v>
      </c>
      <c r="AE42" s="341">
        <f t="shared" si="106"/>
        <v>92.137602375113758</v>
      </c>
      <c r="AF42" s="341">
        <f t="shared" si="106"/>
        <v>95.023793081992267</v>
      </c>
      <c r="AG42" s="341">
        <f t="shared" si="106"/>
        <v>100.01261112512348</v>
      </c>
      <c r="AH42" s="341">
        <f t="shared" si="106"/>
        <v>107.75636972929971</v>
      </c>
      <c r="AI42" s="341">
        <f t="shared" si="106"/>
        <v>109.06887118763461</v>
      </c>
      <c r="AJ42" s="341">
        <f t="shared" si="106"/>
        <v>112.08762454180506</v>
      </c>
      <c r="AK42" s="341">
        <f t="shared" si="106"/>
        <v>113.13762570847302</v>
      </c>
      <c r="AL42" s="341">
        <f t="shared" si="106"/>
        <v>118.38763154181284</v>
      </c>
      <c r="AM42" s="387"/>
      <c r="AN42" s="341">
        <f t="shared" ref="AN42:AY43" si="107">$L42*AN$41*2</f>
        <v>68.504432071269505</v>
      </c>
      <c r="AO42" s="341">
        <f t="shared" si="107"/>
        <v>71.278396436525625</v>
      </c>
      <c r="AP42" s="341">
        <f t="shared" si="107"/>
        <v>72.120267260579084</v>
      </c>
      <c r="AQ42" s="341">
        <f t="shared" si="107"/>
        <v>72.418976066865284</v>
      </c>
      <c r="AR42" s="341">
        <f t="shared" si="107"/>
        <v>78.574610244988889</v>
      </c>
      <c r="AS42" s="341">
        <f t="shared" si="107"/>
        <v>80.328507795100251</v>
      </c>
      <c r="AT42" s="341">
        <f t="shared" si="107"/>
        <v>80.88975501113589</v>
      </c>
      <c r="AU42" s="341">
        <f t="shared" si="107"/>
        <v>83.134743875278417</v>
      </c>
      <c r="AV42" s="341">
        <f t="shared" si="107"/>
        <v>84.116926503340792</v>
      </c>
      <c r="AW42" s="341">
        <f t="shared" si="107"/>
        <v>84.40840698310997</v>
      </c>
      <c r="AX42" s="341">
        <f t="shared" si="107"/>
        <v>84.546848896399794</v>
      </c>
      <c r="AY42" s="341">
        <f t="shared" si="107"/>
        <v>84.677811246813292</v>
      </c>
      <c r="AZ42" s="387"/>
      <c r="BA42" s="341">
        <f t="shared" ref="BA42:BD43" si="108">$L42*BA$41*2</f>
        <v>58.616315129239027</v>
      </c>
      <c r="BB42" s="341">
        <f t="shared" si="108"/>
        <v>59.482566091740104</v>
      </c>
      <c r="BC42" s="341">
        <f t="shared" si="108"/>
        <v>61.792568658409621</v>
      </c>
      <c r="BD42" s="341">
        <f t="shared" si="108"/>
        <v>64.776321973691083</v>
      </c>
      <c r="BE42" s="341">
        <f t="shared" ref="BE42:BG43" si="109">$L42*BE$41*2</f>
        <v>67.567575075083411</v>
      </c>
      <c r="BF42" s="341">
        <f t="shared" si="109"/>
        <v>69.684114926794322</v>
      </c>
      <c r="BG42" s="341">
        <f t="shared" si="109"/>
        <v>73.342581491757215</v>
      </c>
      <c r="BH42" s="341">
        <f>$L42*BH$41*2</f>
        <v>79.021337801486453</v>
      </c>
      <c r="BI42" s="341">
        <f t="shared" ref="BI42:BI43" si="110">$L42*BI$41*2</f>
        <v>79.983838870932061</v>
      </c>
      <c r="BJ42" s="341">
        <f t="shared" ref="BJ42:BL43" si="111">$L42*BJ$41*2</f>
        <v>82.197591330657033</v>
      </c>
      <c r="BK42" s="341">
        <f t="shared" si="111"/>
        <v>82.967592186213551</v>
      </c>
      <c r="BL42" s="341">
        <f t="shared" si="111"/>
        <v>86.817596463996082</v>
      </c>
      <c r="BM42" s="387"/>
      <c r="BN42" s="341">
        <f>$L42*BN$41*2</f>
        <v>64.015000000000001</v>
      </c>
      <c r="BO42" s="341">
        <f>$L42*BO$41*2</f>
        <v>64.306268250000002</v>
      </c>
      <c r="BP42" s="341">
        <f t="shared" ref="BP42:BP43" si="112">$L42*BP$41*2</f>
        <v>64.598861770537511</v>
      </c>
      <c r="BQ42" s="341">
        <f t="shared" ref="BQ42:BU43" si="113">$L42*BQ$41*2</f>
        <v>64.892786591593449</v>
      </c>
      <c r="BR42" s="341">
        <f t="shared" si="113"/>
        <v>65.188048770585212</v>
      </c>
      <c r="BS42" s="341">
        <f t="shared" si="113"/>
        <v>65.484654392491379</v>
      </c>
      <c r="BT42" s="341">
        <f t="shared" si="113"/>
        <v>65.782609569977225</v>
      </c>
      <c r="BU42" s="341">
        <f t="shared" si="113"/>
        <v>66.081920443520616</v>
      </c>
      <c r="BV42" s="341">
        <f t="shared" ref="BV42:BV43" si="114">$L42*BV$41*2</f>
        <v>66.382593181538653</v>
      </c>
      <c r="BW42" s="341">
        <f t="shared" ref="BW42:BY43" si="115">$L42*BW$41*2</f>
        <v>66.684633980514647</v>
      </c>
      <c r="BX42" s="341">
        <f t="shared" si="115"/>
        <v>66.918049065125999</v>
      </c>
      <c r="BY42" s="341">
        <f t="shared" si="115"/>
        <v>67.152526188372335</v>
      </c>
      <c r="BZ42" s="387"/>
    </row>
    <row r="43" spans="1:78" s="292" customFormat="1">
      <c r="A43" s="286" t="s">
        <v>399</v>
      </c>
      <c r="B43" s="287"/>
      <c r="C43" s="287" t="s">
        <v>400</v>
      </c>
      <c r="D43" s="287" t="s">
        <v>416</v>
      </c>
      <c r="E43" s="287" t="s">
        <v>448</v>
      </c>
      <c r="F43" s="287"/>
      <c r="G43" s="287"/>
      <c r="H43" s="294"/>
      <c r="I43" s="287"/>
      <c r="J43" s="288">
        <f t="shared" si="103"/>
        <v>0</v>
      </c>
      <c r="K43" s="288" t="s">
        <v>402</v>
      </c>
      <c r="L43" s="376">
        <v>0.05</v>
      </c>
      <c r="M43" s="342">
        <f>+Z41*L43</f>
        <v>23.625</v>
      </c>
      <c r="N43" s="341">
        <f t="shared" si="104"/>
        <v>0</v>
      </c>
      <c r="O43" s="341">
        <f t="shared" si="104"/>
        <v>0</v>
      </c>
      <c r="P43" s="341">
        <f t="shared" si="104"/>
        <v>0</v>
      </c>
      <c r="Q43" s="341">
        <f t="shared" si="104"/>
        <v>0</v>
      </c>
      <c r="R43" s="341">
        <f t="shared" si="104"/>
        <v>0</v>
      </c>
      <c r="S43" s="341">
        <f t="shared" si="104"/>
        <v>0</v>
      </c>
      <c r="T43" s="341">
        <f t="shared" si="104"/>
        <v>14.647500000000001</v>
      </c>
      <c r="U43" s="341">
        <f t="shared" si="104"/>
        <v>10.867500000000001</v>
      </c>
      <c r="V43" s="341">
        <f t="shared" si="104"/>
        <v>8.0325000000000006</v>
      </c>
      <c r="W43" s="341">
        <f t="shared" si="104"/>
        <v>6.6150000000000011</v>
      </c>
      <c r="X43" s="341">
        <f t="shared" si="105"/>
        <v>3.7800000000000007</v>
      </c>
      <c r="Y43" s="341">
        <f t="shared" si="105"/>
        <v>3.3075000000000006</v>
      </c>
      <c r="Z43" s="387"/>
      <c r="AA43" s="341">
        <f t="shared" si="106"/>
        <v>79.931338812598682</v>
      </c>
      <c r="AB43" s="341">
        <f t="shared" si="106"/>
        <v>81.112590125100155</v>
      </c>
      <c r="AC43" s="341">
        <f t="shared" si="106"/>
        <v>84.262593625104032</v>
      </c>
      <c r="AD43" s="341">
        <f t="shared" si="106"/>
        <v>88.3313481459424</v>
      </c>
      <c r="AE43" s="341">
        <f t="shared" si="106"/>
        <v>92.137602375113758</v>
      </c>
      <c r="AF43" s="341">
        <f t="shared" si="106"/>
        <v>95.023793081992267</v>
      </c>
      <c r="AG43" s="341">
        <f t="shared" si="106"/>
        <v>100.01261112512348</v>
      </c>
      <c r="AH43" s="341">
        <f t="shared" si="106"/>
        <v>107.75636972929971</v>
      </c>
      <c r="AI43" s="341">
        <f t="shared" si="106"/>
        <v>109.06887118763461</v>
      </c>
      <c r="AJ43" s="341">
        <f t="shared" si="106"/>
        <v>112.08762454180506</v>
      </c>
      <c r="AK43" s="341">
        <f t="shared" si="106"/>
        <v>113.13762570847302</v>
      </c>
      <c r="AL43" s="341">
        <f t="shared" si="106"/>
        <v>118.38763154181284</v>
      </c>
      <c r="AM43" s="387"/>
      <c r="AN43" s="341">
        <f t="shared" si="107"/>
        <v>68.504432071269505</v>
      </c>
      <c r="AO43" s="341">
        <f t="shared" si="107"/>
        <v>71.278396436525625</v>
      </c>
      <c r="AP43" s="341">
        <f t="shared" si="107"/>
        <v>72.120267260579084</v>
      </c>
      <c r="AQ43" s="341">
        <f t="shared" si="107"/>
        <v>72.418976066865284</v>
      </c>
      <c r="AR43" s="341">
        <f t="shared" si="107"/>
        <v>78.574610244988889</v>
      </c>
      <c r="AS43" s="341">
        <f t="shared" si="107"/>
        <v>80.328507795100251</v>
      </c>
      <c r="AT43" s="341">
        <f t="shared" si="107"/>
        <v>80.88975501113589</v>
      </c>
      <c r="AU43" s="341">
        <f t="shared" si="107"/>
        <v>83.134743875278417</v>
      </c>
      <c r="AV43" s="341">
        <f t="shared" si="107"/>
        <v>84.116926503340792</v>
      </c>
      <c r="AW43" s="341">
        <f t="shared" si="107"/>
        <v>84.40840698310997</v>
      </c>
      <c r="AX43" s="341">
        <f t="shared" si="107"/>
        <v>84.546848896399794</v>
      </c>
      <c r="AY43" s="341">
        <f t="shared" si="107"/>
        <v>84.677811246813292</v>
      </c>
      <c r="AZ43" s="387"/>
      <c r="BA43" s="341">
        <f t="shared" si="108"/>
        <v>58.616315129239027</v>
      </c>
      <c r="BB43" s="341">
        <f t="shared" si="108"/>
        <v>59.482566091740104</v>
      </c>
      <c r="BC43" s="341">
        <f t="shared" si="108"/>
        <v>61.792568658409621</v>
      </c>
      <c r="BD43" s="341">
        <f t="shared" si="108"/>
        <v>64.776321973691083</v>
      </c>
      <c r="BE43" s="341">
        <f t="shared" si="109"/>
        <v>67.567575075083411</v>
      </c>
      <c r="BF43" s="341">
        <f t="shared" si="109"/>
        <v>69.684114926794322</v>
      </c>
      <c r="BG43" s="341">
        <f t="shared" si="109"/>
        <v>73.342581491757215</v>
      </c>
      <c r="BH43" s="341">
        <f>$L43*BH$41*2</f>
        <v>79.021337801486453</v>
      </c>
      <c r="BI43" s="341">
        <f t="shared" si="110"/>
        <v>79.983838870932061</v>
      </c>
      <c r="BJ43" s="341">
        <f t="shared" si="111"/>
        <v>82.197591330657033</v>
      </c>
      <c r="BK43" s="341">
        <f t="shared" si="111"/>
        <v>82.967592186213551</v>
      </c>
      <c r="BL43" s="341">
        <f t="shared" si="111"/>
        <v>86.817596463996082</v>
      </c>
      <c r="BM43" s="387"/>
      <c r="BN43" s="341">
        <f>$L43*BN$41*2</f>
        <v>64.015000000000001</v>
      </c>
      <c r="BO43" s="341">
        <f>$L43*BO$41*2</f>
        <v>64.306268250000002</v>
      </c>
      <c r="BP43" s="341">
        <f t="shared" si="112"/>
        <v>64.598861770537511</v>
      </c>
      <c r="BQ43" s="341">
        <f t="shared" si="113"/>
        <v>64.892786591593449</v>
      </c>
      <c r="BR43" s="341">
        <f t="shared" si="113"/>
        <v>65.188048770585212</v>
      </c>
      <c r="BS43" s="341">
        <f t="shared" si="113"/>
        <v>65.484654392491379</v>
      </c>
      <c r="BT43" s="341">
        <f t="shared" si="113"/>
        <v>65.782609569977225</v>
      </c>
      <c r="BU43" s="341">
        <f t="shared" si="113"/>
        <v>66.081920443520616</v>
      </c>
      <c r="BV43" s="341">
        <f t="shared" si="114"/>
        <v>66.382593181538653</v>
      </c>
      <c r="BW43" s="341">
        <f t="shared" si="115"/>
        <v>66.684633980514647</v>
      </c>
      <c r="BX43" s="341">
        <f t="shared" si="115"/>
        <v>66.918049065125999</v>
      </c>
      <c r="BY43" s="341">
        <f t="shared" si="115"/>
        <v>67.152526188372335</v>
      </c>
      <c r="BZ43" s="387"/>
    </row>
    <row r="44" spans="1:78" s="292" customFormat="1">
      <c r="A44" s="286" t="s">
        <v>399</v>
      </c>
      <c r="B44" s="287"/>
      <c r="C44" s="287" t="s">
        <v>400</v>
      </c>
      <c r="D44" s="287" t="s">
        <v>416</v>
      </c>
      <c r="E44" s="287" t="s">
        <v>492</v>
      </c>
      <c r="F44" s="287"/>
      <c r="G44" s="287" t="s">
        <v>512</v>
      </c>
      <c r="H44" s="293"/>
      <c r="I44" s="287"/>
      <c r="J44" s="288">
        <f t="shared" si="103"/>
        <v>38272.5</v>
      </c>
      <c r="K44" s="288"/>
      <c r="L44" s="376">
        <v>0.5</v>
      </c>
      <c r="M44" s="342">
        <f>+L44*Z41</f>
        <v>236.25</v>
      </c>
      <c r="N44" s="291"/>
      <c r="O44" s="291"/>
      <c r="P44" s="291"/>
      <c r="Q44" s="291"/>
      <c r="R44" s="291"/>
      <c r="S44" s="291"/>
      <c r="T44" s="287">
        <f>+$Z$40*0.5*0.5</f>
        <v>236.25</v>
      </c>
      <c r="U44" s="287">
        <f>+$Z$40*0.5*0.25</f>
        <v>118.125</v>
      </c>
      <c r="V44" s="287">
        <f>+$Z$40*0.5*0.25</f>
        <v>118.125</v>
      </c>
      <c r="W44" s="291"/>
      <c r="X44" s="291"/>
      <c r="Y44" s="291"/>
      <c r="Z44" s="388">
        <f>+Z$40/2</f>
        <v>472.5</v>
      </c>
      <c r="AA44" s="291"/>
      <c r="AB44" s="291"/>
      <c r="AC44" s="287">
        <f>+$AM$40*0.5*0.5</f>
        <v>5906.25</v>
      </c>
      <c r="AD44" s="291"/>
      <c r="AE44" s="291"/>
      <c r="AF44" s="291"/>
      <c r="AG44" s="291"/>
      <c r="AH44" s="291"/>
      <c r="AI44" s="287">
        <f>+$AM$40*0.5*0.5</f>
        <v>5906.25</v>
      </c>
      <c r="AJ44" s="291"/>
      <c r="AK44" s="291"/>
      <c r="AL44" s="291"/>
      <c r="AM44" s="388">
        <f>+AM$40/2</f>
        <v>11812.5</v>
      </c>
      <c r="AN44" s="291"/>
      <c r="AO44" s="291"/>
      <c r="AP44" s="287">
        <f>+$AZ$40*0.5*0.5</f>
        <v>4725</v>
      </c>
      <c r="AQ44" s="291"/>
      <c r="AR44" s="291"/>
      <c r="AS44" s="291"/>
      <c r="AT44" s="291"/>
      <c r="AU44" s="291"/>
      <c r="AV44" s="287">
        <f>+$AZ$40*0.5*0.5</f>
        <v>4725</v>
      </c>
      <c r="AW44" s="291"/>
      <c r="AX44" s="291"/>
      <c r="AY44" s="291"/>
      <c r="AZ44" s="388">
        <f>+AZ$40/2</f>
        <v>9450</v>
      </c>
      <c r="BA44" s="291"/>
      <c r="BB44" s="291"/>
      <c r="BC44" s="287">
        <f>+$BM$40*0.5*0.5</f>
        <v>4331.25</v>
      </c>
      <c r="BD44" s="291"/>
      <c r="BE44" s="291"/>
      <c r="BF44" s="291"/>
      <c r="BG44" s="291"/>
      <c r="BH44" s="291"/>
      <c r="BI44" s="287">
        <f>+$BM$40*0.5*0.5</f>
        <v>4331.25</v>
      </c>
      <c r="BJ44" s="291"/>
      <c r="BK44" s="291"/>
      <c r="BL44" s="291"/>
      <c r="BM44" s="388">
        <f>+BM$40/2</f>
        <v>8662.5</v>
      </c>
      <c r="BN44" s="291"/>
      <c r="BO44" s="291"/>
      <c r="BP44" s="287">
        <f>+$BZ$40*0.5*0.5</f>
        <v>3937.5</v>
      </c>
      <c r="BQ44" s="291"/>
      <c r="BR44" s="291"/>
      <c r="BS44" s="291"/>
      <c r="BT44" s="291"/>
      <c r="BU44" s="291"/>
      <c r="BV44" s="287">
        <f>+$BZ$40*0.5*0.5</f>
        <v>3937.5</v>
      </c>
      <c r="BW44" s="291"/>
      <c r="BX44" s="291"/>
      <c r="BY44" s="291"/>
      <c r="BZ44" s="388">
        <f>+BZ$40/2</f>
        <v>7875</v>
      </c>
    </row>
    <row r="45" spans="1:78" s="292" customFormat="1">
      <c r="A45" s="286" t="s">
        <v>399</v>
      </c>
      <c r="B45" s="287"/>
      <c r="C45" s="287" t="s">
        <v>400</v>
      </c>
      <c r="D45" s="287" t="s">
        <v>416</v>
      </c>
      <c r="E45" s="287" t="s">
        <v>493</v>
      </c>
      <c r="F45" s="287"/>
      <c r="G45" s="287"/>
      <c r="H45" s="293"/>
      <c r="I45" s="287"/>
      <c r="J45" s="288">
        <f t="shared" si="103"/>
        <v>0</v>
      </c>
      <c r="K45" s="288"/>
      <c r="L45" s="376">
        <v>0.4</v>
      </c>
      <c r="M45" s="342">
        <f>+Z41*L45</f>
        <v>189</v>
      </c>
      <c r="N45" s="341">
        <f t="shared" ref="N45:S45" si="116">$L45*N$41*2</f>
        <v>0</v>
      </c>
      <c r="O45" s="341">
        <f t="shared" si="116"/>
        <v>0</v>
      </c>
      <c r="P45" s="341">
        <f t="shared" si="116"/>
        <v>0</v>
      </c>
      <c r="Q45" s="341">
        <f t="shared" si="116"/>
        <v>0</v>
      </c>
      <c r="R45" s="341">
        <f t="shared" si="116"/>
        <v>0</v>
      </c>
      <c r="S45" s="341">
        <f t="shared" si="116"/>
        <v>0</v>
      </c>
      <c r="T45" s="341">
        <f>$L45*T$41*2</f>
        <v>117.18</v>
      </c>
      <c r="U45" s="341">
        <f>$L45*U$41*2</f>
        <v>86.940000000000012</v>
      </c>
      <c r="V45" s="341">
        <f>$L45*V$41*2</f>
        <v>64.260000000000005</v>
      </c>
      <c r="W45" s="341">
        <f>$L45*W$41*2</f>
        <v>52.920000000000009</v>
      </c>
      <c r="X45" s="341">
        <f t="shared" ref="X45:Y45" si="117">$L45*X$41*2</f>
        <v>30.240000000000006</v>
      </c>
      <c r="Y45" s="341">
        <f t="shared" si="117"/>
        <v>26.460000000000004</v>
      </c>
      <c r="Z45" s="387"/>
      <c r="AA45" s="341">
        <f t="shared" ref="AA45:AL45" si="118">$L45*AA$41*2</f>
        <v>639.45071050078946</v>
      </c>
      <c r="AB45" s="341">
        <f t="shared" si="118"/>
        <v>648.90072100080124</v>
      </c>
      <c r="AC45" s="341">
        <f t="shared" si="118"/>
        <v>674.10074900083225</v>
      </c>
      <c r="AD45" s="341">
        <f t="shared" si="118"/>
        <v>706.6507851675392</v>
      </c>
      <c r="AE45" s="341">
        <f t="shared" si="118"/>
        <v>737.10081900091006</v>
      </c>
      <c r="AF45" s="341">
        <f t="shared" si="118"/>
        <v>760.19034465593813</v>
      </c>
      <c r="AG45" s="341">
        <f t="shared" si="118"/>
        <v>800.10088900098788</v>
      </c>
      <c r="AH45" s="341">
        <f t="shared" si="118"/>
        <v>862.05095783439765</v>
      </c>
      <c r="AI45" s="341">
        <f t="shared" si="118"/>
        <v>872.55096950107691</v>
      </c>
      <c r="AJ45" s="341">
        <f t="shared" si="118"/>
        <v>896.70099633444045</v>
      </c>
      <c r="AK45" s="341">
        <f t="shared" si="118"/>
        <v>905.10100566778419</v>
      </c>
      <c r="AL45" s="341">
        <f t="shared" si="118"/>
        <v>947.1010523345027</v>
      </c>
      <c r="AM45" s="387"/>
      <c r="AN45" s="341">
        <f t="shared" ref="AN45:AY45" si="119">$L45*AN$41*2</f>
        <v>548.03545657015604</v>
      </c>
      <c r="AO45" s="341">
        <f t="shared" si="119"/>
        <v>570.227171492205</v>
      </c>
      <c r="AP45" s="341">
        <f t="shared" si="119"/>
        <v>576.96213808463267</v>
      </c>
      <c r="AQ45" s="341">
        <f t="shared" si="119"/>
        <v>579.35180853492227</v>
      </c>
      <c r="AR45" s="341">
        <f t="shared" si="119"/>
        <v>628.59688195991112</v>
      </c>
      <c r="AS45" s="341">
        <f t="shared" si="119"/>
        <v>642.62806236080201</v>
      </c>
      <c r="AT45" s="341">
        <f t="shared" si="119"/>
        <v>647.11804008908712</v>
      </c>
      <c r="AU45" s="341">
        <f t="shared" si="119"/>
        <v>665.07795100222734</v>
      </c>
      <c r="AV45" s="341">
        <f t="shared" si="119"/>
        <v>672.93541202672634</v>
      </c>
      <c r="AW45" s="341">
        <f t="shared" si="119"/>
        <v>675.26725586487976</v>
      </c>
      <c r="AX45" s="341">
        <f t="shared" si="119"/>
        <v>676.37479117119835</v>
      </c>
      <c r="AY45" s="341">
        <f t="shared" si="119"/>
        <v>677.42248997450633</v>
      </c>
      <c r="AZ45" s="387"/>
      <c r="BA45" s="341">
        <f>$L45*BA$41*2</f>
        <v>468.93052103391221</v>
      </c>
      <c r="BB45" s="341">
        <f>$L45*BB$41*2</f>
        <v>475.86052873392083</v>
      </c>
      <c r="BC45" s="341">
        <f>$L45*BC$41*2</f>
        <v>494.34054926727697</v>
      </c>
      <c r="BD45" s="341">
        <f>$L45*BD$41*2</f>
        <v>518.21057578952866</v>
      </c>
      <c r="BE45" s="341">
        <f t="shared" ref="BE45:BG45" si="120">$L45*BE$41*2</f>
        <v>540.54060060066729</v>
      </c>
      <c r="BF45" s="341">
        <f t="shared" si="120"/>
        <v>557.47291941435458</v>
      </c>
      <c r="BG45" s="341">
        <f t="shared" si="120"/>
        <v>586.74065193405772</v>
      </c>
      <c r="BH45" s="341">
        <f>$L45*BH$41*2</f>
        <v>632.17070241189163</v>
      </c>
      <c r="BI45" s="341">
        <f>$L45*BI$41*2</f>
        <v>639.87071096745649</v>
      </c>
      <c r="BJ45" s="341">
        <f t="shared" ref="BJ45:BL45" si="121">$L45*BJ$41*2</f>
        <v>657.58073064525627</v>
      </c>
      <c r="BK45" s="341">
        <f t="shared" si="121"/>
        <v>663.74073748970841</v>
      </c>
      <c r="BL45" s="341">
        <f t="shared" si="121"/>
        <v>694.54077171196866</v>
      </c>
      <c r="BM45" s="387"/>
      <c r="BN45" s="341">
        <f>$L45*BN$41*2</f>
        <v>512.12</v>
      </c>
      <c r="BO45" s="341">
        <f>$L45*BO$41*2</f>
        <v>514.45014600000002</v>
      </c>
      <c r="BP45" s="341">
        <f t="shared" ref="BP45" si="122">$L45*BP$41*2</f>
        <v>516.79089416430008</v>
      </c>
      <c r="BQ45" s="341">
        <f>$L45*BQ$41*2</f>
        <v>519.14229273274759</v>
      </c>
      <c r="BR45" s="341">
        <f>$L45*BR$41*2</f>
        <v>521.50439016468169</v>
      </c>
      <c r="BS45" s="341">
        <f>$L45*BS$41*2</f>
        <v>523.87723513993103</v>
      </c>
      <c r="BT45" s="341">
        <f>$L45*BT$41*2</f>
        <v>526.2608765598178</v>
      </c>
      <c r="BU45" s="341">
        <f>$L45*BU$41*2</f>
        <v>528.65536354816493</v>
      </c>
      <c r="BV45" s="341">
        <f t="shared" ref="BV45" si="123">$L45*BV$41*2</f>
        <v>531.06074545230922</v>
      </c>
      <c r="BW45" s="341">
        <f>$L45*BW$41*2</f>
        <v>533.47707184411718</v>
      </c>
      <c r="BX45" s="341">
        <f>$L45*BX$41*2</f>
        <v>535.34439252100799</v>
      </c>
      <c r="BY45" s="341">
        <f>$L45*BY$41*2</f>
        <v>537.22020950697868</v>
      </c>
      <c r="BZ45" s="387"/>
    </row>
    <row r="46" spans="1:78" s="360" customFormat="1">
      <c r="A46" s="359" t="s">
        <v>399</v>
      </c>
      <c r="B46" s="293"/>
      <c r="C46" s="293" t="s">
        <v>215</v>
      </c>
      <c r="D46" s="293" t="s">
        <v>439</v>
      </c>
      <c r="E46" s="293" t="s">
        <v>439</v>
      </c>
      <c r="F46" s="293"/>
      <c r="G46" s="293"/>
      <c r="H46" s="293"/>
      <c r="I46" s="293"/>
      <c r="J46" s="354">
        <f t="shared" si="103"/>
        <v>0</v>
      </c>
      <c r="K46" s="354" t="s">
        <v>402</v>
      </c>
      <c r="L46" s="373"/>
      <c r="M46" s="354"/>
      <c r="N46" s="357"/>
      <c r="O46" s="293"/>
      <c r="P46" s="293"/>
      <c r="Q46" s="293"/>
      <c r="R46" s="293"/>
      <c r="S46" s="293"/>
      <c r="T46" s="394"/>
      <c r="U46" s="293"/>
      <c r="V46" s="293"/>
      <c r="W46" s="293"/>
      <c r="X46" s="293"/>
      <c r="Y46" s="355"/>
      <c r="Z46" s="388"/>
      <c r="AA46" s="357"/>
      <c r="AB46" s="293"/>
      <c r="AC46" s="293"/>
      <c r="AD46" s="293"/>
      <c r="AE46" s="293"/>
      <c r="AF46" s="293"/>
      <c r="AG46" s="293"/>
      <c r="AH46" s="293"/>
      <c r="AI46" s="293"/>
      <c r="AJ46" s="293"/>
      <c r="AK46" s="293"/>
      <c r="AL46" s="293"/>
      <c r="AM46" s="388"/>
      <c r="AN46" s="293"/>
      <c r="AO46" s="293"/>
      <c r="AP46" s="293"/>
      <c r="AQ46" s="293"/>
      <c r="AR46" s="293"/>
      <c r="AS46" s="293"/>
      <c r="AT46" s="293"/>
      <c r="AU46" s="293"/>
      <c r="AV46" s="293"/>
      <c r="AW46" s="293"/>
      <c r="AX46" s="293"/>
      <c r="AY46" s="293"/>
      <c r="AZ46" s="388"/>
      <c r="BA46" s="293"/>
      <c r="BB46" s="293"/>
      <c r="BC46" s="293"/>
      <c r="BD46" s="293"/>
      <c r="BE46" s="293"/>
      <c r="BF46" s="293"/>
      <c r="BG46" s="293"/>
      <c r="BH46" s="293"/>
      <c r="BI46" s="293"/>
      <c r="BJ46" s="293"/>
      <c r="BK46" s="293"/>
      <c r="BL46" s="293"/>
      <c r="BM46" s="388"/>
      <c r="BN46" s="293"/>
      <c r="BO46" s="293"/>
      <c r="BP46" s="293"/>
      <c r="BQ46" s="293"/>
      <c r="BR46" s="293"/>
      <c r="BS46" s="293"/>
      <c r="BT46" s="293"/>
      <c r="BU46" s="293"/>
      <c r="BV46" s="293"/>
      <c r="BW46" s="293"/>
      <c r="BX46" s="293"/>
      <c r="BY46" s="293"/>
      <c r="BZ46" s="388"/>
    </row>
    <row r="47" spans="1:78" s="301" customFormat="1" ht="15" customHeight="1">
      <c r="A47" s="296" t="s">
        <v>274</v>
      </c>
      <c r="B47" s="297"/>
      <c r="C47" s="297"/>
      <c r="D47" s="297"/>
      <c r="E47" s="297" t="s">
        <v>155</v>
      </c>
      <c r="F47" s="297"/>
      <c r="G47" s="297"/>
      <c r="H47" s="297"/>
      <c r="I47" s="297"/>
      <c r="J47" s="297"/>
      <c r="K47" s="297"/>
      <c r="L47" s="298"/>
      <c r="M47" s="297"/>
      <c r="N47" s="396">
        <f>SUM(N48:N49)</f>
        <v>0</v>
      </c>
      <c r="O47" s="396">
        <f t="shared" ref="O47:BZ47" si="124">SUM(O48:O49)</f>
        <v>0</v>
      </c>
      <c r="P47" s="396">
        <f t="shared" si="124"/>
        <v>0</v>
      </c>
      <c r="Q47" s="396">
        <f t="shared" si="124"/>
        <v>0</v>
      </c>
      <c r="R47" s="396">
        <f t="shared" si="124"/>
        <v>0</v>
      </c>
      <c r="S47" s="396">
        <f t="shared" si="124"/>
        <v>0</v>
      </c>
      <c r="T47" s="396">
        <f t="shared" si="124"/>
        <v>20.579661189040586</v>
      </c>
      <c r="U47" s="396">
        <f t="shared" si="124"/>
        <v>32.927457902464937</v>
      </c>
      <c r="V47" s="396">
        <f t="shared" si="124"/>
        <v>57.623051329313647</v>
      </c>
      <c r="W47" s="396">
        <f t="shared" si="124"/>
        <v>78.202712518354218</v>
      </c>
      <c r="X47" s="396">
        <f t="shared" si="124"/>
        <v>94.666441469586687</v>
      </c>
      <c r="Y47" s="396">
        <f t="shared" si="124"/>
        <v>127.59389937205162</v>
      </c>
      <c r="Z47" s="396">
        <f t="shared" si="124"/>
        <v>411.59322378081174</v>
      </c>
      <c r="AA47" s="396">
        <f t="shared" si="124"/>
        <v>3027.5039472266085</v>
      </c>
      <c r="AB47" s="396">
        <f t="shared" si="124"/>
        <v>3290.0040055600039</v>
      </c>
      <c r="AC47" s="396">
        <f t="shared" si="124"/>
        <v>4494.0049933388837</v>
      </c>
      <c r="AD47" s="396">
        <f t="shared" si="124"/>
        <v>3937.5045500050574</v>
      </c>
      <c r="AE47" s="396">
        <f t="shared" si="124"/>
        <v>3963.750455000506</v>
      </c>
      <c r="AF47" s="396">
        <f t="shared" si="124"/>
        <v>3990.0045500050574</v>
      </c>
      <c r="AG47" s="396">
        <f t="shared" si="124"/>
        <v>4340.004938894378</v>
      </c>
      <c r="AH47" s="396">
        <f t="shared" si="124"/>
        <v>4445.0049388943762</v>
      </c>
      <c r="AI47" s="396">
        <f t="shared" si="124"/>
        <v>5817.0064633405136</v>
      </c>
      <c r="AJ47" s="396">
        <f t="shared" si="124"/>
        <v>4950.75</v>
      </c>
      <c r="AK47" s="396">
        <f t="shared" si="124"/>
        <v>4981.6722018580022</v>
      </c>
      <c r="AL47" s="396">
        <f t="shared" si="124"/>
        <v>5261.6725129694587</v>
      </c>
      <c r="AM47" s="396">
        <f t="shared" si="124"/>
        <v>52500</v>
      </c>
      <c r="AN47" s="396">
        <f t="shared" si="124"/>
        <v>5291.9999999999991</v>
      </c>
      <c r="AO47" s="396">
        <f t="shared" si="124"/>
        <v>5315.6249999999991</v>
      </c>
      <c r="AP47" s="396">
        <f t="shared" si="124"/>
        <v>7212.0267260579058</v>
      </c>
      <c r="AQ47" s="396">
        <f t="shared" si="124"/>
        <v>5956.1646722387677</v>
      </c>
      <c r="AR47" s="396">
        <f t="shared" si="124"/>
        <v>6221.2499999999991</v>
      </c>
      <c r="AS47" s="396">
        <f t="shared" si="124"/>
        <v>6528.3749999999991</v>
      </c>
      <c r="AT47" s="396">
        <f t="shared" si="124"/>
        <v>6694.042316258352</v>
      </c>
      <c r="AU47" s="396">
        <f t="shared" si="124"/>
        <v>6740.8129175946551</v>
      </c>
      <c r="AV47" s="396">
        <f t="shared" si="124"/>
        <v>8411.6926503340801</v>
      </c>
      <c r="AW47" s="396">
        <f t="shared" si="124"/>
        <v>6583.3129175946524</v>
      </c>
      <c r="AX47" s="396">
        <f t="shared" si="124"/>
        <v>6740.8129175946551</v>
      </c>
      <c r="AY47" s="396">
        <f t="shared" si="124"/>
        <v>7056.484270567772</v>
      </c>
      <c r="AZ47" s="396">
        <f t="shared" si="124"/>
        <v>78749.999999999985</v>
      </c>
      <c r="BA47" s="396">
        <f t="shared" si="124"/>
        <v>7077</v>
      </c>
      <c r="BB47" s="396">
        <f t="shared" si="124"/>
        <v>7105.0080111200077</v>
      </c>
      <c r="BC47" s="396">
        <f t="shared" si="124"/>
        <v>8988.0099866777673</v>
      </c>
      <c r="BD47" s="396">
        <f t="shared" si="124"/>
        <v>7140</v>
      </c>
      <c r="BE47" s="396">
        <f t="shared" si="124"/>
        <v>7455.0091000101147</v>
      </c>
      <c r="BF47" s="396">
        <f t="shared" si="124"/>
        <v>7560.0091000101147</v>
      </c>
      <c r="BG47" s="396">
        <f t="shared" si="124"/>
        <v>8890.0098777887524</v>
      </c>
      <c r="BH47" s="396">
        <f t="shared" si="124"/>
        <v>9030</v>
      </c>
      <c r="BI47" s="396">
        <f t="shared" si="124"/>
        <v>11634.012926681027</v>
      </c>
      <c r="BJ47" s="396">
        <f t="shared" si="124"/>
        <v>9544.5</v>
      </c>
      <c r="BK47" s="396">
        <f t="shared" si="124"/>
        <v>10056.677840753156</v>
      </c>
      <c r="BL47" s="396">
        <f t="shared" si="124"/>
        <v>10523.345025938917</v>
      </c>
      <c r="BM47" s="396">
        <f t="shared" si="124"/>
        <v>105000</v>
      </c>
      <c r="BN47" s="396">
        <f t="shared" si="124"/>
        <v>18065</v>
      </c>
      <c r="BO47" s="396">
        <f t="shared" si="124"/>
        <v>18148.219499999992</v>
      </c>
      <c r="BP47" s="396">
        <f t="shared" si="124"/>
        <v>19970.276695920453</v>
      </c>
      <c r="BQ47" s="396">
        <f t="shared" si="124"/>
        <v>18270</v>
      </c>
      <c r="BR47" s="396">
        <f t="shared" si="124"/>
        <v>18287.656791595764</v>
      </c>
      <c r="BS47" s="396">
        <f t="shared" si="124"/>
        <v>18484.901254997527</v>
      </c>
      <c r="BT47" s="396">
        <f t="shared" si="124"/>
        <v>18528.75</v>
      </c>
      <c r="BU47" s="396">
        <f t="shared" si="124"/>
        <v>18607.5</v>
      </c>
      <c r="BV47" s="396">
        <f t="shared" si="124"/>
        <v>20275.140603161388</v>
      </c>
      <c r="BW47" s="396">
        <f t="shared" si="124"/>
        <v>18675</v>
      </c>
      <c r="BX47" s="396">
        <f t="shared" si="124"/>
        <v>18787.5</v>
      </c>
      <c r="BY47" s="396">
        <f t="shared" si="124"/>
        <v>18894.442590036</v>
      </c>
      <c r="BZ47" s="396">
        <f t="shared" si="124"/>
        <v>131250</v>
      </c>
    </row>
    <row r="48" spans="1:78" s="301" customFormat="1" ht="15" customHeight="1">
      <c r="A48" s="296" t="s">
        <v>274</v>
      </c>
      <c r="B48" s="297"/>
      <c r="C48" s="297"/>
      <c r="D48" s="297"/>
      <c r="E48" s="297" t="s">
        <v>454</v>
      </c>
      <c r="F48" s="297"/>
      <c r="G48" s="297"/>
      <c r="H48" s="297">
        <v>2.5</v>
      </c>
      <c r="I48" s="297" t="s">
        <v>402</v>
      </c>
      <c r="J48" s="297">
        <f t="shared" si="103"/>
        <v>52558.79903196868</v>
      </c>
      <c r="K48" s="297" t="s">
        <v>402</v>
      </c>
      <c r="L48" s="298"/>
      <c r="M48" s="297"/>
      <c r="N48" s="396">
        <f t="shared" ref="N48:Y48" si="125">+$Z$48*N3</f>
        <v>0</v>
      </c>
      <c r="O48" s="396">
        <f t="shared" si="125"/>
        <v>0</v>
      </c>
      <c r="P48" s="396">
        <f t="shared" si="125"/>
        <v>0</v>
      </c>
      <c r="Q48" s="396">
        <f t="shared" si="125"/>
        <v>0</v>
      </c>
      <c r="R48" s="396">
        <f t="shared" si="125"/>
        <v>0</v>
      </c>
      <c r="S48" s="396">
        <f t="shared" si="125"/>
        <v>0</v>
      </c>
      <c r="T48" s="396">
        <f t="shared" si="125"/>
        <v>2.9399515984343694</v>
      </c>
      <c r="U48" s="396">
        <f t="shared" si="125"/>
        <v>4.703922557494991</v>
      </c>
      <c r="V48" s="396">
        <f t="shared" si="125"/>
        <v>8.2318644756162342</v>
      </c>
      <c r="W48" s="396">
        <f t="shared" si="125"/>
        <v>11.171816074050604</v>
      </c>
      <c r="X48" s="396">
        <f t="shared" si="125"/>
        <v>13.523777352798099</v>
      </c>
      <c r="Y48" s="396">
        <f t="shared" si="125"/>
        <v>18.22769991029309</v>
      </c>
      <c r="Z48" s="397">
        <f>+'Income Statement'!C55</f>
        <v>58.799031968687387</v>
      </c>
      <c r="AA48" s="396">
        <f t="shared" ref="AA48:AL48" si="126">+$AM$48*AA3</f>
        <v>432.50056388951549</v>
      </c>
      <c r="AB48" s="396">
        <f t="shared" si="126"/>
        <v>470.00057222285773</v>
      </c>
      <c r="AC48" s="396">
        <f t="shared" si="126"/>
        <v>642.0007133341262</v>
      </c>
      <c r="AD48" s="396">
        <f t="shared" si="126"/>
        <v>562.50065000072254</v>
      </c>
      <c r="AE48" s="396">
        <f t="shared" si="126"/>
        <v>566.25006500007225</v>
      </c>
      <c r="AF48" s="396">
        <f t="shared" si="126"/>
        <v>570.00065000072254</v>
      </c>
      <c r="AG48" s="396">
        <f t="shared" si="126"/>
        <v>620.00070555633965</v>
      </c>
      <c r="AH48" s="396">
        <f t="shared" si="126"/>
        <v>635.00070555633954</v>
      </c>
      <c r="AI48" s="396">
        <f t="shared" si="126"/>
        <v>831.00092333435919</v>
      </c>
      <c r="AJ48" s="396">
        <f t="shared" si="126"/>
        <v>707.25</v>
      </c>
      <c r="AK48" s="396">
        <f t="shared" si="126"/>
        <v>711.66745740828605</v>
      </c>
      <c r="AL48" s="396">
        <f t="shared" si="126"/>
        <v>751.66750185277988</v>
      </c>
      <c r="AM48" s="397">
        <f>+'Income Statement'!D55</f>
        <v>7500</v>
      </c>
      <c r="AN48" s="396">
        <f t="shared" ref="AN48:AY48" si="127">+$AZ$48*AN3</f>
        <v>755.99999999999966</v>
      </c>
      <c r="AO48" s="396">
        <f t="shared" si="127"/>
        <v>759.37499999999977</v>
      </c>
      <c r="AP48" s="396">
        <f t="shared" si="127"/>
        <v>1030.2895322939864</v>
      </c>
      <c r="AQ48" s="396">
        <f t="shared" si="127"/>
        <v>850.880667462681</v>
      </c>
      <c r="AR48" s="396">
        <f t="shared" si="127"/>
        <v>888.74999999999977</v>
      </c>
      <c r="AS48" s="396">
        <f t="shared" si="127"/>
        <v>932.62499999999966</v>
      </c>
      <c r="AT48" s="396">
        <f t="shared" si="127"/>
        <v>956.29175946547878</v>
      </c>
      <c r="AU48" s="396">
        <f t="shared" si="127"/>
        <v>962.97327394209344</v>
      </c>
      <c r="AV48" s="396">
        <f t="shared" si="127"/>
        <v>1201.670378619154</v>
      </c>
      <c r="AW48" s="396">
        <f t="shared" si="127"/>
        <v>940.47327394209299</v>
      </c>
      <c r="AX48" s="396">
        <f t="shared" si="127"/>
        <v>962.97327394209344</v>
      </c>
      <c r="AY48" s="396">
        <f t="shared" si="127"/>
        <v>1008.0691815096817</v>
      </c>
      <c r="AZ48" s="397">
        <f>+'Income Statement'!E55</f>
        <v>11249.999999999996</v>
      </c>
      <c r="BA48" s="396">
        <f t="shared" ref="BA48:BL48" si="128">+$BM$48*BA3</f>
        <v>1011</v>
      </c>
      <c r="BB48" s="396">
        <f t="shared" si="128"/>
        <v>1015.0011444457155</v>
      </c>
      <c r="BC48" s="396">
        <f t="shared" si="128"/>
        <v>1284.0014266682524</v>
      </c>
      <c r="BD48" s="396">
        <f t="shared" si="128"/>
        <v>1020.0000000000001</v>
      </c>
      <c r="BE48" s="396">
        <f t="shared" si="128"/>
        <v>1065.0013000014449</v>
      </c>
      <c r="BF48" s="396">
        <f t="shared" si="128"/>
        <v>1080.0013000014449</v>
      </c>
      <c r="BG48" s="396">
        <f t="shared" si="128"/>
        <v>1270.0014111126791</v>
      </c>
      <c r="BH48" s="396">
        <f t="shared" si="128"/>
        <v>1290</v>
      </c>
      <c r="BI48" s="396">
        <f t="shared" si="128"/>
        <v>1662.0018466687184</v>
      </c>
      <c r="BJ48" s="396">
        <f t="shared" si="128"/>
        <v>1363.5</v>
      </c>
      <c r="BK48" s="396">
        <f t="shared" si="128"/>
        <v>1436.6682629647366</v>
      </c>
      <c r="BL48" s="396">
        <f t="shared" si="128"/>
        <v>1503.3350037055598</v>
      </c>
      <c r="BM48" s="397">
        <f>+'Income Statement'!F55</f>
        <v>15000</v>
      </c>
      <c r="BN48" s="396">
        <f t="shared" ref="BN48:BY48" si="129">+$BZ$49*BN3</f>
        <v>9032.5</v>
      </c>
      <c r="BO48" s="396">
        <f t="shared" si="129"/>
        <v>9074.109749999996</v>
      </c>
      <c r="BP48" s="396">
        <f t="shared" si="129"/>
        <v>9985.1383479602264</v>
      </c>
      <c r="BQ48" s="396">
        <f t="shared" si="129"/>
        <v>9135</v>
      </c>
      <c r="BR48" s="396">
        <f t="shared" si="129"/>
        <v>9143.828395797882</v>
      </c>
      <c r="BS48" s="396">
        <f t="shared" si="129"/>
        <v>9242.4506274987634</v>
      </c>
      <c r="BT48" s="396">
        <f t="shared" si="129"/>
        <v>9264.375</v>
      </c>
      <c r="BU48" s="396">
        <f t="shared" si="129"/>
        <v>9303.75</v>
      </c>
      <c r="BV48" s="396">
        <f t="shared" si="129"/>
        <v>10137.570301580694</v>
      </c>
      <c r="BW48" s="396">
        <f t="shared" si="129"/>
        <v>9337.5</v>
      </c>
      <c r="BX48" s="396">
        <f t="shared" si="129"/>
        <v>9393.75</v>
      </c>
      <c r="BY48" s="396">
        <f t="shared" si="129"/>
        <v>9447.2212950180001</v>
      </c>
      <c r="BZ48" s="397">
        <f>+'Income Statement'!G55</f>
        <v>18750</v>
      </c>
    </row>
    <row r="49" spans="1:78" s="301" customFormat="1">
      <c r="A49" s="296" t="s">
        <v>274</v>
      </c>
      <c r="B49" s="297"/>
      <c r="C49" s="297"/>
      <c r="D49" s="297"/>
      <c r="E49" s="297" t="s">
        <v>455</v>
      </c>
      <c r="F49" s="297"/>
      <c r="G49" s="297"/>
      <c r="H49" s="297">
        <v>5</v>
      </c>
      <c r="I49" s="297" t="s">
        <v>402</v>
      </c>
      <c r="J49" s="297">
        <f t="shared" si="103"/>
        <v>315352.79419181211</v>
      </c>
      <c r="K49" s="297" t="s">
        <v>402</v>
      </c>
      <c r="L49" s="298"/>
      <c r="M49" s="297"/>
      <c r="N49" s="396">
        <f t="shared" ref="N49:Y49" si="130">+$Z$49*N3</f>
        <v>0</v>
      </c>
      <c r="O49" s="396">
        <f t="shared" si="130"/>
        <v>0</v>
      </c>
      <c r="P49" s="396">
        <f t="shared" si="130"/>
        <v>0</v>
      </c>
      <c r="Q49" s="396">
        <f t="shared" si="130"/>
        <v>0</v>
      </c>
      <c r="R49" s="396">
        <f t="shared" si="130"/>
        <v>0</v>
      </c>
      <c r="S49" s="396">
        <f t="shared" si="130"/>
        <v>0</v>
      </c>
      <c r="T49" s="396">
        <f t="shared" si="130"/>
        <v>17.639709590606216</v>
      </c>
      <c r="U49" s="396">
        <f t="shared" si="130"/>
        <v>28.223535344969946</v>
      </c>
      <c r="V49" s="396">
        <f t="shared" si="130"/>
        <v>49.391186853697413</v>
      </c>
      <c r="W49" s="396">
        <f t="shared" si="130"/>
        <v>67.030896444303622</v>
      </c>
      <c r="X49" s="396">
        <f t="shared" si="130"/>
        <v>81.142664116788595</v>
      </c>
      <c r="Y49" s="396">
        <f t="shared" si="130"/>
        <v>109.36619946175854</v>
      </c>
      <c r="Z49" s="397">
        <f>+'Income Statement'!C54</f>
        <v>352.79419181212432</v>
      </c>
      <c r="AA49" s="396">
        <f t="shared" ref="AA49:AL49" si="131">+$AM$49*AA3</f>
        <v>2595.0033833370931</v>
      </c>
      <c r="AB49" s="396">
        <f t="shared" si="131"/>
        <v>2820.0034333371464</v>
      </c>
      <c r="AC49" s="396">
        <f t="shared" si="131"/>
        <v>3852.0042800047572</v>
      </c>
      <c r="AD49" s="396">
        <f t="shared" si="131"/>
        <v>3375.0039000043348</v>
      </c>
      <c r="AE49" s="396">
        <f t="shared" si="131"/>
        <v>3397.5003900004335</v>
      </c>
      <c r="AF49" s="396">
        <f t="shared" si="131"/>
        <v>3420.0039000043348</v>
      </c>
      <c r="AG49" s="396">
        <f t="shared" si="131"/>
        <v>3720.0042333380384</v>
      </c>
      <c r="AH49" s="396">
        <f t="shared" si="131"/>
        <v>3810.004233338037</v>
      </c>
      <c r="AI49" s="396">
        <f t="shared" si="131"/>
        <v>4986.0055400061547</v>
      </c>
      <c r="AJ49" s="396">
        <f t="shared" si="131"/>
        <v>4243.5</v>
      </c>
      <c r="AK49" s="396">
        <f t="shared" si="131"/>
        <v>4270.0047444497159</v>
      </c>
      <c r="AL49" s="396">
        <f t="shared" si="131"/>
        <v>4510.0050111166793</v>
      </c>
      <c r="AM49" s="397">
        <f>+'Income Statement'!D54</f>
        <v>45000</v>
      </c>
      <c r="AN49" s="396">
        <f t="shared" ref="AN49:AY49" si="132">+$AZ$49*AN3</f>
        <v>4535.9999999999991</v>
      </c>
      <c r="AO49" s="396">
        <f t="shared" si="132"/>
        <v>4556.2499999999991</v>
      </c>
      <c r="AP49" s="396">
        <f t="shared" si="132"/>
        <v>6181.7371937639191</v>
      </c>
      <c r="AQ49" s="396">
        <f t="shared" si="132"/>
        <v>5105.2840047760865</v>
      </c>
      <c r="AR49" s="396">
        <f t="shared" si="132"/>
        <v>5332.4999999999991</v>
      </c>
      <c r="AS49" s="396">
        <f t="shared" si="132"/>
        <v>5595.7499999999991</v>
      </c>
      <c r="AT49" s="396">
        <f t="shared" si="132"/>
        <v>5737.7505567928729</v>
      </c>
      <c r="AU49" s="396">
        <f t="shared" si="132"/>
        <v>5777.8396436525618</v>
      </c>
      <c r="AV49" s="396">
        <f t="shared" si="132"/>
        <v>7210.0222717149254</v>
      </c>
      <c r="AW49" s="396">
        <f t="shared" si="132"/>
        <v>5642.8396436525591</v>
      </c>
      <c r="AX49" s="396">
        <f t="shared" si="132"/>
        <v>5777.8396436525618</v>
      </c>
      <c r="AY49" s="396">
        <f t="shared" si="132"/>
        <v>6048.4150890580904</v>
      </c>
      <c r="AZ49" s="397">
        <f>+'Income Statement'!E54</f>
        <v>67499.999999999985</v>
      </c>
      <c r="BA49" s="396">
        <f t="shared" ref="BA49:BL49" si="133">+$BM$49*BA3</f>
        <v>6066</v>
      </c>
      <c r="BB49" s="396">
        <f t="shared" si="133"/>
        <v>6090.0068666742927</v>
      </c>
      <c r="BC49" s="396">
        <f t="shared" si="133"/>
        <v>7704.0085600095144</v>
      </c>
      <c r="BD49" s="396">
        <f t="shared" si="133"/>
        <v>6120</v>
      </c>
      <c r="BE49" s="396">
        <f t="shared" si="133"/>
        <v>6390.0078000086696</v>
      </c>
      <c r="BF49" s="396">
        <f t="shared" si="133"/>
        <v>6480.0078000086696</v>
      </c>
      <c r="BG49" s="396">
        <f t="shared" si="133"/>
        <v>7620.008466676074</v>
      </c>
      <c r="BH49" s="396">
        <f t="shared" si="133"/>
        <v>7739.9999999999991</v>
      </c>
      <c r="BI49" s="396">
        <f t="shared" si="133"/>
        <v>9972.0110800123093</v>
      </c>
      <c r="BJ49" s="396">
        <f t="shared" si="133"/>
        <v>8180.9999999999991</v>
      </c>
      <c r="BK49" s="396">
        <f t="shared" si="133"/>
        <v>8620.0095777884198</v>
      </c>
      <c r="BL49" s="396">
        <f t="shared" si="133"/>
        <v>9020.0100222333585</v>
      </c>
      <c r="BM49" s="397">
        <f>+'Income Statement'!F54</f>
        <v>90000</v>
      </c>
      <c r="BN49" s="396">
        <f t="shared" ref="BN49:BY49" si="134">+$BZ$49*BN3</f>
        <v>9032.5</v>
      </c>
      <c r="BO49" s="396">
        <f t="shared" si="134"/>
        <v>9074.109749999996</v>
      </c>
      <c r="BP49" s="396">
        <f t="shared" si="134"/>
        <v>9985.1383479602264</v>
      </c>
      <c r="BQ49" s="396">
        <f t="shared" si="134"/>
        <v>9135</v>
      </c>
      <c r="BR49" s="396">
        <f t="shared" si="134"/>
        <v>9143.828395797882</v>
      </c>
      <c r="BS49" s="396">
        <f t="shared" si="134"/>
        <v>9242.4506274987634</v>
      </c>
      <c r="BT49" s="396">
        <f t="shared" si="134"/>
        <v>9264.375</v>
      </c>
      <c r="BU49" s="396">
        <f t="shared" si="134"/>
        <v>9303.75</v>
      </c>
      <c r="BV49" s="396">
        <f t="shared" si="134"/>
        <v>10137.570301580694</v>
      </c>
      <c r="BW49" s="396">
        <f t="shared" si="134"/>
        <v>9337.5</v>
      </c>
      <c r="BX49" s="396">
        <f t="shared" si="134"/>
        <v>9393.75</v>
      </c>
      <c r="BY49" s="396">
        <f t="shared" si="134"/>
        <v>9447.2212950180001</v>
      </c>
      <c r="BZ49" s="397">
        <f>+'Income Statement'!G54</f>
        <v>112500</v>
      </c>
    </row>
    <row r="50" spans="1:78" s="307" customFormat="1">
      <c r="A50" s="302" t="s">
        <v>456</v>
      </c>
      <c r="B50" s="303"/>
      <c r="C50" s="303"/>
      <c r="D50" s="303"/>
      <c r="E50" s="303" t="s">
        <v>457</v>
      </c>
      <c r="F50" s="303"/>
      <c r="G50" s="303"/>
      <c r="H50" s="303"/>
      <c r="I50" s="303"/>
      <c r="J50" s="303">
        <f t="shared" si="103"/>
        <v>0</v>
      </c>
      <c r="K50" s="303" t="s">
        <v>398</v>
      </c>
      <c r="L50" s="304"/>
      <c r="M50" s="303"/>
      <c r="N50" s="306"/>
      <c r="O50" s="303"/>
      <c r="P50" s="303"/>
      <c r="Q50" s="303"/>
      <c r="R50" s="303"/>
      <c r="S50" s="303"/>
      <c r="T50" s="303"/>
      <c r="U50" s="303"/>
      <c r="V50" s="303"/>
      <c r="W50" s="303"/>
      <c r="X50" s="303"/>
      <c r="Y50" s="304"/>
      <c r="Z50" s="388"/>
      <c r="AA50" s="306"/>
      <c r="AB50" s="303"/>
      <c r="AC50" s="303"/>
      <c r="AD50" s="303"/>
      <c r="AE50" s="303"/>
      <c r="AF50" s="303"/>
      <c r="AG50" s="303"/>
      <c r="AH50" s="303"/>
      <c r="AI50" s="303"/>
      <c r="AJ50" s="303"/>
      <c r="AK50" s="303"/>
      <c r="AL50" s="303"/>
      <c r="AM50" s="388"/>
      <c r="AN50" s="303"/>
      <c r="AO50" s="303"/>
      <c r="AP50" s="303"/>
      <c r="AQ50" s="303"/>
      <c r="AR50" s="303"/>
      <c r="AS50" s="303"/>
      <c r="AT50" s="303"/>
      <c r="AU50" s="303"/>
      <c r="AV50" s="303"/>
      <c r="AW50" s="303"/>
      <c r="AX50" s="303"/>
      <c r="AY50" s="303"/>
      <c r="AZ50" s="388"/>
      <c r="BA50" s="303"/>
      <c r="BB50" s="303"/>
      <c r="BC50" s="303"/>
      <c r="BD50" s="303"/>
      <c r="BE50" s="303"/>
      <c r="BF50" s="303"/>
      <c r="BG50" s="303"/>
      <c r="BH50" s="303"/>
      <c r="BI50" s="303"/>
      <c r="BJ50" s="303"/>
      <c r="BK50" s="303"/>
      <c r="BL50" s="303"/>
      <c r="BM50" s="388"/>
      <c r="BN50" s="303"/>
      <c r="BO50" s="303"/>
      <c r="BP50" s="303"/>
      <c r="BQ50" s="303"/>
      <c r="BR50" s="303"/>
      <c r="BS50" s="303"/>
      <c r="BT50" s="303"/>
      <c r="BU50" s="303"/>
      <c r="BV50" s="303"/>
      <c r="BW50" s="303"/>
      <c r="BX50" s="303"/>
      <c r="BY50" s="303"/>
      <c r="BZ50" s="388"/>
    </row>
    <row r="51" spans="1:78" s="307" customFormat="1" ht="16.5" thickBot="1">
      <c r="A51" s="308" t="s">
        <v>456</v>
      </c>
      <c r="B51" s="309"/>
      <c r="C51" s="309"/>
      <c r="D51" s="309"/>
      <c r="E51" s="309" t="s">
        <v>458</v>
      </c>
      <c r="F51" s="309"/>
      <c r="G51" s="309"/>
      <c r="H51" s="309"/>
      <c r="I51" s="309"/>
      <c r="J51" s="309">
        <f t="shared" si="103"/>
        <v>0</v>
      </c>
      <c r="K51" s="309" t="s">
        <v>398</v>
      </c>
      <c r="L51" s="310"/>
      <c r="M51" s="309"/>
      <c r="N51" s="312"/>
      <c r="O51" s="309"/>
      <c r="P51" s="309"/>
      <c r="Q51" s="309"/>
      <c r="R51" s="309"/>
      <c r="S51" s="309"/>
      <c r="T51" s="309"/>
      <c r="U51" s="309"/>
      <c r="V51" s="309"/>
      <c r="W51" s="309"/>
      <c r="X51" s="309"/>
      <c r="Y51" s="310"/>
      <c r="Z51" s="390"/>
      <c r="AA51" s="312"/>
      <c r="AB51" s="309"/>
      <c r="AC51" s="309"/>
      <c r="AD51" s="309"/>
      <c r="AE51" s="309"/>
      <c r="AF51" s="309"/>
      <c r="AG51" s="309"/>
      <c r="AH51" s="309"/>
      <c r="AI51" s="309"/>
      <c r="AJ51" s="309"/>
      <c r="AK51" s="309"/>
      <c r="AL51" s="309"/>
      <c r="AM51" s="390"/>
      <c r="AN51" s="309"/>
      <c r="AO51" s="309"/>
      <c r="AP51" s="309"/>
      <c r="AQ51" s="309"/>
      <c r="AR51" s="309"/>
      <c r="AS51" s="309"/>
      <c r="AT51" s="309"/>
      <c r="AU51" s="309"/>
      <c r="AV51" s="309"/>
      <c r="AW51" s="309"/>
      <c r="AX51" s="309"/>
      <c r="AY51" s="309"/>
      <c r="AZ51" s="390"/>
      <c r="BA51" s="309"/>
      <c r="BB51" s="309"/>
      <c r="BC51" s="309"/>
      <c r="BD51" s="309"/>
      <c r="BE51" s="309"/>
      <c r="BF51" s="309"/>
      <c r="BG51" s="309"/>
      <c r="BH51" s="309"/>
      <c r="BI51" s="309"/>
      <c r="BJ51" s="309"/>
      <c r="BK51" s="309"/>
      <c r="BL51" s="309"/>
      <c r="BM51" s="390"/>
      <c r="BN51" s="309"/>
      <c r="BO51" s="309"/>
      <c r="BP51" s="309"/>
      <c r="BQ51" s="309"/>
      <c r="BR51" s="309"/>
      <c r="BS51" s="309"/>
      <c r="BT51" s="309"/>
      <c r="BU51" s="309"/>
      <c r="BV51" s="309"/>
      <c r="BW51" s="309"/>
      <c r="BX51" s="309"/>
      <c r="BY51" s="309"/>
      <c r="BZ51" s="390"/>
    </row>
    <row r="52" spans="1:78" ht="16.5" thickBot="1">
      <c r="B52" s="272"/>
      <c r="C52" s="272"/>
      <c r="D52" s="272"/>
      <c r="E52" s="272"/>
      <c r="F52" s="272"/>
      <c r="G52" s="272"/>
      <c r="H52" s="272"/>
      <c r="I52" s="272"/>
      <c r="J52" s="272"/>
      <c r="K52" s="168"/>
      <c r="N52" s="313" t="s">
        <v>459</v>
      </c>
      <c r="O52" s="314"/>
      <c r="P52" s="314"/>
      <c r="Q52" s="314"/>
      <c r="R52" s="314"/>
      <c r="S52" s="314"/>
      <c r="T52" s="315">
        <v>44929</v>
      </c>
      <c r="U52" s="314"/>
      <c r="V52" s="314"/>
      <c r="W52" s="314"/>
      <c r="X52" s="314">
        <v>1</v>
      </c>
      <c r="Y52" s="316"/>
      <c r="Z52" s="391"/>
      <c r="AA52" s="313"/>
      <c r="AB52" s="314"/>
      <c r="AC52" s="314"/>
      <c r="AD52" s="314"/>
      <c r="AE52" s="314"/>
      <c r="AF52" s="314"/>
      <c r="AG52" s="314"/>
      <c r="AH52" s="314"/>
      <c r="AI52" s="314"/>
      <c r="AJ52" s="314"/>
      <c r="AK52" s="314"/>
      <c r="AL52" s="314"/>
      <c r="AM52" s="391"/>
      <c r="AN52" s="314"/>
      <c r="AO52" s="314"/>
      <c r="AP52" s="314"/>
      <c r="AQ52" s="314"/>
      <c r="AR52" s="314"/>
      <c r="AS52" s="314"/>
      <c r="AT52" s="314"/>
      <c r="AU52" s="314"/>
      <c r="AV52" s="314"/>
      <c r="AW52" s="314"/>
      <c r="AX52" s="314"/>
      <c r="AY52" s="314"/>
      <c r="AZ52" s="391"/>
      <c r="BA52" s="314"/>
      <c r="BB52" s="314"/>
      <c r="BC52" s="314"/>
      <c r="BD52" s="314"/>
      <c r="BE52" s="314"/>
      <c r="BF52" s="314"/>
      <c r="BG52" s="314"/>
      <c r="BH52" s="314"/>
      <c r="BI52" s="314"/>
      <c r="BJ52" s="314"/>
      <c r="BK52" s="314"/>
      <c r="BL52" s="314"/>
      <c r="BM52" s="391"/>
      <c r="BN52" s="314"/>
      <c r="BO52" s="314"/>
      <c r="BP52" s="314"/>
      <c r="BQ52" s="314"/>
      <c r="BR52" s="314"/>
      <c r="BS52" s="314"/>
      <c r="BT52" s="314"/>
      <c r="BU52" s="314"/>
      <c r="BV52" s="314"/>
      <c r="BW52" s="314"/>
      <c r="BX52" s="314"/>
      <c r="BY52" s="314"/>
      <c r="BZ52" s="391"/>
    </row>
    <row r="53" spans="1:78" ht="16.5" thickBot="1">
      <c r="A53" s="318"/>
      <c r="B53" s="318"/>
      <c r="C53" s="318"/>
      <c r="D53" s="318"/>
      <c r="E53" s="318"/>
      <c r="F53" s="318"/>
      <c r="G53" s="318"/>
      <c r="H53" s="318"/>
      <c r="I53" s="318"/>
      <c r="J53" s="318"/>
      <c r="K53" s="318"/>
      <c r="N53" s="277">
        <f>DATE(YEAR($T$52)+($X$52-1),1,1)</f>
        <v>44927</v>
      </c>
      <c r="O53" s="274">
        <f>EDATE(N53,1)</f>
        <v>44958</v>
      </c>
      <c r="P53" s="274">
        <f t="shared" ref="P53:Y53" si="135">EDATE(O53,1)</f>
        <v>44986</v>
      </c>
      <c r="Q53" s="274">
        <f t="shared" si="135"/>
        <v>45017</v>
      </c>
      <c r="R53" s="274">
        <f t="shared" si="135"/>
        <v>45047</v>
      </c>
      <c r="S53" s="274">
        <f t="shared" si="135"/>
        <v>45078</v>
      </c>
      <c r="T53" s="274">
        <f t="shared" si="135"/>
        <v>45108</v>
      </c>
      <c r="U53" s="274">
        <f t="shared" si="135"/>
        <v>45139</v>
      </c>
      <c r="V53" s="274">
        <f t="shared" si="135"/>
        <v>45170</v>
      </c>
      <c r="W53" s="274">
        <f t="shared" si="135"/>
        <v>45200</v>
      </c>
      <c r="X53" s="274">
        <f t="shared" si="135"/>
        <v>45231</v>
      </c>
      <c r="Y53" s="275">
        <f t="shared" si="135"/>
        <v>45261</v>
      </c>
      <c r="Z53" s="276" t="s">
        <v>392</v>
      </c>
      <c r="AA53" s="277">
        <f>EDATE(Y53,1)</f>
        <v>45292</v>
      </c>
      <c r="AB53" s="275">
        <f t="shared" ref="AB53:AY53" si="136">EDATE(AA53,1)</f>
        <v>45323</v>
      </c>
      <c r="AC53" s="275">
        <f t="shared" si="136"/>
        <v>45352</v>
      </c>
      <c r="AD53" s="275">
        <f t="shared" si="136"/>
        <v>45383</v>
      </c>
      <c r="AE53" s="275">
        <f t="shared" si="136"/>
        <v>45413</v>
      </c>
      <c r="AF53" s="275">
        <f t="shared" si="136"/>
        <v>45444</v>
      </c>
      <c r="AG53" s="275">
        <f t="shared" si="136"/>
        <v>45474</v>
      </c>
      <c r="AH53" s="275">
        <f t="shared" si="136"/>
        <v>45505</v>
      </c>
      <c r="AI53" s="275">
        <f t="shared" si="136"/>
        <v>45536</v>
      </c>
      <c r="AJ53" s="275">
        <f t="shared" si="136"/>
        <v>45566</v>
      </c>
      <c r="AK53" s="275">
        <f t="shared" si="136"/>
        <v>45597</v>
      </c>
      <c r="AL53" s="275">
        <f t="shared" si="136"/>
        <v>45627</v>
      </c>
      <c r="AM53" s="276" t="s">
        <v>393</v>
      </c>
      <c r="AN53" s="275">
        <f>EDATE(AL53,1)</f>
        <v>45658</v>
      </c>
      <c r="AO53" s="275">
        <f t="shared" si="136"/>
        <v>45689</v>
      </c>
      <c r="AP53" s="275">
        <f t="shared" si="136"/>
        <v>45717</v>
      </c>
      <c r="AQ53" s="275">
        <f t="shared" si="136"/>
        <v>45748</v>
      </c>
      <c r="AR53" s="275">
        <f t="shared" si="136"/>
        <v>45778</v>
      </c>
      <c r="AS53" s="275">
        <f t="shared" si="136"/>
        <v>45809</v>
      </c>
      <c r="AT53" s="275">
        <f t="shared" si="136"/>
        <v>45839</v>
      </c>
      <c r="AU53" s="275">
        <f t="shared" si="136"/>
        <v>45870</v>
      </c>
      <c r="AV53" s="275">
        <f t="shared" si="136"/>
        <v>45901</v>
      </c>
      <c r="AW53" s="275">
        <f t="shared" si="136"/>
        <v>45931</v>
      </c>
      <c r="AX53" s="275">
        <f t="shared" si="136"/>
        <v>45962</v>
      </c>
      <c r="AY53" s="275">
        <f t="shared" si="136"/>
        <v>45992</v>
      </c>
      <c r="AZ53" s="276" t="s">
        <v>394</v>
      </c>
      <c r="BA53" s="275">
        <f>EDATE(AY53,1)</f>
        <v>46023</v>
      </c>
      <c r="BB53" s="275">
        <f t="shared" ref="BB53:BL53" si="137">EDATE(BA53,1)</f>
        <v>46054</v>
      </c>
      <c r="BC53" s="275">
        <f t="shared" si="137"/>
        <v>46082</v>
      </c>
      <c r="BD53" s="275">
        <f t="shared" si="137"/>
        <v>46113</v>
      </c>
      <c r="BE53" s="275">
        <f t="shared" si="137"/>
        <v>46143</v>
      </c>
      <c r="BF53" s="275">
        <f t="shared" si="137"/>
        <v>46174</v>
      </c>
      <c r="BG53" s="275">
        <f t="shared" si="137"/>
        <v>46204</v>
      </c>
      <c r="BH53" s="275">
        <f t="shared" si="137"/>
        <v>46235</v>
      </c>
      <c r="BI53" s="275">
        <f t="shared" si="137"/>
        <v>46266</v>
      </c>
      <c r="BJ53" s="275">
        <f t="shared" si="137"/>
        <v>46296</v>
      </c>
      <c r="BK53" s="275">
        <f t="shared" si="137"/>
        <v>46327</v>
      </c>
      <c r="BL53" s="275">
        <f t="shared" si="137"/>
        <v>46357</v>
      </c>
      <c r="BM53" s="276" t="s">
        <v>395</v>
      </c>
      <c r="BN53" s="275">
        <f>EDATE(BL53,1)</f>
        <v>46388</v>
      </c>
      <c r="BO53" s="275">
        <f t="shared" ref="BO53:BY53" si="138">EDATE(BN53,1)</f>
        <v>46419</v>
      </c>
      <c r="BP53" s="275">
        <f t="shared" si="138"/>
        <v>46447</v>
      </c>
      <c r="BQ53" s="275">
        <f t="shared" si="138"/>
        <v>46478</v>
      </c>
      <c r="BR53" s="275">
        <f t="shared" si="138"/>
        <v>46508</v>
      </c>
      <c r="BS53" s="275">
        <f t="shared" si="138"/>
        <v>46539</v>
      </c>
      <c r="BT53" s="275">
        <f t="shared" si="138"/>
        <v>46569</v>
      </c>
      <c r="BU53" s="275">
        <f t="shared" si="138"/>
        <v>46600</v>
      </c>
      <c r="BV53" s="275">
        <f t="shared" si="138"/>
        <v>46631</v>
      </c>
      <c r="BW53" s="275">
        <f t="shared" si="138"/>
        <v>46661</v>
      </c>
      <c r="BX53" s="275">
        <f t="shared" si="138"/>
        <v>46692</v>
      </c>
      <c r="BY53" s="275">
        <f t="shared" si="138"/>
        <v>46722</v>
      </c>
      <c r="BZ53" s="276" t="s">
        <v>396</v>
      </c>
    </row>
    <row r="54" spans="1:78" s="322" customFormat="1" ht="18.75">
      <c r="A54" s="319" t="s">
        <v>460</v>
      </c>
      <c r="B54" s="319"/>
      <c r="C54" s="319"/>
      <c r="D54" s="319"/>
      <c r="E54" s="319" t="s">
        <v>461</v>
      </c>
      <c r="F54" s="320" t="s">
        <v>462</v>
      </c>
      <c r="G54" s="320" t="s">
        <v>463</v>
      </c>
      <c r="H54" s="320"/>
      <c r="I54" s="320"/>
      <c r="J54" s="319" t="s">
        <v>464</v>
      </c>
      <c r="K54" s="321"/>
      <c r="M54" s="383"/>
      <c r="Z54" s="323"/>
      <c r="AM54" s="323"/>
      <c r="AZ54" s="323"/>
      <c r="BM54" s="323"/>
      <c r="BZ54" s="323"/>
    </row>
    <row r="55" spans="1:78">
      <c r="A55" s="324" t="s">
        <v>465</v>
      </c>
      <c r="B55" s="324"/>
      <c r="C55" s="324"/>
      <c r="D55" s="324"/>
      <c r="E55" s="324" t="s">
        <v>414</v>
      </c>
      <c r="F55" s="325">
        <v>44929</v>
      </c>
      <c r="G55" s="325">
        <v>44982</v>
      </c>
      <c r="H55" s="325"/>
      <c r="I55" s="325"/>
      <c r="J55" s="324">
        <f>+G55-F55</f>
        <v>53</v>
      </c>
      <c r="K55" s="326"/>
      <c r="N55" s="322"/>
      <c r="O55" s="322"/>
      <c r="P55" s="322"/>
      <c r="Q55" s="322"/>
      <c r="R55" s="322"/>
      <c r="S55" s="322"/>
      <c r="T55" s="322"/>
    </row>
    <row r="56" spans="1:78">
      <c r="A56" s="328" t="s">
        <v>466</v>
      </c>
      <c r="B56" s="328"/>
      <c r="C56" s="328"/>
      <c r="D56" s="328"/>
      <c r="E56" s="328" t="s">
        <v>430</v>
      </c>
      <c r="F56" s="315">
        <v>44929</v>
      </c>
      <c r="G56" s="315">
        <v>44982</v>
      </c>
      <c r="H56" s="315"/>
      <c r="I56" s="315"/>
      <c r="J56" s="328">
        <f>+G56-F56</f>
        <v>53</v>
      </c>
      <c r="K56" s="326"/>
      <c r="AJ56" s="263">
        <v>0.94416666666666638</v>
      </c>
    </row>
    <row r="57" spans="1:78">
      <c r="A57" s="329" t="s">
        <v>467</v>
      </c>
      <c r="B57" s="329"/>
      <c r="C57" s="329"/>
      <c r="D57" s="329"/>
      <c r="E57" s="329" t="s">
        <v>468</v>
      </c>
      <c r="F57" s="330">
        <v>44930</v>
      </c>
      <c r="G57" s="330">
        <f>+G56+5</f>
        <v>44987</v>
      </c>
      <c r="H57" s="330"/>
      <c r="I57" s="330"/>
      <c r="J57" s="329">
        <f t="shared" ref="J57:J89" si="139">+G57-F57</f>
        <v>57</v>
      </c>
      <c r="K57" s="326"/>
    </row>
    <row r="58" spans="1:78">
      <c r="A58" s="329" t="s">
        <v>467</v>
      </c>
      <c r="B58" s="329"/>
      <c r="C58" s="329"/>
      <c r="D58" s="329"/>
      <c r="E58" s="329" t="s">
        <v>469</v>
      </c>
      <c r="F58" s="331">
        <v>44931</v>
      </c>
      <c r="G58" s="331">
        <f t="shared" ref="G58:G65" si="140">+G57+5</f>
        <v>44992</v>
      </c>
      <c r="H58" s="331"/>
      <c r="I58" s="331"/>
      <c r="J58" s="329">
        <f t="shared" si="139"/>
        <v>61</v>
      </c>
      <c r="K58" s="326"/>
    </row>
    <row r="59" spans="1:78">
      <c r="A59" s="329" t="s">
        <v>467</v>
      </c>
      <c r="B59" s="329"/>
      <c r="C59" s="329"/>
      <c r="D59" s="329"/>
      <c r="E59" s="329" t="s">
        <v>426</v>
      </c>
      <c r="F59" s="331">
        <v>44932</v>
      </c>
      <c r="G59" s="331">
        <f t="shared" si="140"/>
        <v>44997</v>
      </c>
      <c r="H59" s="331"/>
      <c r="I59" s="331"/>
      <c r="J59" s="329">
        <f t="shared" si="139"/>
        <v>65</v>
      </c>
      <c r="K59" s="326"/>
    </row>
    <row r="60" spans="1:78">
      <c r="A60" s="329" t="s">
        <v>467</v>
      </c>
      <c r="B60" s="329"/>
      <c r="C60" s="329"/>
      <c r="D60" s="329"/>
      <c r="E60" s="329" t="s">
        <v>427</v>
      </c>
      <c r="F60" s="331">
        <v>44933</v>
      </c>
      <c r="G60" s="331">
        <f t="shared" si="140"/>
        <v>45002</v>
      </c>
      <c r="H60" s="331"/>
      <c r="I60" s="331"/>
      <c r="J60" s="329">
        <f t="shared" si="139"/>
        <v>69</v>
      </c>
      <c r="K60" s="326"/>
    </row>
    <row r="61" spans="1:78">
      <c r="A61" s="329" t="s">
        <v>467</v>
      </c>
      <c r="B61" s="329"/>
      <c r="C61" s="329"/>
      <c r="D61" s="329"/>
      <c r="E61" s="329" t="s">
        <v>433</v>
      </c>
      <c r="F61" s="331">
        <v>44934</v>
      </c>
      <c r="G61" s="331">
        <f t="shared" si="140"/>
        <v>45007</v>
      </c>
      <c r="H61" s="331"/>
      <c r="I61" s="331"/>
      <c r="J61" s="329">
        <f t="shared" si="139"/>
        <v>73</v>
      </c>
      <c r="K61" s="326"/>
    </row>
    <row r="62" spans="1:78">
      <c r="A62" s="329" t="s">
        <v>467</v>
      </c>
      <c r="B62" s="329"/>
      <c r="C62" s="329"/>
      <c r="D62" s="329"/>
      <c r="E62" s="329" t="s">
        <v>434</v>
      </c>
      <c r="F62" s="331">
        <v>44935</v>
      </c>
      <c r="G62" s="331">
        <f t="shared" si="140"/>
        <v>45012</v>
      </c>
      <c r="H62" s="331"/>
      <c r="I62" s="331"/>
      <c r="J62" s="329">
        <f t="shared" si="139"/>
        <v>77</v>
      </c>
      <c r="K62" s="326"/>
    </row>
    <row r="63" spans="1:78">
      <c r="A63" s="329" t="s">
        <v>467</v>
      </c>
      <c r="B63" s="329"/>
      <c r="C63" s="329"/>
      <c r="D63" s="329"/>
      <c r="E63" s="329" t="s">
        <v>435</v>
      </c>
      <c r="F63" s="331">
        <v>44936</v>
      </c>
      <c r="G63" s="331">
        <f t="shared" si="140"/>
        <v>45017</v>
      </c>
      <c r="H63" s="331"/>
      <c r="I63" s="331"/>
      <c r="J63" s="329">
        <f t="shared" si="139"/>
        <v>81</v>
      </c>
      <c r="K63" s="326"/>
    </row>
    <row r="64" spans="1:78">
      <c r="A64" s="329" t="s">
        <v>467</v>
      </c>
      <c r="B64" s="329"/>
      <c r="C64" s="329"/>
      <c r="D64" s="329"/>
      <c r="E64" s="329" t="s">
        <v>436</v>
      </c>
      <c r="F64" s="331">
        <v>44937</v>
      </c>
      <c r="G64" s="331">
        <f t="shared" si="140"/>
        <v>45022</v>
      </c>
      <c r="H64" s="331"/>
      <c r="I64" s="331"/>
      <c r="J64" s="329">
        <f t="shared" si="139"/>
        <v>85</v>
      </c>
      <c r="K64" s="326"/>
    </row>
    <row r="65" spans="1:11">
      <c r="A65" s="329" t="s">
        <v>467</v>
      </c>
      <c r="B65" s="329"/>
      <c r="C65" s="329"/>
      <c r="D65" s="329"/>
      <c r="E65" s="329" t="s">
        <v>437</v>
      </c>
      <c r="F65" s="331">
        <v>44938</v>
      </c>
      <c r="G65" s="331">
        <f t="shared" si="140"/>
        <v>45027</v>
      </c>
      <c r="H65" s="331"/>
      <c r="I65" s="331"/>
      <c r="J65" s="329">
        <f t="shared" si="139"/>
        <v>89</v>
      </c>
      <c r="K65" s="326"/>
    </row>
    <row r="66" spans="1:11">
      <c r="A66" s="329" t="s">
        <v>467</v>
      </c>
      <c r="B66" s="329"/>
      <c r="C66" s="329"/>
      <c r="D66" s="329"/>
      <c r="E66" s="329" t="s">
        <v>438</v>
      </c>
      <c r="F66" s="331">
        <v>44939</v>
      </c>
      <c r="G66" s="331">
        <v>45763</v>
      </c>
      <c r="H66" s="331"/>
      <c r="I66" s="331"/>
      <c r="J66" s="329">
        <f t="shared" si="139"/>
        <v>824</v>
      </c>
      <c r="K66" s="326"/>
    </row>
    <row r="67" spans="1:11">
      <c r="A67" s="329" t="s">
        <v>467</v>
      </c>
      <c r="B67" s="329"/>
      <c r="C67" s="329"/>
      <c r="D67" s="329"/>
      <c r="E67" s="329" t="s">
        <v>447</v>
      </c>
      <c r="F67" s="331">
        <v>44940</v>
      </c>
      <c r="G67" s="331">
        <v>45037</v>
      </c>
      <c r="H67" s="331"/>
      <c r="I67" s="331"/>
      <c r="J67" s="329">
        <f t="shared" si="139"/>
        <v>97</v>
      </c>
      <c r="K67" s="326"/>
    </row>
    <row r="68" spans="1:11">
      <c r="A68" s="329" t="s">
        <v>467</v>
      </c>
      <c r="B68" s="329"/>
      <c r="C68" s="329"/>
      <c r="D68" s="329"/>
      <c r="E68" s="329" t="s">
        <v>448</v>
      </c>
      <c r="F68" s="331">
        <v>44941</v>
      </c>
      <c r="G68" s="331">
        <v>45042</v>
      </c>
      <c r="H68" s="331"/>
      <c r="I68" s="331"/>
      <c r="J68" s="329">
        <f t="shared" si="139"/>
        <v>101</v>
      </c>
      <c r="K68" s="326"/>
    </row>
    <row r="69" spans="1:11">
      <c r="A69" s="329" t="s">
        <v>467</v>
      </c>
      <c r="B69" s="329"/>
      <c r="C69" s="329"/>
      <c r="D69" s="329"/>
      <c r="E69" s="329" t="s">
        <v>452</v>
      </c>
      <c r="F69" s="331">
        <v>44942</v>
      </c>
      <c r="G69" s="331">
        <v>45047</v>
      </c>
      <c r="H69" s="331"/>
      <c r="I69" s="331"/>
      <c r="J69" s="329">
        <f t="shared" si="139"/>
        <v>105</v>
      </c>
      <c r="K69" s="326"/>
    </row>
    <row r="70" spans="1:11">
      <c r="A70" s="332" t="s">
        <v>470</v>
      </c>
      <c r="B70" s="332"/>
      <c r="C70" s="332"/>
      <c r="D70" s="332"/>
      <c r="E70" s="332" t="s">
        <v>471</v>
      </c>
      <c r="F70" s="333">
        <v>44943</v>
      </c>
      <c r="G70" s="333">
        <v>45052</v>
      </c>
      <c r="H70" s="333"/>
      <c r="I70" s="333"/>
      <c r="J70" s="332">
        <f t="shared" si="139"/>
        <v>109</v>
      </c>
      <c r="K70" s="326"/>
    </row>
    <row r="71" spans="1:11">
      <c r="A71" s="332" t="s">
        <v>470</v>
      </c>
      <c r="B71" s="332"/>
      <c r="C71" s="332"/>
      <c r="D71" s="332"/>
      <c r="E71" s="332" t="s">
        <v>419</v>
      </c>
      <c r="F71" s="333">
        <v>44944</v>
      </c>
      <c r="G71" s="333">
        <v>45057</v>
      </c>
      <c r="H71" s="333"/>
      <c r="I71" s="333"/>
      <c r="J71" s="332">
        <f t="shared" si="139"/>
        <v>113</v>
      </c>
      <c r="K71" s="326"/>
    </row>
    <row r="72" spans="1:11">
      <c r="A72" s="332" t="s">
        <v>470</v>
      </c>
      <c r="B72" s="332"/>
      <c r="C72" s="332"/>
      <c r="D72" s="332"/>
      <c r="E72" s="332" t="s">
        <v>420</v>
      </c>
      <c r="F72" s="333">
        <v>44945</v>
      </c>
      <c r="G72" s="333">
        <v>45062</v>
      </c>
      <c r="H72" s="333"/>
      <c r="I72" s="333"/>
      <c r="J72" s="332">
        <f t="shared" si="139"/>
        <v>117</v>
      </c>
      <c r="K72" s="326"/>
    </row>
    <row r="73" spans="1:11">
      <c r="A73" s="332" t="s">
        <v>470</v>
      </c>
      <c r="B73" s="332"/>
      <c r="C73" s="332"/>
      <c r="D73" s="332"/>
      <c r="E73" s="332" t="s">
        <v>472</v>
      </c>
      <c r="F73" s="333">
        <v>44946</v>
      </c>
      <c r="G73" s="333">
        <v>45067</v>
      </c>
      <c r="H73" s="333"/>
      <c r="I73" s="333"/>
      <c r="J73" s="332">
        <f t="shared" si="139"/>
        <v>121</v>
      </c>
      <c r="K73" s="326"/>
    </row>
    <row r="74" spans="1:11">
      <c r="A74" s="332" t="s">
        <v>470</v>
      </c>
      <c r="B74" s="332"/>
      <c r="C74" s="332"/>
      <c r="D74" s="332"/>
      <c r="E74" s="332" t="s">
        <v>473</v>
      </c>
      <c r="F74" s="333">
        <v>44947</v>
      </c>
      <c r="G74" s="333">
        <v>45072</v>
      </c>
      <c r="H74" s="333"/>
      <c r="I74" s="333"/>
      <c r="J74" s="332">
        <f t="shared" si="139"/>
        <v>125</v>
      </c>
      <c r="K74" s="326"/>
    </row>
    <row r="75" spans="1:11">
      <c r="A75" s="332" t="s">
        <v>470</v>
      </c>
      <c r="B75" s="332"/>
      <c r="C75" s="332"/>
      <c r="D75" s="332"/>
      <c r="E75" s="332" t="s">
        <v>428</v>
      </c>
      <c r="F75" s="333">
        <v>45313</v>
      </c>
      <c r="G75" s="333">
        <v>45077</v>
      </c>
      <c r="H75" s="333"/>
      <c r="I75" s="333"/>
      <c r="J75" s="332">
        <f t="shared" si="139"/>
        <v>-236</v>
      </c>
      <c r="K75" s="326"/>
    </row>
    <row r="76" spans="1:11">
      <c r="A76" s="332" t="s">
        <v>470</v>
      </c>
      <c r="B76" s="332"/>
      <c r="C76" s="332"/>
      <c r="D76" s="332"/>
      <c r="E76" s="332" t="s">
        <v>429</v>
      </c>
      <c r="F76" s="333">
        <v>44949</v>
      </c>
      <c r="G76" s="333">
        <v>45092</v>
      </c>
      <c r="H76" s="333"/>
      <c r="I76" s="333"/>
      <c r="J76" s="332">
        <f t="shared" si="139"/>
        <v>143</v>
      </c>
      <c r="K76" s="326"/>
    </row>
    <row r="77" spans="1:11">
      <c r="A77" s="332" t="s">
        <v>470</v>
      </c>
      <c r="B77" s="332"/>
      <c r="C77" s="332"/>
      <c r="D77" s="332"/>
      <c r="E77" s="332" t="s">
        <v>431</v>
      </c>
      <c r="F77" s="333">
        <v>44950</v>
      </c>
      <c r="G77" s="333">
        <v>45097</v>
      </c>
      <c r="H77" s="333"/>
      <c r="I77" s="333"/>
      <c r="J77" s="332">
        <f t="shared" si="139"/>
        <v>147</v>
      </c>
      <c r="K77" s="326"/>
    </row>
    <row r="78" spans="1:11">
      <c r="A78" s="332" t="s">
        <v>470</v>
      </c>
      <c r="B78" s="332"/>
      <c r="C78" s="332"/>
      <c r="D78" s="332"/>
      <c r="E78" s="332" t="s">
        <v>432</v>
      </c>
      <c r="F78" s="333">
        <v>45682</v>
      </c>
      <c r="G78" s="333">
        <v>45102</v>
      </c>
      <c r="H78" s="333"/>
      <c r="I78" s="333"/>
      <c r="J78" s="332">
        <f t="shared" si="139"/>
        <v>-580</v>
      </c>
      <c r="K78" s="326"/>
    </row>
    <row r="79" spans="1:11">
      <c r="A79" s="332" t="s">
        <v>470</v>
      </c>
      <c r="B79" s="332"/>
      <c r="C79" s="332"/>
      <c r="D79" s="332"/>
      <c r="E79" s="332" t="s">
        <v>439</v>
      </c>
      <c r="F79" s="333">
        <v>44952</v>
      </c>
      <c r="G79" s="333">
        <v>45107</v>
      </c>
      <c r="H79" s="333"/>
      <c r="I79" s="333"/>
      <c r="J79" s="332">
        <f t="shared" si="139"/>
        <v>155</v>
      </c>
      <c r="K79" s="326"/>
    </row>
    <row r="80" spans="1:11">
      <c r="A80" s="332" t="s">
        <v>470</v>
      </c>
      <c r="B80" s="332"/>
      <c r="C80" s="332"/>
      <c r="D80" s="332"/>
      <c r="E80" s="332" t="s">
        <v>440</v>
      </c>
      <c r="F80" s="333">
        <v>44953</v>
      </c>
      <c r="G80" s="333">
        <v>45112</v>
      </c>
      <c r="H80" s="333"/>
      <c r="I80" s="333"/>
      <c r="J80" s="332">
        <f t="shared" si="139"/>
        <v>159</v>
      </c>
      <c r="K80" s="326"/>
    </row>
    <row r="81" spans="1:11">
      <c r="A81" s="332" t="s">
        <v>470</v>
      </c>
      <c r="B81" s="332"/>
      <c r="C81" s="332"/>
      <c r="D81" s="332"/>
      <c r="E81" s="332" t="s">
        <v>441</v>
      </c>
      <c r="F81" s="333">
        <v>44954</v>
      </c>
      <c r="G81" s="333">
        <v>45117</v>
      </c>
      <c r="H81" s="333"/>
      <c r="I81" s="333"/>
      <c r="J81" s="332">
        <f t="shared" si="139"/>
        <v>163</v>
      </c>
      <c r="K81" s="326"/>
    </row>
    <row r="82" spans="1:11">
      <c r="A82" s="332" t="s">
        <v>470</v>
      </c>
      <c r="B82" s="332"/>
      <c r="C82" s="332"/>
      <c r="D82" s="332"/>
      <c r="E82" s="332" t="s">
        <v>442</v>
      </c>
      <c r="F82" s="333">
        <v>44955</v>
      </c>
      <c r="G82" s="333">
        <v>45122</v>
      </c>
      <c r="H82" s="333"/>
      <c r="I82" s="333"/>
      <c r="J82" s="332">
        <f t="shared" si="139"/>
        <v>167</v>
      </c>
      <c r="K82" s="326"/>
    </row>
    <row r="83" spans="1:11">
      <c r="A83" s="332" t="s">
        <v>470</v>
      </c>
      <c r="B83" s="332"/>
      <c r="C83" s="332"/>
      <c r="D83" s="332"/>
      <c r="E83" s="332" t="s">
        <v>443</v>
      </c>
      <c r="F83" s="333">
        <v>44956</v>
      </c>
      <c r="G83" s="333">
        <v>45127</v>
      </c>
      <c r="H83" s="333"/>
      <c r="I83" s="333"/>
      <c r="J83" s="332">
        <f t="shared" si="139"/>
        <v>171</v>
      </c>
      <c r="K83" s="326"/>
    </row>
    <row r="84" spans="1:11">
      <c r="A84" s="332" t="s">
        <v>470</v>
      </c>
      <c r="B84" s="332"/>
      <c r="C84" s="332"/>
      <c r="D84" s="332"/>
      <c r="E84" s="332" t="s">
        <v>444</v>
      </c>
      <c r="F84" s="333">
        <v>44957</v>
      </c>
      <c r="G84" s="333">
        <v>45132</v>
      </c>
      <c r="H84" s="333"/>
      <c r="I84" s="333"/>
      <c r="J84" s="332">
        <f t="shared" si="139"/>
        <v>175</v>
      </c>
      <c r="K84" s="326"/>
    </row>
    <row r="85" spans="1:11">
      <c r="A85" s="332" t="s">
        <v>470</v>
      </c>
      <c r="B85" s="332"/>
      <c r="C85" s="332"/>
      <c r="D85" s="332"/>
      <c r="E85" s="332" t="s">
        <v>445</v>
      </c>
      <c r="F85" s="333">
        <v>44958</v>
      </c>
      <c r="G85" s="333">
        <v>45137</v>
      </c>
      <c r="H85" s="333"/>
      <c r="I85" s="333"/>
      <c r="J85" s="332">
        <f t="shared" si="139"/>
        <v>179</v>
      </c>
      <c r="K85" s="326"/>
    </row>
    <row r="86" spans="1:11">
      <c r="A86" s="332" t="s">
        <v>470</v>
      </c>
      <c r="B86" s="332"/>
      <c r="C86" s="332"/>
      <c r="D86" s="332"/>
      <c r="E86" s="332" t="s">
        <v>446</v>
      </c>
      <c r="F86" s="333">
        <v>44959</v>
      </c>
      <c r="G86" s="333">
        <v>45142</v>
      </c>
      <c r="H86" s="333"/>
      <c r="I86" s="333"/>
      <c r="J86" s="332">
        <f t="shared" si="139"/>
        <v>183</v>
      </c>
      <c r="K86" s="326"/>
    </row>
    <row r="87" spans="1:11">
      <c r="A87" s="332" t="s">
        <v>470</v>
      </c>
      <c r="B87" s="332"/>
      <c r="C87" s="332"/>
      <c r="D87" s="332"/>
      <c r="E87" s="332" t="s">
        <v>449</v>
      </c>
      <c r="F87" s="333">
        <v>44960</v>
      </c>
      <c r="G87" s="333">
        <v>45147</v>
      </c>
      <c r="H87" s="333"/>
      <c r="I87" s="333"/>
      <c r="J87" s="332">
        <f t="shared" si="139"/>
        <v>187</v>
      </c>
      <c r="K87" s="326"/>
    </row>
    <row r="88" spans="1:11">
      <c r="A88" s="332" t="s">
        <v>470</v>
      </c>
      <c r="B88" s="332"/>
      <c r="C88" s="332"/>
      <c r="D88" s="332"/>
      <c r="E88" s="332" t="s">
        <v>450</v>
      </c>
      <c r="F88" s="333">
        <v>44961</v>
      </c>
      <c r="G88" s="333">
        <v>45152</v>
      </c>
      <c r="H88" s="333"/>
      <c r="I88" s="333"/>
      <c r="J88" s="332">
        <f t="shared" si="139"/>
        <v>191</v>
      </c>
      <c r="K88" s="326"/>
    </row>
    <row r="89" spans="1:11">
      <c r="A89" s="332" t="s">
        <v>470</v>
      </c>
      <c r="B89" s="334"/>
      <c r="C89" s="334"/>
      <c r="D89" s="334"/>
      <c r="E89" s="334" t="s">
        <v>451</v>
      </c>
      <c r="F89" s="335">
        <v>44962</v>
      </c>
      <c r="G89" s="335">
        <v>45157</v>
      </c>
      <c r="H89" s="335"/>
      <c r="I89" s="335"/>
      <c r="J89" s="334">
        <f t="shared" si="139"/>
        <v>195</v>
      </c>
      <c r="K89" s="336"/>
    </row>
  </sheetData>
  <autoFilter ref="A3:E51" xr:uid="{26DF870F-0128-4222-96E8-7179D7585BD6}"/>
  <mergeCells count="5">
    <mergeCell ref="N1:Y1"/>
    <mergeCell ref="AA1:AL1"/>
    <mergeCell ref="AN1:AY1"/>
    <mergeCell ref="BA1:BL1"/>
    <mergeCell ref="BN1:BY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C09B9-72B6-44C0-87B5-6D7E00D56158}">
  <dimension ref="A1:X11"/>
  <sheetViews>
    <sheetView workbookViewId="0"/>
  </sheetViews>
  <sheetFormatPr defaultColWidth="25.625" defaultRowHeight="15.75"/>
  <sheetData>
    <row r="1" spans="1:24">
      <c r="A1" t="s">
        <v>669</v>
      </c>
      <c r="B1" t="s">
        <v>670</v>
      </c>
    </row>
    <row r="2" spans="1:24">
      <c r="A2" t="s">
        <v>671</v>
      </c>
      <c r="B2">
        <v>4</v>
      </c>
    </row>
    <row r="3" spans="1:24">
      <c r="A3" t="s">
        <v>672</v>
      </c>
      <c r="B3">
        <v>0</v>
      </c>
    </row>
    <row r="5" spans="1:24">
      <c r="A5" t="s">
        <v>673</v>
      </c>
      <c r="B5" t="s">
        <v>674</v>
      </c>
      <c r="C5" t="s">
        <v>675</v>
      </c>
      <c r="D5" t="s">
        <v>676</v>
      </c>
      <c r="E5" t="s">
        <v>677</v>
      </c>
      <c r="F5" t="s">
        <v>678</v>
      </c>
      <c r="J5" t="s">
        <v>679</v>
      </c>
      <c r="K5" t="s">
        <v>680</v>
      </c>
      <c r="L5" t="s">
        <v>681</v>
      </c>
      <c r="N5" t="s">
        <v>682</v>
      </c>
      <c r="O5" t="s">
        <v>683</v>
      </c>
      <c r="P5" t="s">
        <v>684</v>
      </c>
      <c r="R5" t="s">
        <v>685</v>
      </c>
      <c r="S5" t="s">
        <v>686</v>
      </c>
      <c r="T5" t="s">
        <v>687</v>
      </c>
      <c r="V5" t="s">
        <v>688</v>
      </c>
      <c r="W5" t="s">
        <v>689</v>
      </c>
      <c r="X5" t="s">
        <v>690</v>
      </c>
    </row>
    <row r="6" spans="1:24">
      <c r="A6" t="e">
        <f ca="1">ModelRef('NPV Analysis (2)'!$H$13,2,0,0)</f>
        <v>#NAME?</v>
      </c>
      <c r="B6">
        <v>0</v>
      </c>
      <c r="C6">
        <v>3</v>
      </c>
      <c r="F6">
        <v>0</v>
      </c>
      <c r="J6" t="b">
        <v>1</v>
      </c>
      <c r="K6" t="s">
        <v>702</v>
      </c>
      <c r="L6" t="e">
        <f ca="1">ModelRef('NPV Analysis (2)'!$H$13,2,0,0)+ModelRef('NPV Analysis (2)'!$H$13,3,0,-1)</f>
        <v>#NAME?</v>
      </c>
    </row>
    <row r="7" spans="1:24">
      <c r="A7" t="e">
        <f ca="1">ModelRef('NPV Analysis (2)'!$E$14,2,0,0)</f>
        <v>#NAME?</v>
      </c>
      <c r="B7">
        <v>0</v>
      </c>
      <c r="C7">
        <v>3</v>
      </c>
      <c r="F7">
        <v>0</v>
      </c>
      <c r="J7" t="b">
        <v>1</v>
      </c>
      <c r="K7" t="s">
        <v>697</v>
      </c>
      <c r="L7" t="e">
        <f ca="1">ModelRef('NPV Analysis (2)'!$E$14,2,0,0)+ModelRef('NPV Analysis (2)'!$E$14,3,0,-1)</f>
        <v>#NAME?</v>
      </c>
    </row>
    <row r="8" spans="1:24">
      <c r="A8" t="e">
        <f ca="1">ModelRef('NPV Analysis (2)'!$C$47,1,0,0)</f>
        <v>#NAME?</v>
      </c>
      <c r="B8">
        <v>0</v>
      </c>
      <c r="C8">
        <v>3</v>
      </c>
      <c r="F8">
        <v>2</v>
      </c>
      <c r="J8" t="b">
        <v>1</v>
      </c>
      <c r="K8" t="s">
        <v>698</v>
      </c>
      <c r="L8" t="e">
        <f ca="1">ModelRef('NPV Analysis (2)'!$C$47,1,0,0)</f>
        <v>#NAME?</v>
      </c>
      <c r="N8" t="s">
        <v>691</v>
      </c>
      <c r="O8" t="s">
        <v>692</v>
      </c>
      <c r="P8" t="e">
        <f ca="1">ModelRef('NPV Analysis (2)'!$C$47,1,0,0)</f>
        <v>#NAME?</v>
      </c>
      <c r="R8" t="s">
        <v>699</v>
      </c>
      <c r="S8" t="s">
        <v>700</v>
      </c>
      <c r="T8" t="e">
        <f ca="1">ModelRef('NPV Analysis (2)'!$C$47,1,0,0)</f>
        <v>#NAME?</v>
      </c>
    </row>
    <row r="10" spans="1:24">
      <c r="A10" t="s">
        <v>709</v>
      </c>
      <c r="C10" t="s">
        <v>710</v>
      </c>
      <c r="D10" t="s">
        <v>711</v>
      </c>
      <c r="E10" t="s">
        <v>712</v>
      </c>
    </row>
    <row r="11" spans="1:24">
      <c r="A11" s="186" t="e">
        <f ca="1">'Supply Planning'!$I$4</f>
        <v>#NAME?</v>
      </c>
      <c r="D11">
        <v>1</v>
      </c>
      <c r="E11" t="s">
        <v>723</v>
      </c>
      <c r="F11">
        <v>0</v>
      </c>
      <c r="G11" t="s">
        <v>713</v>
      </c>
      <c r="H11" t="s">
        <v>710</v>
      </c>
      <c r="I1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52F34-BDBB-47D3-BA4B-C0B2079AADEE}">
  <dimension ref="A1:BX45"/>
  <sheetViews>
    <sheetView workbookViewId="0">
      <pane xSplit="1" ySplit="3" topLeftCell="B4" activePane="bottomRight" state="frozen"/>
      <selection pane="topRight" activeCell="B1" sqref="B1"/>
      <selection pane="bottomLeft" activeCell="A4" sqref="A4"/>
      <selection pane="bottomRight" activeCell="C2" sqref="C1:N1048576"/>
    </sheetView>
  </sheetViews>
  <sheetFormatPr defaultRowHeight="15.75"/>
  <cols>
    <col min="1" max="1" width="44.875" bestFit="1" customWidth="1"/>
    <col min="2" max="2" width="3.25" bestFit="1" customWidth="1"/>
    <col min="3" max="14" width="8.125" bestFit="1" customWidth="1"/>
    <col min="15" max="15" width="13" bestFit="1" customWidth="1"/>
    <col min="16" max="16" width="6.5" bestFit="1" customWidth="1"/>
    <col min="17" max="17" width="7" bestFit="1" customWidth="1"/>
    <col min="18" max="18" width="7.375" bestFit="1" customWidth="1"/>
    <col min="19" max="20" width="7.25" bestFit="1" customWidth="1"/>
    <col min="21" max="21" width="6.375" bestFit="1" customWidth="1"/>
    <col min="22" max="27" width="7.375" bestFit="1" customWidth="1"/>
    <col min="28" max="28" width="13" bestFit="1" customWidth="1"/>
    <col min="29" max="34" width="7.375" bestFit="1" customWidth="1"/>
    <col min="35" max="35" width="11.875" bestFit="1" customWidth="1"/>
    <col min="36" max="40" width="7.375" bestFit="1" customWidth="1"/>
    <col min="41" max="41" width="13" bestFit="1" customWidth="1"/>
    <col min="42" max="42" width="7.375" bestFit="1" customWidth="1"/>
    <col min="43" max="43" width="11.875" bestFit="1" customWidth="1"/>
    <col min="44" max="48" width="7.375" bestFit="1" customWidth="1"/>
    <col min="49" max="49" width="12.5" bestFit="1" customWidth="1"/>
    <col min="50" max="53" width="7.375" bestFit="1" customWidth="1"/>
    <col min="54" max="54" width="13" bestFit="1" customWidth="1"/>
    <col min="55" max="66" width="7.375" bestFit="1" customWidth="1"/>
    <col min="67" max="67" width="13" bestFit="1" customWidth="1"/>
    <col min="70" max="70" width="42.875" bestFit="1" customWidth="1"/>
    <col min="75" max="75" width="32.125" bestFit="1" customWidth="1"/>
    <col min="76" max="76" width="18.375" bestFit="1" customWidth="1"/>
  </cols>
  <sheetData>
    <row r="1" spans="1:76" ht="27" thickBot="1">
      <c r="A1" s="267" t="s">
        <v>555</v>
      </c>
      <c r="B1" s="269"/>
      <c r="C1" s="476">
        <v>2023</v>
      </c>
      <c r="D1" s="477"/>
      <c r="E1" s="477"/>
      <c r="F1" s="477"/>
      <c r="G1" s="477"/>
      <c r="H1" s="477"/>
      <c r="I1" s="477"/>
      <c r="J1" s="477"/>
      <c r="K1" s="477"/>
      <c r="L1" s="477"/>
      <c r="M1" s="477"/>
      <c r="N1" s="477"/>
      <c r="O1" s="270"/>
      <c r="P1" s="476">
        <v>2024</v>
      </c>
      <c r="Q1" s="477"/>
      <c r="R1" s="477"/>
      <c r="S1" s="477"/>
      <c r="T1" s="477"/>
      <c r="U1" s="477"/>
      <c r="V1" s="477"/>
      <c r="W1" s="477"/>
      <c r="X1" s="477"/>
      <c r="Y1" s="477"/>
      <c r="Z1" s="477"/>
      <c r="AA1" s="477"/>
      <c r="AB1" s="270"/>
      <c r="AC1" s="476">
        <v>2025</v>
      </c>
      <c r="AD1" s="477"/>
      <c r="AE1" s="477"/>
      <c r="AF1" s="477"/>
      <c r="AG1" s="477"/>
      <c r="AH1" s="477"/>
      <c r="AI1" s="477"/>
      <c r="AJ1" s="477"/>
      <c r="AK1" s="477"/>
      <c r="AL1" s="477"/>
      <c r="AM1" s="477"/>
      <c r="AN1" s="477"/>
      <c r="AO1" s="270"/>
      <c r="AP1" s="476">
        <v>2026</v>
      </c>
      <c r="AQ1" s="477"/>
      <c r="AR1" s="477"/>
      <c r="AS1" s="477"/>
      <c r="AT1" s="477"/>
      <c r="AU1" s="477"/>
      <c r="AV1" s="477"/>
      <c r="AW1" s="477"/>
      <c r="AX1" s="477"/>
      <c r="AY1" s="477"/>
      <c r="AZ1" s="477"/>
      <c r="BA1" s="477"/>
      <c r="BB1" s="270"/>
      <c r="BC1" s="476">
        <v>2027</v>
      </c>
      <c r="BD1" s="477"/>
      <c r="BE1" s="477"/>
      <c r="BF1" s="477"/>
      <c r="BG1" s="477"/>
      <c r="BH1" s="477"/>
      <c r="BI1" s="477"/>
      <c r="BJ1" s="477"/>
      <c r="BK1" s="477"/>
      <c r="BL1" s="477"/>
      <c r="BM1" s="477"/>
      <c r="BN1" s="477"/>
      <c r="BO1" s="270"/>
    </row>
    <row r="2" spans="1:76" ht="16.5" thickBot="1">
      <c r="C2" s="277">
        <v>44927</v>
      </c>
      <c r="D2" s="274">
        <v>44958</v>
      </c>
      <c r="E2" s="274">
        <v>44986</v>
      </c>
      <c r="F2" s="274">
        <v>45017</v>
      </c>
      <c r="G2" s="274">
        <v>45047</v>
      </c>
      <c r="H2" s="274">
        <v>45078</v>
      </c>
      <c r="I2" s="274">
        <v>45108</v>
      </c>
      <c r="J2" s="274">
        <v>45139</v>
      </c>
      <c r="K2" s="274">
        <v>45170</v>
      </c>
      <c r="L2" s="274">
        <v>45200</v>
      </c>
      <c r="M2" s="274">
        <v>45231</v>
      </c>
      <c r="N2" s="275">
        <v>45261</v>
      </c>
      <c r="O2" s="276" t="s">
        <v>520</v>
      </c>
      <c r="P2" s="277">
        <v>45292</v>
      </c>
      <c r="Q2" s="275">
        <v>45323</v>
      </c>
      <c r="R2" s="275">
        <v>45352</v>
      </c>
      <c r="S2" s="275">
        <v>45383</v>
      </c>
      <c r="T2" s="275">
        <v>45413</v>
      </c>
      <c r="U2" s="275">
        <v>45444</v>
      </c>
      <c r="V2" s="275">
        <v>45474</v>
      </c>
      <c r="W2" s="275">
        <v>45505</v>
      </c>
      <c r="X2" s="275">
        <v>45536</v>
      </c>
      <c r="Y2" s="275">
        <v>45566</v>
      </c>
      <c r="Z2" s="275">
        <v>45597</v>
      </c>
      <c r="AA2" s="275">
        <v>45627</v>
      </c>
      <c r="AB2" s="276" t="s">
        <v>521</v>
      </c>
      <c r="AC2" s="275">
        <v>45658</v>
      </c>
      <c r="AD2" s="275">
        <v>45689</v>
      </c>
      <c r="AE2" s="275">
        <v>45717</v>
      </c>
      <c r="AF2" s="275">
        <v>45748</v>
      </c>
      <c r="AG2" s="275">
        <v>45778</v>
      </c>
      <c r="AH2" s="275">
        <v>45809</v>
      </c>
      <c r="AI2" s="275">
        <v>45839</v>
      </c>
      <c r="AJ2" s="275">
        <v>45870</v>
      </c>
      <c r="AK2" s="275">
        <v>45901</v>
      </c>
      <c r="AL2" s="275">
        <v>45931</v>
      </c>
      <c r="AM2" s="275">
        <v>45962</v>
      </c>
      <c r="AN2" s="275">
        <v>45992</v>
      </c>
      <c r="AO2" s="276" t="s">
        <v>522</v>
      </c>
      <c r="AP2" s="275">
        <v>46023</v>
      </c>
      <c r="AQ2" s="275">
        <v>46054</v>
      </c>
      <c r="AR2" s="275">
        <v>46082</v>
      </c>
      <c r="AS2" s="275">
        <v>46113</v>
      </c>
      <c r="AT2" s="275">
        <v>46143</v>
      </c>
      <c r="AU2" s="275">
        <v>46174</v>
      </c>
      <c r="AV2" s="275">
        <v>46204</v>
      </c>
      <c r="AW2" s="275">
        <v>46235</v>
      </c>
      <c r="AX2" s="275">
        <v>46266</v>
      </c>
      <c r="AY2" s="275">
        <v>46296</v>
      </c>
      <c r="AZ2" s="275">
        <v>46327</v>
      </c>
      <c r="BA2" s="275">
        <v>46357</v>
      </c>
      <c r="BB2" s="276" t="s">
        <v>523</v>
      </c>
      <c r="BC2" s="275">
        <v>46388</v>
      </c>
      <c r="BD2" s="275">
        <v>46419</v>
      </c>
      <c r="BE2" s="275">
        <v>46447</v>
      </c>
      <c r="BF2" s="275">
        <v>46478</v>
      </c>
      <c r="BG2" s="275">
        <v>46508</v>
      </c>
      <c r="BH2" s="275">
        <v>46539</v>
      </c>
      <c r="BI2" s="275">
        <v>46569</v>
      </c>
      <c r="BJ2" s="275">
        <v>46600</v>
      </c>
      <c r="BK2" s="275">
        <v>46631</v>
      </c>
      <c r="BL2" s="275">
        <v>46661</v>
      </c>
      <c r="BM2" s="275">
        <v>46692</v>
      </c>
      <c r="BN2" s="275">
        <v>46722</v>
      </c>
      <c r="BO2" s="276" t="s">
        <v>524</v>
      </c>
    </row>
    <row r="3" spans="1:76" ht="16.5" thickBot="1">
      <c r="A3" s="272" t="s">
        <v>499</v>
      </c>
      <c r="B3" s="353"/>
      <c r="C3" s="349">
        <v>0</v>
      </c>
      <c r="D3" s="347">
        <v>0</v>
      </c>
      <c r="E3" s="347">
        <v>0</v>
      </c>
      <c r="F3" s="347">
        <v>0</v>
      </c>
      <c r="G3" s="347">
        <v>0</v>
      </c>
      <c r="H3" s="347">
        <v>0</v>
      </c>
      <c r="I3" s="347">
        <v>0.05</v>
      </c>
      <c r="J3" s="347">
        <v>0.08</v>
      </c>
      <c r="K3" s="347">
        <v>0.14000000000000001</v>
      </c>
      <c r="L3" s="347">
        <v>0.19</v>
      </c>
      <c r="M3" s="347">
        <v>0.23</v>
      </c>
      <c r="N3" s="347">
        <v>0.31</v>
      </c>
      <c r="O3" s="348">
        <v>1</v>
      </c>
      <c r="P3" s="349">
        <v>5.7666741851935398E-2</v>
      </c>
      <c r="Q3" s="349">
        <v>6.2666742963047695E-2</v>
      </c>
      <c r="R3" s="349">
        <v>8.5600095111216828E-2</v>
      </c>
      <c r="S3" s="349">
        <v>7.5000086666763E-2</v>
      </c>
      <c r="T3" s="349">
        <v>7.5500008666676305E-2</v>
      </c>
      <c r="U3" s="349">
        <v>7.6000086666763E-2</v>
      </c>
      <c r="V3" s="349">
        <v>8.2666760740845294E-2</v>
      </c>
      <c r="W3" s="349">
        <v>8.4666760740845268E-2</v>
      </c>
      <c r="X3" s="349">
        <v>0.11080012311124789</v>
      </c>
      <c r="Y3" s="349">
        <v>9.4299999999999995E-2</v>
      </c>
      <c r="Z3" s="349">
        <v>9.48889943211048E-2</v>
      </c>
      <c r="AA3" s="349">
        <v>0.10022233358037065</v>
      </c>
      <c r="AB3" s="350">
        <v>0.99997873442081608</v>
      </c>
      <c r="AC3" s="349">
        <v>6.7199999999999996E-2</v>
      </c>
      <c r="AD3" s="349">
        <v>6.7500000000000004E-2</v>
      </c>
      <c r="AE3" s="349">
        <v>9.1581291759465486E-2</v>
      </c>
      <c r="AF3" s="349">
        <v>7.5633837107793894E-2</v>
      </c>
      <c r="AG3" s="349">
        <v>7.9000000000000001E-2</v>
      </c>
      <c r="AH3" s="349">
        <v>8.2900000000000001E-2</v>
      </c>
      <c r="AI3" s="349">
        <v>8.5003711952487029E-2</v>
      </c>
      <c r="AJ3" s="349">
        <v>8.5597624350408338E-2</v>
      </c>
      <c r="AK3" s="349">
        <v>0.10681514476614706</v>
      </c>
      <c r="AL3" s="349">
        <v>8.3597624350408295E-2</v>
      </c>
      <c r="AM3" s="349">
        <v>8.5597624350408338E-2</v>
      </c>
      <c r="AN3" s="349">
        <v>8.9606149467527291E-2</v>
      </c>
      <c r="AO3" s="350">
        <v>1.0000330081046456</v>
      </c>
      <c r="AP3" s="349">
        <v>6.7400000000000002E-2</v>
      </c>
      <c r="AQ3" s="349">
        <v>6.7666742963047699E-2</v>
      </c>
      <c r="AR3" s="349">
        <v>8.5600095111216828E-2</v>
      </c>
      <c r="AS3" s="349">
        <v>6.8000000000000005E-2</v>
      </c>
      <c r="AT3" s="349">
        <v>7.1000086666762996E-2</v>
      </c>
      <c r="AU3" s="349">
        <v>7.2000086666762997E-2</v>
      </c>
      <c r="AV3" s="349">
        <v>8.4666760740845268E-2</v>
      </c>
      <c r="AW3" s="349">
        <v>8.5999999999999993E-2</v>
      </c>
      <c r="AX3" s="349">
        <v>0.11080012311124789</v>
      </c>
      <c r="AY3" s="349">
        <v>9.0899999999999995E-2</v>
      </c>
      <c r="AZ3" s="349">
        <v>9.5777884197649113E-2</v>
      </c>
      <c r="BA3" s="349">
        <v>0.10022233358037065</v>
      </c>
      <c r="BB3" s="350">
        <v>1.0000341130379033</v>
      </c>
      <c r="BC3" s="349">
        <v>8.0288888888888896E-2</v>
      </c>
      <c r="BD3" s="349">
        <v>8.0658753333333305E-2</v>
      </c>
      <c r="BE3" s="349">
        <v>8.8756785315202008E-2</v>
      </c>
      <c r="BF3" s="349">
        <v>8.1199999999999994E-2</v>
      </c>
      <c r="BG3" s="349">
        <v>8.1278474629314507E-2</v>
      </c>
      <c r="BH3" s="349">
        <v>8.2155116688877899E-2</v>
      </c>
      <c r="BI3" s="349">
        <v>8.2350000000000007E-2</v>
      </c>
      <c r="BJ3" s="349">
        <v>8.2699999999999996E-2</v>
      </c>
      <c r="BK3" s="349">
        <v>9.0111736014050606E-2</v>
      </c>
      <c r="BL3" s="349">
        <v>8.3000000000000004E-2</v>
      </c>
      <c r="BM3" s="349">
        <v>8.3500000000000005E-2</v>
      </c>
      <c r="BN3" s="349">
        <v>8.3975300400160005E-2</v>
      </c>
      <c r="BO3" s="350">
        <v>0.99997505526982722</v>
      </c>
    </row>
    <row r="4" spans="1:76">
      <c r="A4" s="284" t="s">
        <v>491</v>
      </c>
      <c r="B4" s="458"/>
      <c r="C4" s="345" t="e">
        <f ca="1">+_xll.RiskNormal(C14,C15)</f>
        <v>#NAME?</v>
      </c>
      <c r="D4" s="345" t="e">
        <f ca="1">+_xll.RiskNormal(D14,D15)</f>
        <v>#NAME?</v>
      </c>
      <c r="E4" s="345" t="e">
        <f ca="1">+_xll.RiskNormal(E14,E15)</f>
        <v>#NAME?</v>
      </c>
      <c r="F4" s="345" t="e">
        <f ca="1">+_xll.RiskNormal(F14,F15)</f>
        <v>#NAME?</v>
      </c>
      <c r="G4" s="345" t="e">
        <f ca="1">+_xll.RiskNormal(G14,G15)</f>
        <v>#NAME?</v>
      </c>
      <c r="H4" s="345" t="e">
        <f ca="1">+_xll.RiskNormal(H14,H15)</f>
        <v>#NAME?</v>
      </c>
      <c r="I4" s="345" t="e">
        <f ca="1">+_xll.RiskNormal(I14,I15)</f>
        <v>#NAME?</v>
      </c>
      <c r="J4" s="345" t="e">
        <f ca="1">+_xll.RiskNormal(J14,J15)</f>
        <v>#NAME?</v>
      </c>
      <c r="K4" s="345" t="e">
        <f ca="1">+_xll.RiskNormal(K14,K15)</f>
        <v>#NAME?</v>
      </c>
      <c r="L4" s="345" t="e">
        <f ca="1">+_xll.RiskNormal(L14,L15)</f>
        <v>#NAME?</v>
      </c>
      <c r="M4" s="345" t="e">
        <f ca="1">+_xll.RiskNormal(M14,M15)</f>
        <v>#NAME?</v>
      </c>
      <c r="N4" s="345" t="e">
        <f ca="1">+_xll.RiskNormal(N14,N15)</f>
        <v>#NAME?</v>
      </c>
      <c r="O4" s="384">
        <v>70.558838362424865</v>
      </c>
      <c r="P4" s="345" t="e">
        <f ca="1">+_xll.RiskNormal(P14,P15)</f>
        <v>#NAME?</v>
      </c>
      <c r="Q4" s="345" t="e">
        <f ca="1">+_xll.RiskNormal(Q14,Q15)</f>
        <v>#NAME?</v>
      </c>
      <c r="R4" s="345" t="e">
        <f ca="1">+_xll.RiskNormal(R14,R15)</f>
        <v>#NAME?</v>
      </c>
      <c r="S4" s="345" t="e">
        <f ca="1">+_xll.RiskNormal(S14,S15)</f>
        <v>#NAME?</v>
      </c>
      <c r="T4" s="345" t="e">
        <f ca="1">+_xll.RiskNormal(T14,T15)</f>
        <v>#NAME?</v>
      </c>
      <c r="U4" s="345" t="e">
        <f ca="1">+_xll.RiskNormal(U14,U15)</f>
        <v>#NAME?</v>
      </c>
      <c r="V4" s="345" t="e">
        <f ca="1">+_xll.RiskNormal(V14,V15)</f>
        <v>#NAME?</v>
      </c>
      <c r="W4" s="345" t="e">
        <f ca="1">+_xll.RiskNormal(W14,W15)</f>
        <v>#NAME?</v>
      </c>
      <c r="X4" s="345" t="e">
        <f ca="1">+_xll.RiskNormal(X14,X15)</f>
        <v>#NAME?</v>
      </c>
      <c r="Y4" s="345" t="e">
        <f ca="1">+_xll.RiskNormal(Y14,Y15)</f>
        <v>#NAME?</v>
      </c>
      <c r="Z4" s="345" t="e">
        <f ca="1">+_xll.RiskNormal(Z14,Z15)</f>
        <v>#NAME?</v>
      </c>
      <c r="AA4" s="345" t="e">
        <f ca="1">+_xll.RiskNormal(AA14,AA15)</f>
        <v>#NAME?</v>
      </c>
      <c r="AB4" s="384">
        <v>9000</v>
      </c>
      <c r="AC4" s="345" t="e">
        <f ca="1">+_xll.RiskNormal(AC14,AC15)</f>
        <v>#NAME?</v>
      </c>
      <c r="AD4" s="345" t="e">
        <f ca="1">+_xll.RiskNormal(AD14,AD15)</f>
        <v>#NAME?</v>
      </c>
      <c r="AE4" s="345" t="e">
        <f ca="1">+_xll.RiskNormal(AE14,AE15)</f>
        <v>#NAME?</v>
      </c>
      <c r="AF4" s="345" t="e">
        <f ca="1">+_xll.RiskNormal(AF14,AF15)</f>
        <v>#NAME?</v>
      </c>
      <c r="AG4" s="345" t="e">
        <f ca="1">+_xll.RiskNormal(AG14,AG15)</f>
        <v>#NAME?</v>
      </c>
      <c r="AH4" s="345" t="e">
        <f ca="1">+_xll.RiskNormal(AH14,AH15)</f>
        <v>#NAME?</v>
      </c>
      <c r="AI4" s="345" t="e">
        <f ca="1">+_xll.RiskNormal(AI14,AI15)</f>
        <v>#NAME?</v>
      </c>
      <c r="AJ4" s="345" t="e">
        <f ca="1">+_xll.RiskNormal(AJ14,AJ15)</f>
        <v>#NAME?</v>
      </c>
      <c r="AK4" s="345" t="e">
        <f ca="1">+_xll.RiskNormal(AK14,AK15)</f>
        <v>#NAME?</v>
      </c>
      <c r="AL4" s="345" t="e">
        <f ca="1">+_xll.RiskNormal(AL14,AL15)</f>
        <v>#NAME?</v>
      </c>
      <c r="AM4" s="345" t="e">
        <f ca="1">+_xll.RiskNormal(AM14,AM15)</f>
        <v>#NAME?</v>
      </c>
      <c r="AN4" s="345" t="e">
        <f ca="1">+_xll.RiskNormal(AN14,AN15)</f>
        <v>#NAME?</v>
      </c>
      <c r="AO4" s="384">
        <v>13469.999999999996</v>
      </c>
      <c r="AP4" s="345" t="e">
        <f ca="1">+_xll.RiskNormal(AP14,AP15)</f>
        <v>#NAME?</v>
      </c>
      <c r="AQ4" s="345" t="e">
        <f ca="1">+_xll.RiskNormal(AQ14,AQ15)</f>
        <v>#NAME?</v>
      </c>
      <c r="AR4" s="345" t="e">
        <f ca="1">+_xll.RiskNormal(AR14,AR15)</f>
        <v>#NAME?</v>
      </c>
      <c r="AS4" s="345" t="e">
        <f ca="1">+_xll.RiskNormal(AS14,AS15)</f>
        <v>#NAME?</v>
      </c>
      <c r="AT4" s="345" t="e">
        <f ca="1">+_xll.RiskNormal(AT14,AT15)</f>
        <v>#NAME?</v>
      </c>
      <c r="AU4" s="345" t="e">
        <f ca="1">+_xll.RiskNormal(AU14,AU15)</f>
        <v>#NAME?</v>
      </c>
      <c r="AV4" s="345" t="e">
        <f ca="1">+_xll.RiskNormal(AV14,AV15)</f>
        <v>#NAME?</v>
      </c>
      <c r="AW4" s="345" t="e">
        <f ca="1">+_xll.RiskNormal(AW14,AW15)</f>
        <v>#NAME?</v>
      </c>
      <c r="AX4" s="345" t="e">
        <f ca="1">+_xll.RiskNormal(AX14,AX15)</f>
        <v>#NAME?</v>
      </c>
      <c r="AY4" s="345" t="e">
        <f ca="1">+_xll.RiskNormal(AY14,AY15)</f>
        <v>#NAME?</v>
      </c>
      <c r="AZ4" s="345" t="e">
        <f ca="1">+_xll.RiskNormal(AZ14,AZ15)</f>
        <v>#NAME?</v>
      </c>
      <c r="BA4" s="345" t="e">
        <f ca="1">+_xll.RiskNormal(BA14,BA15)</f>
        <v>#NAME?</v>
      </c>
      <c r="BB4" s="384">
        <v>18000</v>
      </c>
      <c r="BC4" s="345" t="e">
        <f ca="1">+_xll.RiskNormal(BC14,BC15)</f>
        <v>#NAME?</v>
      </c>
      <c r="BD4" s="345" t="e">
        <f ca="1">+_xll.RiskNormal(BD14,BD15)</f>
        <v>#NAME?</v>
      </c>
      <c r="BE4" s="345" t="e">
        <f ca="1">+_xll.RiskNormal(BE14,BE15)</f>
        <v>#NAME?</v>
      </c>
      <c r="BF4" s="345" t="e">
        <f ca="1">+_xll.RiskNormal(BF14,BF15)</f>
        <v>#NAME?</v>
      </c>
      <c r="BG4" s="345" t="e">
        <f ca="1">+_xll.RiskNormal(BG14,BG15)</f>
        <v>#NAME?</v>
      </c>
      <c r="BH4" s="345" t="e">
        <f ca="1">+_xll.RiskNormal(BH14,BH15)</f>
        <v>#NAME?</v>
      </c>
      <c r="BI4" s="345" t="e">
        <f ca="1">+_xll.RiskNormal(BI14,BI15)</f>
        <v>#NAME?</v>
      </c>
      <c r="BJ4" s="345" t="e">
        <f ca="1">+_xll.RiskNormal(BJ14,BJ15)</f>
        <v>#NAME?</v>
      </c>
      <c r="BK4" s="345" t="e">
        <f ca="1">+_xll.RiskNormal(BK14,BK15)</f>
        <v>#NAME?</v>
      </c>
      <c r="BL4" s="345" t="e">
        <f ca="1">+_xll.RiskNormal(BL14,BL15)</f>
        <v>#NAME?</v>
      </c>
      <c r="BM4" s="345" t="e">
        <f ca="1">+_xll.RiskNormal(BM14,BM15)</f>
        <v>#NAME?</v>
      </c>
      <c r="BN4" s="345" t="e">
        <f ca="1">+_xll.RiskNormal(BN14,BN15)</f>
        <v>#NAME?</v>
      </c>
      <c r="BO4" s="384">
        <v>22500</v>
      </c>
    </row>
    <row r="5" spans="1:76">
      <c r="A5" s="284" t="s">
        <v>704</v>
      </c>
      <c r="B5" s="39"/>
      <c r="C5" s="454">
        <v>0</v>
      </c>
      <c r="D5" s="454">
        <v>0</v>
      </c>
      <c r="E5" s="454">
        <v>0</v>
      </c>
      <c r="F5" s="454">
        <v>0</v>
      </c>
      <c r="G5" s="454">
        <v>0</v>
      </c>
      <c r="H5" s="454">
        <v>0</v>
      </c>
      <c r="I5" s="454">
        <f>+_xlfn.NORM.INV(0.95,I14,I15)</f>
        <v>4.9786789330452077</v>
      </c>
      <c r="J5" s="463">
        <f t="shared" ref="J5:N5" si="0">+_xlfn.NORM.INV(0.95,J14,J15)</f>
        <v>7.9658862928723329</v>
      </c>
      <c r="K5" s="454">
        <f t="shared" si="0"/>
        <v>13.940301012526582</v>
      </c>
      <c r="L5" s="454">
        <f t="shared" si="0"/>
        <v>18.918979945571788</v>
      </c>
      <c r="M5" s="454">
        <f t="shared" si="0"/>
        <v>22.901923092007959</v>
      </c>
      <c r="N5" s="454">
        <f t="shared" si="0"/>
        <v>30.867809384880289</v>
      </c>
      <c r="O5" s="455"/>
      <c r="P5" s="454">
        <f t="shared" ref="P5:AA5" si="1">+_xlfn.NORM.INV(0.95,P14,P15)</f>
        <v>732.42071301908641</v>
      </c>
      <c r="Q5" s="454">
        <f t="shared" si="1"/>
        <v>795.92533043443962</v>
      </c>
      <c r="R5" s="454">
        <f t="shared" si="1"/>
        <v>1087.2000165508723</v>
      </c>
      <c r="S5" s="454">
        <f t="shared" si="1"/>
        <v>952.57015029574154</v>
      </c>
      <c r="T5" s="454">
        <f t="shared" si="1"/>
        <v>958.91961995314932</v>
      </c>
      <c r="U5" s="454">
        <f t="shared" si="1"/>
        <v>965.27107095638246</v>
      </c>
      <c r="V5" s="454">
        <f t="shared" si="1"/>
        <v>1049.9439694416528</v>
      </c>
      <c r="W5" s="454">
        <f t="shared" si="1"/>
        <v>1075.345810762934</v>
      </c>
      <c r="X5" s="454">
        <f t="shared" si="1"/>
        <v>1407.2635728251937</v>
      </c>
      <c r="Y5" s="454">
        <f t="shared" si="1"/>
        <v>1197.6968182984283</v>
      </c>
      <c r="Z5" s="454">
        <f t="shared" si="1"/>
        <v>1205.1775884403485</v>
      </c>
      <c r="AA5" s="454">
        <f t="shared" si="1"/>
        <v>1272.9159072285649</v>
      </c>
      <c r="AB5" s="455"/>
      <c r="AC5" s="454">
        <f t="shared" ref="AC5:BN5" si="2">+_xlfn.NORM.INV(0.95,AC14,AC15)</f>
        <v>1277.4077963646098</v>
      </c>
      <c r="AD5" s="454">
        <f t="shared" si="2"/>
        <v>1283.1105097412376</v>
      </c>
      <c r="AE5" s="454">
        <f t="shared" si="2"/>
        <v>1740.8728585518334</v>
      </c>
      <c r="AF5" s="454">
        <f t="shared" si="2"/>
        <v>1437.7269820009949</v>
      </c>
      <c r="AG5" s="454">
        <f t="shared" si="2"/>
        <v>1501.7145225119668</v>
      </c>
      <c r="AH5" s="454">
        <f t="shared" si="2"/>
        <v>1575.8497964081275</v>
      </c>
      <c r="AI5" s="454">
        <f t="shared" si="2"/>
        <v>1615.8393507148587</v>
      </c>
      <c r="AJ5" s="454">
        <f t="shared" si="2"/>
        <v>1627.1290579687616</v>
      </c>
      <c r="AK5" s="454">
        <f t="shared" si="2"/>
        <v>2030.4538496144451</v>
      </c>
      <c r="AL5" s="454">
        <f t="shared" si="2"/>
        <v>1589.1109687912428</v>
      </c>
      <c r="AM5" s="454">
        <f t="shared" si="2"/>
        <v>1627.1290579687616</v>
      </c>
      <c r="AN5" s="454">
        <f t="shared" si="2"/>
        <v>1703.3272906552365</v>
      </c>
      <c r="AO5" s="455"/>
      <c r="AP5" s="454">
        <f t="shared" si="2"/>
        <v>1712.0841050543813</v>
      </c>
      <c r="AQ5" s="454">
        <f t="shared" si="2"/>
        <v>1718.8598674752873</v>
      </c>
      <c r="AR5" s="454">
        <f t="shared" si="2"/>
        <v>2174.4000331017446</v>
      </c>
      <c r="AS5" s="454">
        <f t="shared" si="2"/>
        <v>1727.3252098471503</v>
      </c>
      <c r="AT5" s="454">
        <f t="shared" si="2"/>
        <v>1803.5329353063566</v>
      </c>
      <c r="AU5" s="454">
        <f t="shared" si="2"/>
        <v>1828.9347766276383</v>
      </c>
      <c r="AV5" s="454">
        <f t="shared" si="2"/>
        <v>2150.691621525868</v>
      </c>
      <c r="AW5" s="454">
        <f t="shared" si="2"/>
        <v>2184.5583536302192</v>
      </c>
      <c r="AX5" s="454">
        <f t="shared" si="2"/>
        <v>2814.5271456503874</v>
      </c>
      <c r="AY5" s="454">
        <f t="shared" si="2"/>
        <v>2309.0273761044991</v>
      </c>
      <c r="AZ5" s="454">
        <f t="shared" si="2"/>
        <v>2432.9346164767694</v>
      </c>
      <c r="BA5" s="454">
        <f t="shared" si="2"/>
        <v>2545.8318144571299</v>
      </c>
      <c r="BB5" s="455"/>
      <c r="BC5" s="454">
        <f t="shared" si="2"/>
        <v>2549.3570192719585</v>
      </c>
      <c r="BD5" s="454">
        <f t="shared" si="2"/>
        <v>2561.1010666821594</v>
      </c>
      <c r="BE5" s="454">
        <f t="shared" si="2"/>
        <v>2818.2322209547751</v>
      </c>
      <c r="BF5" s="454">
        <f t="shared" si="2"/>
        <v>2578.2868941100842</v>
      </c>
      <c r="BG5" s="454">
        <f t="shared" si="2"/>
        <v>2580.7786442120764</v>
      </c>
      <c r="BH5" s="454">
        <f t="shared" si="2"/>
        <v>2608.6140473278151</v>
      </c>
      <c r="BI5" s="454">
        <f t="shared" si="2"/>
        <v>2614.8020410094273</v>
      </c>
      <c r="BJ5" s="454">
        <f t="shared" si="2"/>
        <v>2625.9153465874879</v>
      </c>
      <c r="BK5" s="454">
        <f t="shared" si="2"/>
        <v>2861.2550242676652</v>
      </c>
      <c r="BL5" s="454">
        <f t="shared" si="2"/>
        <v>2635.4410370829683</v>
      </c>
      <c r="BM5" s="454">
        <f t="shared" si="2"/>
        <v>2651.3171879087695</v>
      </c>
      <c r="BN5" s="454">
        <f t="shared" si="2"/>
        <v>2666.4090695897767</v>
      </c>
      <c r="BO5" s="455"/>
    </row>
    <row r="6" spans="1:76">
      <c r="A6" s="293" t="s">
        <v>557</v>
      </c>
      <c r="B6" s="360"/>
      <c r="C6" s="451" t="e">
        <f t="shared" ref="C6:H6" ca="1" si="3">(C5-C4)</f>
        <v>#NAME?</v>
      </c>
      <c r="D6" s="451" t="e">
        <f t="shared" ca="1" si="3"/>
        <v>#NAME?</v>
      </c>
      <c r="E6" s="451" t="e">
        <f t="shared" ca="1" si="3"/>
        <v>#NAME?</v>
      </c>
      <c r="F6" s="451" t="e">
        <f t="shared" ca="1" si="3"/>
        <v>#NAME?</v>
      </c>
      <c r="G6" s="451" t="e">
        <f t="shared" ca="1" si="3"/>
        <v>#NAME?</v>
      </c>
      <c r="H6" s="451" t="e">
        <f t="shared" ca="1" si="3"/>
        <v>#NAME?</v>
      </c>
      <c r="I6" s="461" t="e">
        <f ca="1">(I5-I4)</f>
        <v>#NAME?</v>
      </c>
      <c r="J6" s="451" t="e">
        <f ca="1">(J5-J4)</f>
        <v>#NAME?</v>
      </c>
      <c r="K6" s="451" t="e">
        <f ca="1">(K5-K4)</f>
        <v>#NAME?</v>
      </c>
      <c r="L6" s="451" t="e">
        <f t="shared" ref="L6:N6" ca="1" si="4">(L5-L4)</f>
        <v>#NAME?</v>
      </c>
      <c r="M6" s="451" t="e">
        <f t="shared" ca="1" si="4"/>
        <v>#NAME?</v>
      </c>
      <c r="N6" s="451" t="e">
        <f t="shared" ca="1" si="4"/>
        <v>#NAME?</v>
      </c>
      <c r="P6" s="451" t="e">
        <f t="shared" ref="P6" ca="1" si="5">(P5-P4)</f>
        <v>#NAME?</v>
      </c>
      <c r="Q6" s="451" t="e">
        <f t="shared" ref="Q6" ca="1" si="6">(Q5-Q4)</f>
        <v>#NAME?</v>
      </c>
      <c r="R6" s="451" t="e">
        <f t="shared" ref="R6" ca="1" si="7">(R5-R4)</f>
        <v>#NAME?</v>
      </c>
      <c r="S6" s="451" t="e">
        <f t="shared" ref="S6" ca="1" si="8">(S5-S4)</f>
        <v>#NAME?</v>
      </c>
      <c r="T6" s="451" t="e">
        <f t="shared" ref="T6" ca="1" si="9">(T5-T4)</f>
        <v>#NAME?</v>
      </c>
      <c r="U6" s="451" t="e">
        <f t="shared" ref="U6" ca="1" si="10">(U5-U4)</f>
        <v>#NAME?</v>
      </c>
      <c r="V6" s="451" t="e">
        <f t="shared" ref="V6" ca="1" si="11">(V5-V4)</f>
        <v>#NAME?</v>
      </c>
      <c r="W6" s="451" t="e">
        <f t="shared" ref="W6" ca="1" si="12">(W5-W4)</f>
        <v>#NAME?</v>
      </c>
      <c r="X6" s="451" t="e">
        <f t="shared" ref="X6" ca="1" si="13">(X5-X4)</f>
        <v>#NAME?</v>
      </c>
      <c r="Y6" s="451" t="e">
        <f t="shared" ref="Y6" ca="1" si="14">(Y5-Y4)</f>
        <v>#NAME?</v>
      </c>
      <c r="Z6" s="451" t="e">
        <f t="shared" ref="Z6" ca="1" si="15">(Z5-Z4)</f>
        <v>#NAME?</v>
      </c>
      <c r="AA6" s="451" t="e">
        <f t="shared" ref="AA6" ca="1" si="16">(AA5-AA4)</f>
        <v>#NAME?</v>
      </c>
      <c r="AB6" s="192"/>
      <c r="AC6" s="451" t="e">
        <f t="shared" ref="AC6" ca="1" si="17">(AC5-AC4)</f>
        <v>#NAME?</v>
      </c>
      <c r="AD6" s="451" t="e">
        <f t="shared" ref="AD6" ca="1" si="18">(AD5-AD4)</f>
        <v>#NAME?</v>
      </c>
      <c r="AE6" s="451" t="e">
        <f t="shared" ref="AE6" ca="1" si="19">(AE5-AE4)</f>
        <v>#NAME?</v>
      </c>
      <c r="AF6" s="451" t="e">
        <f t="shared" ref="AF6" ca="1" si="20">(AF5-AF4)</f>
        <v>#NAME?</v>
      </c>
      <c r="AG6" s="451" t="e">
        <f t="shared" ref="AG6" ca="1" si="21">(AG5-AG4)</f>
        <v>#NAME?</v>
      </c>
      <c r="AH6" s="451" t="e">
        <f t="shared" ref="AH6" ca="1" si="22">(AH5-AH4)</f>
        <v>#NAME?</v>
      </c>
      <c r="AI6" s="451" t="e">
        <f t="shared" ref="AI6" ca="1" si="23">(AI5-AI4)</f>
        <v>#NAME?</v>
      </c>
      <c r="AJ6" s="451" t="e">
        <f t="shared" ref="AJ6" ca="1" si="24">(AJ5-AJ4)</f>
        <v>#NAME?</v>
      </c>
      <c r="AK6" s="451" t="e">
        <f t="shared" ref="AK6" ca="1" si="25">(AK5-AK4)</f>
        <v>#NAME?</v>
      </c>
      <c r="AL6" s="451" t="e">
        <f t="shared" ref="AL6" ca="1" si="26">(AL5-AL4)</f>
        <v>#NAME?</v>
      </c>
      <c r="AM6" s="451" t="e">
        <f t="shared" ref="AM6" ca="1" si="27">(AM5-AM4)</f>
        <v>#NAME?</v>
      </c>
      <c r="AN6" s="451" t="e">
        <f t="shared" ref="AN6" ca="1" si="28">(AN5-AN4)</f>
        <v>#NAME?</v>
      </c>
      <c r="AO6" s="192"/>
      <c r="AP6" s="451" t="e">
        <f t="shared" ref="AP6" ca="1" si="29">(AP5-AP4)</f>
        <v>#NAME?</v>
      </c>
      <c r="AQ6" s="451" t="e">
        <f t="shared" ref="AQ6" ca="1" si="30">(AQ5-AQ4)</f>
        <v>#NAME?</v>
      </c>
      <c r="AR6" s="451" t="e">
        <f t="shared" ref="AR6" ca="1" si="31">(AR5-AR4)</f>
        <v>#NAME?</v>
      </c>
      <c r="AS6" s="451" t="e">
        <f t="shared" ref="AS6" ca="1" si="32">(AS5-AS4)</f>
        <v>#NAME?</v>
      </c>
      <c r="AT6" s="451" t="e">
        <f t="shared" ref="AT6" ca="1" si="33">(AT5-AT4)</f>
        <v>#NAME?</v>
      </c>
      <c r="AU6" s="451" t="e">
        <f t="shared" ref="AU6" ca="1" si="34">(AU5-AU4)</f>
        <v>#NAME?</v>
      </c>
      <c r="AV6" s="451" t="e">
        <f t="shared" ref="AV6" ca="1" si="35">(AV5-AV4)</f>
        <v>#NAME?</v>
      </c>
      <c r="AW6" s="451" t="e">
        <f t="shared" ref="AW6" ca="1" si="36">(AW5-AW4)</f>
        <v>#NAME?</v>
      </c>
      <c r="AX6" s="451" t="e">
        <f t="shared" ref="AX6" ca="1" si="37">(AX5-AX4)</f>
        <v>#NAME?</v>
      </c>
      <c r="AY6" s="451" t="e">
        <f t="shared" ref="AY6" ca="1" si="38">(AY5-AY4)</f>
        <v>#NAME?</v>
      </c>
      <c r="AZ6" s="451" t="e">
        <f t="shared" ref="AZ6" ca="1" si="39">(AZ5-AZ4)</f>
        <v>#NAME?</v>
      </c>
      <c r="BA6" s="451" t="e">
        <f ca="1">(BA5-BA4)</f>
        <v>#NAME?</v>
      </c>
      <c r="BB6" s="192"/>
      <c r="BC6" s="451" t="e">
        <f t="shared" ref="BC6" ca="1" si="40">(BC5-BC4)</f>
        <v>#NAME?</v>
      </c>
      <c r="BD6" s="451" t="e">
        <f t="shared" ref="BD6" ca="1" si="41">(BD5-BD4)</f>
        <v>#NAME?</v>
      </c>
      <c r="BE6" s="451" t="e">
        <f t="shared" ref="BE6" ca="1" si="42">(BE5-BE4)</f>
        <v>#NAME?</v>
      </c>
      <c r="BF6" s="451" t="e">
        <f t="shared" ref="BF6" ca="1" si="43">(BF5-BF4)</f>
        <v>#NAME?</v>
      </c>
      <c r="BG6" s="451" t="e">
        <f t="shared" ref="BG6" ca="1" si="44">(BG5-BG4)</f>
        <v>#NAME?</v>
      </c>
      <c r="BH6" s="451" t="e">
        <f t="shared" ref="BH6" ca="1" si="45">(BH5-BH4)</f>
        <v>#NAME?</v>
      </c>
      <c r="BI6" s="451" t="e">
        <f t="shared" ref="BI6" ca="1" si="46">(BI5-BI4)</f>
        <v>#NAME?</v>
      </c>
      <c r="BJ6" s="451" t="e">
        <f t="shared" ref="BJ6" ca="1" si="47">(BJ5-BJ4)</f>
        <v>#NAME?</v>
      </c>
      <c r="BK6" s="451" t="e">
        <f t="shared" ref="BK6" ca="1" si="48">(BK5-BK4)</f>
        <v>#NAME?</v>
      </c>
      <c r="BL6" s="451" t="e">
        <f t="shared" ref="BL6" ca="1" si="49">(BL5-BL4)</f>
        <v>#NAME?</v>
      </c>
      <c r="BM6" s="451" t="e">
        <f t="shared" ref="BM6" ca="1" si="50">(BM5-BM4)</f>
        <v>#NAME?</v>
      </c>
      <c r="BN6" s="451" t="e">
        <f t="shared" ref="BN6" ca="1" si="51">(BN5-BN4)</f>
        <v>#NAME?</v>
      </c>
      <c r="BR6" s="475" t="s">
        <v>631</v>
      </c>
      <c r="BS6" s="475"/>
      <c r="BW6" s="229" t="s">
        <v>634</v>
      </c>
      <c r="BX6" s="229" t="s">
        <v>640</v>
      </c>
    </row>
    <row r="7" spans="1:76">
      <c r="A7" t="s">
        <v>558</v>
      </c>
      <c r="C7" s="192" t="e">
        <f t="shared" ref="C7:G7" ca="1" si="52">D4+(D6-C6)</f>
        <v>#NAME?</v>
      </c>
      <c r="D7" s="192" t="e">
        <f t="shared" ca="1" si="52"/>
        <v>#NAME?</v>
      </c>
      <c r="E7" s="192" t="e">
        <f t="shared" ca="1" si="52"/>
        <v>#NAME?</v>
      </c>
      <c r="F7" s="192" t="e">
        <f t="shared" ca="1" si="52"/>
        <v>#NAME?</v>
      </c>
      <c r="G7" s="192" t="e">
        <f t="shared" ca="1" si="52"/>
        <v>#NAME?</v>
      </c>
      <c r="H7" s="192" t="e">
        <f ca="1">I4+(I6-H6)</f>
        <v>#NAME?</v>
      </c>
      <c r="I7" s="192" t="e">
        <f ca="1">J4+(J6-I6)</f>
        <v>#NAME?</v>
      </c>
      <c r="J7" s="192" t="e">
        <f ca="1">K4+(K6-J6)</f>
        <v>#NAME?</v>
      </c>
      <c r="K7" s="192" t="e">
        <f t="shared" ref="K7:M7" ca="1" si="53">L4+(L6-K6)</f>
        <v>#NAME?</v>
      </c>
      <c r="L7" s="192" t="e">
        <f t="shared" ca="1" si="53"/>
        <v>#NAME?</v>
      </c>
      <c r="M7" s="192" t="e">
        <f t="shared" ca="1" si="53"/>
        <v>#NAME?</v>
      </c>
      <c r="N7" s="192" t="e">
        <f ca="1">P4+(P6-N6)</f>
        <v>#NAME?</v>
      </c>
      <c r="P7" s="192" t="e">
        <f t="shared" ref="P7" ca="1" si="54">Q4+(Q6-P6)</f>
        <v>#NAME?</v>
      </c>
      <c r="Q7" s="192" t="e">
        <f t="shared" ref="Q7" ca="1" si="55">R4+(R6-Q6)</f>
        <v>#NAME?</v>
      </c>
      <c r="R7" s="192" t="e">
        <f t="shared" ref="R7" ca="1" si="56">S4+(S6-R6)</f>
        <v>#NAME?</v>
      </c>
      <c r="S7" s="192" t="e">
        <f t="shared" ref="S7" ca="1" si="57">T4+(T6-S6)</f>
        <v>#NAME?</v>
      </c>
      <c r="T7" s="192" t="e">
        <f t="shared" ref="T7" ca="1" si="58">U4+(U6-T6)</f>
        <v>#NAME?</v>
      </c>
      <c r="U7" s="192" t="e">
        <f t="shared" ref="U7" ca="1" si="59">V4+(V6-U6)</f>
        <v>#NAME?</v>
      </c>
      <c r="V7" s="192" t="e">
        <f t="shared" ref="V7" ca="1" si="60">W4+(W6-V6)</f>
        <v>#NAME?</v>
      </c>
      <c r="W7" s="192" t="e">
        <f t="shared" ref="W7" ca="1" si="61">X4+(X6-W6)</f>
        <v>#NAME?</v>
      </c>
      <c r="X7" s="192" t="e">
        <f t="shared" ref="X7" ca="1" si="62">Y4+(Y6-X6)</f>
        <v>#NAME?</v>
      </c>
      <c r="Y7" s="192" t="e">
        <f t="shared" ref="Y7" ca="1" si="63">Z4+(Z6-Y6)</f>
        <v>#NAME?</v>
      </c>
      <c r="Z7" s="192" t="e">
        <f t="shared" ref="Z7" ca="1" si="64">AA4+(AA6-Z6)</f>
        <v>#NAME?</v>
      </c>
      <c r="AA7" s="192" t="e">
        <f ca="1">AC4+(AC6-AA6)</f>
        <v>#NAME?</v>
      </c>
      <c r="AC7" s="192" t="e">
        <f t="shared" ref="AC7" ca="1" si="65">AD4+(AD6-AC6)</f>
        <v>#NAME?</v>
      </c>
      <c r="AD7" s="192" t="e">
        <f t="shared" ref="AD7" ca="1" si="66">AE4+(AE6-AD6)</f>
        <v>#NAME?</v>
      </c>
      <c r="AE7" s="192" t="e">
        <f t="shared" ref="AE7" ca="1" si="67">AF4+(AF6-AE6)</f>
        <v>#NAME?</v>
      </c>
      <c r="AF7" s="192" t="e">
        <f t="shared" ref="AF7" ca="1" si="68">AG4+(AG6-AF6)</f>
        <v>#NAME?</v>
      </c>
      <c r="AG7" s="192" t="e">
        <f t="shared" ref="AG7" ca="1" si="69">AH4+(AH6-AG6)</f>
        <v>#NAME?</v>
      </c>
      <c r="AH7" s="192" t="e">
        <f t="shared" ref="AH7" ca="1" si="70">AI4+(AI6-AH6)</f>
        <v>#NAME?</v>
      </c>
      <c r="AI7" s="192" t="e">
        <f t="shared" ref="AI7" ca="1" si="71">AJ4+(AJ6-AI6)</f>
        <v>#NAME?</v>
      </c>
      <c r="AJ7" s="192" t="e">
        <f t="shared" ref="AJ7" ca="1" si="72">AK4+(AK6-AJ6)</f>
        <v>#NAME?</v>
      </c>
      <c r="AK7" s="192" t="e">
        <f t="shared" ref="AK7" ca="1" si="73">AL4+(AL6-AK6)</f>
        <v>#NAME?</v>
      </c>
      <c r="AL7" s="192" t="e">
        <f t="shared" ref="AL7" ca="1" si="74">AM4+(AM6-AL6)</f>
        <v>#NAME?</v>
      </c>
      <c r="AM7" s="192" t="e">
        <f t="shared" ref="AM7" ca="1" si="75">AN4+(AN6-AM6)</f>
        <v>#NAME?</v>
      </c>
      <c r="AN7" s="192" t="e">
        <f ca="1">AP4+(AP6-AN6)</f>
        <v>#NAME?</v>
      </c>
      <c r="AP7" s="192" t="e">
        <f t="shared" ref="AP7" ca="1" si="76">AQ4+(AQ6-AP6)</f>
        <v>#NAME?</v>
      </c>
      <c r="AQ7" s="192" t="e">
        <f t="shared" ref="AQ7" ca="1" si="77">AR4+(AR6-AQ6)</f>
        <v>#NAME?</v>
      </c>
      <c r="AR7" s="192" t="e">
        <f t="shared" ref="AR7" ca="1" si="78">AS4+(AS6-AR6)</f>
        <v>#NAME?</v>
      </c>
      <c r="AS7" s="192" t="e">
        <f t="shared" ref="AS7" ca="1" si="79">AT4+(AT6-AS6)</f>
        <v>#NAME?</v>
      </c>
      <c r="AT7" s="192" t="e">
        <f t="shared" ref="AT7" ca="1" si="80">AU4+(AU6-AT6)</f>
        <v>#NAME?</v>
      </c>
      <c r="AU7" s="192" t="e">
        <f t="shared" ref="AU7" ca="1" si="81">AV4+(AV6-AU6)</f>
        <v>#NAME?</v>
      </c>
      <c r="AV7" s="192" t="e">
        <f t="shared" ref="AV7" ca="1" si="82">AW4+(AW6-AV6)</f>
        <v>#NAME?</v>
      </c>
      <c r="AW7" s="192" t="e">
        <f t="shared" ref="AW7" ca="1" si="83">AX4+(AX6-AW6)</f>
        <v>#NAME?</v>
      </c>
      <c r="AX7" s="192" t="e">
        <f t="shared" ref="AX7" ca="1" si="84">AY4+(AY6-AX6)</f>
        <v>#NAME?</v>
      </c>
      <c r="AY7" s="192" t="e">
        <f t="shared" ref="AY7" ca="1" si="85">AZ4+(AZ6-AY6)</f>
        <v>#NAME?</v>
      </c>
      <c r="AZ7" s="192" t="e">
        <f t="shared" ref="AZ7" ca="1" si="86">BA4+(BA6-AZ6)</f>
        <v>#NAME?</v>
      </c>
      <c r="BA7" s="192" t="e">
        <f ca="1">BC4+(BC6-BA6)</f>
        <v>#NAME?</v>
      </c>
      <c r="BC7" s="192" t="e">
        <f t="shared" ref="BC7" ca="1" si="87">BD4+(BD6-BC6)</f>
        <v>#NAME?</v>
      </c>
      <c r="BD7" s="192" t="e">
        <f t="shared" ref="BD7" ca="1" si="88">BE4+(BE6-BD6)</f>
        <v>#NAME?</v>
      </c>
      <c r="BE7" s="192" t="e">
        <f t="shared" ref="BE7" ca="1" si="89">BF4+(BF6-BE6)</f>
        <v>#NAME?</v>
      </c>
      <c r="BF7" s="192" t="e">
        <f t="shared" ref="BF7" ca="1" si="90">BG4+(BG6-BF6)</f>
        <v>#NAME?</v>
      </c>
      <c r="BG7" s="192" t="e">
        <f t="shared" ref="BG7" ca="1" si="91">BH4+(BH6-BG6)</f>
        <v>#NAME?</v>
      </c>
      <c r="BH7" s="192" t="e">
        <f t="shared" ref="BH7" ca="1" si="92">BI4+(BI6-BH6)</f>
        <v>#NAME?</v>
      </c>
      <c r="BI7" s="192" t="e">
        <f t="shared" ref="BI7" ca="1" si="93">BJ4+(BJ6-BI6)</f>
        <v>#NAME?</v>
      </c>
      <c r="BJ7" s="192" t="e">
        <f t="shared" ref="BJ7" ca="1" si="94">BK4+(BK6-BJ6)</f>
        <v>#NAME?</v>
      </c>
      <c r="BK7" s="192" t="e">
        <f t="shared" ref="BK7" ca="1" si="95">BL4+(BL6-BK6)</f>
        <v>#NAME?</v>
      </c>
      <c r="BL7" s="192" t="e">
        <f t="shared" ref="BL7" ca="1" si="96">BM4+(BM6-BL6)</f>
        <v>#NAME?</v>
      </c>
      <c r="BM7" s="192" t="e">
        <f t="shared" ref="BM7" ca="1" si="97">BN4+(BN6-BM6)</f>
        <v>#NAME?</v>
      </c>
      <c r="BN7" s="192"/>
      <c r="BR7" s="223" t="s">
        <v>329</v>
      </c>
      <c r="BS7" s="110">
        <v>200000</v>
      </c>
      <c r="BW7" s="229" t="s">
        <v>633</v>
      </c>
      <c r="BX7" s="484">
        <v>20</v>
      </c>
    </row>
    <row r="8" spans="1:76">
      <c r="A8" t="s">
        <v>705</v>
      </c>
      <c r="C8" s="192" t="e">
        <f t="shared" ref="C8:G8" ca="1" si="98">+C7+C6</f>
        <v>#NAME?</v>
      </c>
      <c r="D8" s="192" t="e">
        <f t="shared" ca="1" si="98"/>
        <v>#NAME?</v>
      </c>
      <c r="E8" s="192" t="e">
        <f t="shared" ca="1" si="98"/>
        <v>#NAME?</v>
      </c>
      <c r="F8" s="192" t="e">
        <f t="shared" ca="1" si="98"/>
        <v>#NAME?</v>
      </c>
      <c r="G8" s="192" t="e">
        <f t="shared" ca="1" si="98"/>
        <v>#NAME?</v>
      </c>
      <c r="H8" s="192" t="e">
        <f ca="1">+H7+H6</f>
        <v>#NAME?</v>
      </c>
      <c r="I8" s="462" t="e">
        <f ca="1">+I7+I6</f>
        <v>#NAME?</v>
      </c>
      <c r="J8" s="192" t="e">
        <f t="shared" ref="J8:M8" ca="1" si="99">+J7+J6</f>
        <v>#NAME?</v>
      </c>
      <c r="K8" s="192" t="e">
        <f t="shared" ca="1" si="99"/>
        <v>#NAME?</v>
      </c>
      <c r="L8" s="192" t="e">
        <f t="shared" ca="1" si="99"/>
        <v>#NAME?</v>
      </c>
      <c r="M8" s="192" t="e">
        <f t="shared" ca="1" si="99"/>
        <v>#NAME?</v>
      </c>
      <c r="N8" s="192" t="e">
        <f ca="1">+N7+N6</f>
        <v>#NAME?</v>
      </c>
      <c r="P8" s="192" t="e">
        <f ca="1">+P7+P6</f>
        <v>#NAME?</v>
      </c>
      <c r="Q8" s="192" t="e">
        <f t="shared" ref="Q8:AA8" ca="1" si="100">+Q7+Q6</f>
        <v>#NAME?</v>
      </c>
      <c r="R8" s="192" t="e">
        <f t="shared" ca="1" si="100"/>
        <v>#NAME?</v>
      </c>
      <c r="S8" s="192" t="e">
        <f t="shared" ca="1" si="100"/>
        <v>#NAME?</v>
      </c>
      <c r="T8" s="192" t="e">
        <f t="shared" ca="1" si="100"/>
        <v>#NAME?</v>
      </c>
      <c r="U8" s="192" t="e">
        <f t="shared" ca="1" si="100"/>
        <v>#NAME?</v>
      </c>
      <c r="V8" s="192" t="e">
        <f t="shared" ca="1" si="100"/>
        <v>#NAME?</v>
      </c>
      <c r="W8" s="192" t="e">
        <f t="shared" ca="1" si="100"/>
        <v>#NAME?</v>
      </c>
      <c r="X8" s="192" t="e">
        <f t="shared" ca="1" si="100"/>
        <v>#NAME?</v>
      </c>
      <c r="Y8" s="192" t="e">
        <f t="shared" ca="1" si="100"/>
        <v>#NAME?</v>
      </c>
      <c r="Z8" s="192" t="e">
        <f t="shared" ca="1" si="100"/>
        <v>#NAME?</v>
      </c>
      <c r="AA8" s="192" t="e">
        <f t="shared" ca="1" si="100"/>
        <v>#NAME?</v>
      </c>
      <c r="AC8" s="192" t="e">
        <f ca="1">+AC7+AC6</f>
        <v>#NAME?</v>
      </c>
      <c r="AD8" s="192" t="e">
        <f t="shared" ref="AD8" ca="1" si="101">+AD7+AD6</f>
        <v>#NAME?</v>
      </c>
      <c r="AE8" s="192" t="e">
        <f t="shared" ref="AE8" ca="1" si="102">+AE7+AE6</f>
        <v>#NAME?</v>
      </c>
      <c r="AF8" s="192" t="e">
        <f t="shared" ref="AF8" ca="1" si="103">+AF7+AF6</f>
        <v>#NAME?</v>
      </c>
      <c r="AG8" s="192" t="e">
        <f t="shared" ref="AG8" ca="1" si="104">+AG7+AG6</f>
        <v>#NAME?</v>
      </c>
      <c r="AH8" s="192" t="e">
        <f t="shared" ref="AH8" ca="1" si="105">+AH7+AH6</f>
        <v>#NAME?</v>
      </c>
      <c r="AI8" s="192" t="e">
        <f t="shared" ref="AI8" ca="1" si="106">+AI7+AI6</f>
        <v>#NAME?</v>
      </c>
      <c r="AJ8" s="192" t="e">
        <f t="shared" ref="AJ8" ca="1" si="107">+AJ7+AJ6</f>
        <v>#NAME?</v>
      </c>
      <c r="AK8" s="192" t="e">
        <f t="shared" ref="AK8" ca="1" si="108">+AK7+AK6</f>
        <v>#NAME?</v>
      </c>
      <c r="AL8" s="192" t="e">
        <f t="shared" ref="AL8" ca="1" si="109">+AL7+AL6</f>
        <v>#NAME?</v>
      </c>
      <c r="AM8" s="192" t="e">
        <f t="shared" ref="AM8" ca="1" si="110">+AM7+AM6</f>
        <v>#NAME?</v>
      </c>
      <c r="AN8" s="192" t="e">
        <f t="shared" ref="AN8" ca="1" si="111">+AN7+AN6</f>
        <v>#NAME?</v>
      </c>
      <c r="AP8" s="192" t="e">
        <f ca="1">+AP7+AP6</f>
        <v>#NAME?</v>
      </c>
      <c r="AQ8" s="192" t="e">
        <f t="shared" ref="AQ8" ca="1" si="112">+AQ7+AQ6</f>
        <v>#NAME?</v>
      </c>
      <c r="AR8" s="192" t="e">
        <f t="shared" ref="AR8" ca="1" si="113">+AR7+AR6</f>
        <v>#NAME?</v>
      </c>
      <c r="AS8" s="192" t="e">
        <f t="shared" ref="AS8" ca="1" si="114">+AS7+AS6</f>
        <v>#NAME?</v>
      </c>
      <c r="AT8" s="192" t="e">
        <f t="shared" ref="AT8" ca="1" si="115">+AT7+AT6</f>
        <v>#NAME?</v>
      </c>
      <c r="AU8" s="192" t="e">
        <f t="shared" ref="AU8" ca="1" si="116">+AU7+AU6</f>
        <v>#NAME?</v>
      </c>
      <c r="AV8" s="192" t="e">
        <f t="shared" ref="AV8" ca="1" si="117">+AV7+AV6</f>
        <v>#NAME?</v>
      </c>
      <c r="AW8" s="192" t="e">
        <f t="shared" ref="AW8" ca="1" si="118">+AW7+AW6</f>
        <v>#NAME?</v>
      </c>
      <c r="AX8" s="192" t="e">
        <f t="shared" ref="AX8" ca="1" si="119">+AX7+AX6</f>
        <v>#NAME?</v>
      </c>
      <c r="AY8" s="192" t="e">
        <f t="shared" ref="AY8" ca="1" si="120">+AY7+AY6</f>
        <v>#NAME?</v>
      </c>
      <c r="AZ8" s="192" t="e">
        <f t="shared" ref="AZ8" ca="1" si="121">+AZ7+AZ6</f>
        <v>#NAME?</v>
      </c>
      <c r="BA8" s="192" t="e">
        <f t="shared" ref="BA8" ca="1" si="122">+BA7+BA6</f>
        <v>#NAME?</v>
      </c>
      <c r="BC8" s="192" t="e">
        <f ca="1">+BC7+BC6</f>
        <v>#NAME?</v>
      </c>
      <c r="BD8" s="192" t="e">
        <f t="shared" ref="BD8" ca="1" si="123">+BD7+BD6</f>
        <v>#NAME?</v>
      </c>
      <c r="BE8" s="192" t="e">
        <f t="shared" ref="BE8" ca="1" si="124">+BE7+BE6</f>
        <v>#NAME?</v>
      </c>
      <c r="BF8" s="192" t="e">
        <f t="shared" ref="BF8" ca="1" si="125">+BF7+BF6</f>
        <v>#NAME?</v>
      </c>
      <c r="BG8" s="192" t="e">
        <f t="shared" ref="BG8" ca="1" si="126">+BG7+BG6</f>
        <v>#NAME?</v>
      </c>
      <c r="BH8" s="192" t="e">
        <f t="shared" ref="BH8" ca="1" si="127">+BH7+BH6</f>
        <v>#NAME?</v>
      </c>
      <c r="BI8" s="192" t="e">
        <f t="shared" ref="BI8" ca="1" si="128">+BI7+BI6</f>
        <v>#NAME?</v>
      </c>
      <c r="BJ8" s="192" t="e">
        <f t="shared" ref="BJ8" ca="1" si="129">+BJ7+BJ6</f>
        <v>#NAME?</v>
      </c>
      <c r="BK8" s="192" t="e">
        <f t="shared" ref="BK8" ca="1" si="130">+BK7+BK6</f>
        <v>#NAME?</v>
      </c>
      <c r="BL8" s="192" t="e">
        <f t="shared" ref="BL8" ca="1" si="131">+BL7+BL6</f>
        <v>#NAME?</v>
      </c>
      <c r="BM8" s="192" t="e">
        <f t="shared" ref="BM8" ca="1" si="132">+BM7+BM6</f>
        <v>#NAME?</v>
      </c>
      <c r="BN8" s="192"/>
      <c r="BR8" s="223"/>
      <c r="BS8" s="110"/>
      <c r="BW8" s="229"/>
      <c r="BX8" s="484"/>
    </row>
    <row r="9" spans="1:76">
      <c r="A9" t="s">
        <v>559</v>
      </c>
      <c r="C9" s="192"/>
      <c r="D9" s="192"/>
      <c r="E9" s="192"/>
      <c r="F9" s="192"/>
      <c r="G9" s="192"/>
      <c r="H9" s="263"/>
      <c r="I9" s="263" t="e">
        <f ca="1">+I7/H7-1</f>
        <v>#NAME?</v>
      </c>
      <c r="J9" s="263" t="e">
        <f t="shared" ref="J9:AA9" ca="1" si="133">+J7/I7-1</f>
        <v>#NAME?</v>
      </c>
      <c r="K9" s="263" t="e">
        <f t="shared" ca="1" si="133"/>
        <v>#NAME?</v>
      </c>
      <c r="L9" s="263" t="e">
        <f t="shared" ca="1" si="133"/>
        <v>#NAME?</v>
      </c>
      <c r="M9" s="263" t="e">
        <f t="shared" ca="1" si="133"/>
        <v>#NAME?</v>
      </c>
      <c r="N9" s="263" t="e">
        <f t="shared" ca="1" si="133"/>
        <v>#NAME?</v>
      </c>
      <c r="P9" s="263" t="e">
        <f ca="1">+P7/N7-1</f>
        <v>#NAME?</v>
      </c>
      <c r="Q9" s="263" t="e">
        <f t="shared" ca="1" si="133"/>
        <v>#NAME?</v>
      </c>
      <c r="R9" s="263" t="e">
        <f t="shared" ca="1" si="133"/>
        <v>#NAME?</v>
      </c>
      <c r="S9" s="263" t="e">
        <f t="shared" ca="1" si="133"/>
        <v>#NAME?</v>
      </c>
      <c r="T9" s="263" t="e">
        <f t="shared" ca="1" si="133"/>
        <v>#NAME?</v>
      </c>
      <c r="U9" s="263" t="e">
        <f t="shared" ca="1" si="133"/>
        <v>#NAME?</v>
      </c>
      <c r="V9" s="263" t="e">
        <f t="shared" ca="1" si="133"/>
        <v>#NAME?</v>
      </c>
      <c r="W9" s="263" t="e">
        <f t="shared" ca="1" si="133"/>
        <v>#NAME?</v>
      </c>
      <c r="X9" s="263" t="e">
        <f t="shared" ca="1" si="133"/>
        <v>#NAME?</v>
      </c>
      <c r="Y9" s="263" t="e">
        <f t="shared" ca="1" si="133"/>
        <v>#NAME?</v>
      </c>
      <c r="Z9" s="263" t="e">
        <f t="shared" ca="1" si="133"/>
        <v>#NAME?</v>
      </c>
      <c r="AA9" s="263" t="e">
        <f t="shared" ca="1" si="133"/>
        <v>#NAME?</v>
      </c>
      <c r="AC9" s="263" t="e">
        <f ca="1">+AC7/AA7-1</f>
        <v>#NAME?</v>
      </c>
      <c r="AD9" s="263" t="e">
        <f t="shared" ref="AD9:AN9" ca="1" si="134">+AD7/AC7-1</f>
        <v>#NAME?</v>
      </c>
      <c r="AE9" s="263" t="e">
        <f t="shared" ca="1" si="134"/>
        <v>#NAME?</v>
      </c>
      <c r="AF9" s="263" t="e">
        <f t="shared" ca="1" si="134"/>
        <v>#NAME?</v>
      </c>
      <c r="AG9" s="263" t="e">
        <f t="shared" ca="1" si="134"/>
        <v>#NAME?</v>
      </c>
      <c r="AH9" s="263" t="e">
        <f t="shared" ca="1" si="134"/>
        <v>#NAME?</v>
      </c>
      <c r="AI9" s="263" t="e">
        <f t="shared" ca="1" si="134"/>
        <v>#NAME?</v>
      </c>
      <c r="AJ9" s="263" t="e">
        <f t="shared" ca="1" si="134"/>
        <v>#NAME?</v>
      </c>
      <c r="AK9" s="263" t="e">
        <f t="shared" ca="1" si="134"/>
        <v>#NAME?</v>
      </c>
      <c r="AL9" s="263" t="e">
        <f t="shared" ca="1" si="134"/>
        <v>#NAME?</v>
      </c>
      <c r="AM9" s="263" t="e">
        <f t="shared" ca="1" si="134"/>
        <v>#NAME?</v>
      </c>
      <c r="AN9" s="263" t="e">
        <f t="shared" ca="1" si="134"/>
        <v>#NAME?</v>
      </c>
      <c r="AP9" s="263" t="e">
        <f ca="1">+AP7/AN7-1</f>
        <v>#NAME?</v>
      </c>
      <c r="AQ9" s="263" t="e">
        <f t="shared" ref="AQ9:BA9" ca="1" si="135">+AQ7/AP7-1</f>
        <v>#NAME?</v>
      </c>
      <c r="AR9" s="263" t="e">
        <f t="shared" ca="1" si="135"/>
        <v>#NAME?</v>
      </c>
      <c r="AS9" s="263" t="e">
        <f t="shared" ca="1" si="135"/>
        <v>#NAME?</v>
      </c>
      <c r="AT9" s="263" t="e">
        <f t="shared" ca="1" si="135"/>
        <v>#NAME?</v>
      </c>
      <c r="AU9" s="263" t="e">
        <f t="shared" ca="1" si="135"/>
        <v>#NAME?</v>
      </c>
      <c r="AV9" s="263" t="e">
        <f t="shared" ca="1" si="135"/>
        <v>#NAME?</v>
      </c>
      <c r="AW9" s="263" t="e">
        <f t="shared" ca="1" si="135"/>
        <v>#NAME?</v>
      </c>
      <c r="AX9" s="263" t="e">
        <f t="shared" ca="1" si="135"/>
        <v>#NAME?</v>
      </c>
      <c r="AY9" s="263" t="e">
        <f t="shared" ca="1" si="135"/>
        <v>#NAME?</v>
      </c>
      <c r="AZ9" s="263" t="e">
        <f t="shared" ca="1" si="135"/>
        <v>#NAME?</v>
      </c>
      <c r="BA9" s="263" t="e">
        <f t="shared" ca="1" si="135"/>
        <v>#NAME?</v>
      </c>
      <c r="BC9" s="263" t="e">
        <f ca="1">+BC7/BA7-1</f>
        <v>#NAME?</v>
      </c>
      <c r="BD9" s="263" t="e">
        <f t="shared" ref="BD9:BM9" ca="1" si="136">+BD7/BC7-1</f>
        <v>#NAME?</v>
      </c>
      <c r="BE9" s="263" t="e">
        <f t="shared" ca="1" si="136"/>
        <v>#NAME?</v>
      </c>
      <c r="BF9" s="263" t="e">
        <f t="shared" ca="1" si="136"/>
        <v>#NAME?</v>
      </c>
      <c r="BG9" s="263" t="e">
        <f t="shared" ca="1" si="136"/>
        <v>#NAME?</v>
      </c>
      <c r="BH9" s="263" t="e">
        <f t="shared" ca="1" si="136"/>
        <v>#NAME?</v>
      </c>
      <c r="BI9" s="263" t="e">
        <f t="shared" ca="1" si="136"/>
        <v>#NAME?</v>
      </c>
      <c r="BJ9" s="263" t="e">
        <f t="shared" ca="1" si="136"/>
        <v>#NAME?</v>
      </c>
      <c r="BK9" s="263" t="e">
        <f t="shared" ca="1" si="136"/>
        <v>#NAME?</v>
      </c>
      <c r="BL9" s="263" t="e">
        <f t="shared" ca="1" si="136"/>
        <v>#NAME?</v>
      </c>
      <c r="BM9" s="263" t="e">
        <f t="shared" ca="1" si="136"/>
        <v>#NAME?</v>
      </c>
      <c r="BN9" s="263"/>
      <c r="BR9" s="223" t="s">
        <v>270</v>
      </c>
      <c r="BS9" s="110">
        <v>1500</v>
      </c>
      <c r="BW9" s="229" t="s">
        <v>635</v>
      </c>
      <c r="BX9" s="484"/>
    </row>
    <row r="10" spans="1:76">
      <c r="A10" t="s">
        <v>562</v>
      </c>
      <c r="C10" s="192"/>
      <c r="D10" s="192"/>
      <c r="E10" s="192"/>
      <c r="F10" s="186"/>
      <c r="G10" s="192"/>
      <c r="H10" s="401" t="e">
        <f ca="1">(H7/2)/('Cost Estimation'!$E$44/1000)*2</f>
        <v>#NAME?</v>
      </c>
      <c r="I10" s="401" t="e">
        <f ca="1">(I7/2)/('Cost Estimation'!$E$44/1000)*2</f>
        <v>#NAME?</v>
      </c>
      <c r="J10" s="401" t="e">
        <f ca="1">(J7/2)/('Cost Estimation'!$E$44/1000)*2</f>
        <v>#NAME?</v>
      </c>
      <c r="K10" s="401" t="e">
        <f ca="1">(K7/2)/('Cost Estimation'!$E$44/1000)*2</f>
        <v>#NAME?</v>
      </c>
      <c r="L10" s="401" t="e">
        <f ca="1">(L7/2)/('Cost Estimation'!$E$44/1000)*2</f>
        <v>#NAME?</v>
      </c>
      <c r="M10" s="401" t="e">
        <f ca="1">(M7/2)/('Cost Estimation'!$E$44/1000)*2</f>
        <v>#NAME?</v>
      </c>
      <c r="N10" s="401" t="e">
        <f ca="1">(N7/2)/('Cost Estimation'!$E$44/1000)*2</f>
        <v>#NAME?</v>
      </c>
      <c r="O10" s="401"/>
      <c r="P10" s="401" t="e">
        <f ca="1">(P7/2)/('Cost Estimation'!$E$44/1000)*2</f>
        <v>#NAME?</v>
      </c>
      <c r="Q10" s="401" t="e">
        <f ca="1">(Q7/2)/('Cost Estimation'!$E$44/1000)*2</f>
        <v>#NAME?</v>
      </c>
      <c r="R10" s="401" t="e">
        <f ca="1">(R7/2)/('Cost Estimation'!$E$44/1000)*2</f>
        <v>#NAME?</v>
      </c>
      <c r="S10" s="401" t="e">
        <f ca="1">(S7/2)/('Cost Estimation'!$E$44/1000)*2</f>
        <v>#NAME?</v>
      </c>
      <c r="T10" s="401" t="e">
        <f ca="1">(T7/2)/('Cost Estimation'!$E$44/1000)*2</f>
        <v>#NAME?</v>
      </c>
      <c r="U10" s="401" t="e">
        <f ca="1">(U7/2)/('Cost Estimation'!$E$44/1000)*2</f>
        <v>#NAME?</v>
      </c>
      <c r="V10" s="401" t="e">
        <f ca="1">(V7/2)/('Cost Estimation'!$E$44/1000)*2</f>
        <v>#NAME?</v>
      </c>
      <c r="W10" s="401" t="e">
        <f ca="1">(W7/2)/('Cost Estimation'!$E$44/1000)*2</f>
        <v>#NAME?</v>
      </c>
      <c r="X10" s="401" t="e">
        <f ca="1">(X7/2)/('Cost Estimation'!$E$44/1000)*2</f>
        <v>#NAME?</v>
      </c>
      <c r="Y10" s="401" t="e">
        <f ca="1">(Y7/2)/('Cost Estimation'!$E$44/1000)*2</f>
        <v>#NAME?</v>
      </c>
      <c r="Z10" s="401" t="e">
        <f ca="1">(Z7/2)/('Cost Estimation'!$E$44/1000)*2</f>
        <v>#NAME?</v>
      </c>
      <c r="AA10" s="401" t="e">
        <f ca="1">(AA7/2)/('Cost Estimation'!$E$44/1000)*2</f>
        <v>#NAME?</v>
      </c>
      <c r="AB10" s="401"/>
      <c r="AC10" s="401" t="e">
        <f ca="1">(AC7/2)/('Cost Estimation'!$E$44/1000)*2</f>
        <v>#NAME?</v>
      </c>
      <c r="AD10" s="401" t="e">
        <f ca="1">(AD7/2)/('Cost Estimation'!$E$44/1000)*2</f>
        <v>#NAME?</v>
      </c>
      <c r="AE10" s="401" t="e">
        <f ca="1">(AE7/2)/('Cost Estimation'!$E$44/1000)*2</f>
        <v>#NAME?</v>
      </c>
      <c r="AF10" s="401" t="e">
        <f ca="1">(AF7/2)/('Cost Estimation'!$E$44/1000)*2</f>
        <v>#NAME?</v>
      </c>
      <c r="AG10" s="401" t="e">
        <f ca="1">(AG7/2)/('Cost Estimation'!$E$44/1000)*2</f>
        <v>#NAME?</v>
      </c>
      <c r="AH10" s="401" t="e">
        <f ca="1">(AH7/2)/('Cost Estimation'!$E$44/1000)*2</f>
        <v>#NAME?</v>
      </c>
      <c r="AI10" s="401" t="e">
        <f ca="1">(AI7/2)/('Cost Estimation'!$E$44/1000)*2</f>
        <v>#NAME?</v>
      </c>
      <c r="AJ10" s="401" t="e">
        <f ca="1">(AJ7/2)/('Cost Estimation'!$E$44/1000)*2</f>
        <v>#NAME?</v>
      </c>
      <c r="AK10" s="401" t="e">
        <f ca="1">(AK7/2)/('Cost Estimation'!$E$44/1000)*2</f>
        <v>#NAME?</v>
      </c>
      <c r="AL10" s="401" t="e">
        <f ca="1">(AL7/2)/('Cost Estimation'!$E$44/1000)*2</f>
        <v>#NAME?</v>
      </c>
      <c r="AM10" s="401" t="e">
        <f ca="1">(AM7/2)/('Cost Estimation'!$E$44/1000)*2</f>
        <v>#NAME?</v>
      </c>
      <c r="AN10" s="401" t="e">
        <f ca="1">(AN7/2)/('Cost Estimation'!$E$44/1000)*2</f>
        <v>#NAME?</v>
      </c>
      <c r="AO10" s="401"/>
      <c r="AP10" s="401" t="e">
        <f ca="1">(AP7/2)/('Cost Estimation'!$E$44/1000)*2</f>
        <v>#NAME?</v>
      </c>
      <c r="AQ10" s="401" t="e">
        <f ca="1">(AQ7/2)/('Cost Estimation'!$E$44/1000)*2</f>
        <v>#NAME?</v>
      </c>
      <c r="AR10" s="401" t="e">
        <f ca="1">(AR7/2)/('Cost Estimation'!$E$44/1000)*2</f>
        <v>#NAME?</v>
      </c>
      <c r="AS10" s="401" t="e">
        <f ca="1">(AS7/2)/('Cost Estimation'!$E$44/1000)*2</f>
        <v>#NAME?</v>
      </c>
      <c r="AT10" s="401" t="e">
        <f ca="1">(AT7/2)/('Cost Estimation'!$E$44/1000)*2</f>
        <v>#NAME?</v>
      </c>
      <c r="AU10" s="401" t="e">
        <f ca="1">(AU7/2)/('Cost Estimation'!$E$44/1000)*2</f>
        <v>#NAME?</v>
      </c>
      <c r="AV10" s="401" t="e">
        <f ca="1">(AV7/2)/('Cost Estimation'!$E$44/1000)*2</f>
        <v>#NAME?</v>
      </c>
      <c r="AW10" s="401" t="e">
        <f ca="1">(AW7/2)/('Cost Estimation'!$E$44/1000)*2</f>
        <v>#NAME?</v>
      </c>
      <c r="AX10" s="401" t="e">
        <f ca="1">(AX7/2)/('Cost Estimation'!$E$44/1000)*2</f>
        <v>#NAME?</v>
      </c>
      <c r="AY10" s="401" t="e">
        <f ca="1">(AY7/2)/('Cost Estimation'!$E$44/1000)*2</f>
        <v>#NAME?</v>
      </c>
      <c r="AZ10" s="401" t="e">
        <f ca="1">(AZ7/2)/('Cost Estimation'!$E$44/1000)*2</f>
        <v>#NAME?</v>
      </c>
      <c r="BA10" s="401" t="e">
        <f ca="1">(BA7/2)/('Cost Estimation'!$E$44/1000)*2</f>
        <v>#NAME?</v>
      </c>
      <c r="BB10" s="401"/>
      <c r="BC10" s="401" t="e">
        <f ca="1">(BC7/2)/('Cost Estimation'!$E$44/1000)*2</f>
        <v>#NAME?</v>
      </c>
      <c r="BD10" s="401" t="e">
        <f ca="1">(BD7/2)/('Cost Estimation'!$E$44/1000)*2</f>
        <v>#NAME?</v>
      </c>
      <c r="BE10" s="401" t="e">
        <f ca="1">(BE7/2)/('Cost Estimation'!$E$44/1000)*2</f>
        <v>#NAME?</v>
      </c>
      <c r="BF10" s="401" t="e">
        <f ca="1">(BF7/2)/('Cost Estimation'!$E$44/1000)*2</f>
        <v>#NAME?</v>
      </c>
      <c r="BG10" s="401" t="e">
        <f ca="1">(BG7/2)/('Cost Estimation'!$E$44/1000)*2</f>
        <v>#NAME?</v>
      </c>
      <c r="BH10" s="401" t="e">
        <f ca="1">(BH7/2)/('Cost Estimation'!$E$44/1000)*2</f>
        <v>#NAME?</v>
      </c>
      <c r="BI10" s="401" t="e">
        <f ca="1">(BI7/2)/('Cost Estimation'!$E$44/1000)*2</f>
        <v>#NAME?</v>
      </c>
      <c r="BJ10" s="401" t="e">
        <f ca="1">(BJ7/2)/('Cost Estimation'!$E$44/1000)*2</f>
        <v>#NAME?</v>
      </c>
      <c r="BK10" s="401" t="e">
        <f ca="1">(BK7/2)/('Cost Estimation'!$E$44/1000)*2</f>
        <v>#NAME?</v>
      </c>
      <c r="BL10" s="401" t="e">
        <f ca="1">(BL7/2)/('Cost Estimation'!$E$44/1000)*2</f>
        <v>#NAME?</v>
      </c>
      <c r="BM10" s="401" t="e">
        <f ca="1">(BM7/2)/('Cost Estimation'!$E$44/1000)*2</f>
        <v>#NAME?</v>
      </c>
      <c r="BN10" s="401"/>
      <c r="BR10" s="223" t="s">
        <v>312</v>
      </c>
      <c r="BS10" s="110">
        <v>24</v>
      </c>
      <c r="BW10" s="229" t="s">
        <v>636</v>
      </c>
      <c r="BX10" s="407">
        <v>1</v>
      </c>
    </row>
    <row r="11" spans="1:76">
      <c r="A11" t="s">
        <v>561</v>
      </c>
      <c r="C11" s="192"/>
      <c r="D11" s="192"/>
      <c r="E11" s="192"/>
      <c r="F11" s="192"/>
      <c r="G11" s="192"/>
      <c r="H11" s="401" t="e">
        <f ca="1">(H7/2)/('Cost Estimation'!$E$45/1000)*10</f>
        <v>#NAME?</v>
      </c>
      <c r="I11" s="401" t="e">
        <f ca="1">(I7/2)/('Cost Estimation'!$E$45/1000)*10</f>
        <v>#NAME?</v>
      </c>
      <c r="J11" s="401" t="e">
        <f ca="1">(J7/2)/('Cost Estimation'!$E$45/1000)*10</f>
        <v>#NAME?</v>
      </c>
      <c r="K11" s="401" t="e">
        <f ca="1">(K7/2)/('Cost Estimation'!$E$45/1000)*10</f>
        <v>#NAME?</v>
      </c>
      <c r="L11" s="401" t="e">
        <f ca="1">(L7/2)/('Cost Estimation'!$E$45/1000)*10</f>
        <v>#NAME?</v>
      </c>
      <c r="M11" s="401" t="e">
        <f ca="1">(M7/2)/('Cost Estimation'!$E$45/1000)*10</f>
        <v>#NAME?</v>
      </c>
      <c r="N11" s="401" t="e">
        <f ca="1">(N7/2)/('Cost Estimation'!$E$45/1000)*10</f>
        <v>#NAME?</v>
      </c>
      <c r="O11" s="401"/>
      <c r="P11" s="401" t="e">
        <f ca="1">(P7/2)/('Cost Estimation'!$E$45/1000)*10</f>
        <v>#NAME?</v>
      </c>
      <c r="Q11" s="401" t="e">
        <f ca="1">(Q7/2)/('Cost Estimation'!$E$45/1000)*10</f>
        <v>#NAME?</v>
      </c>
      <c r="R11" s="401" t="e">
        <f ca="1">(R7/2)/('Cost Estimation'!$E$45/1000)*10</f>
        <v>#NAME?</v>
      </c>
      <c r="S11" s="401" t="e">
        <f ca="1">(S7/2)/('Cost Estimation'!$E$45/1000)*10</f>
        <v>#NAME?</v>
      </c>
      <c r="T11" s="401" t="e">
        <f ca="1">(T7/2)/('Cost Estimation'!$E$45/1000)*10</f>
        <v>#NAME?</v>
      </c>
      <c r="U11" s="401" t="e">
        <f ca="1">(U7/2)/('Cost Estimation'!$E$45/1000)*10</f>
        <v>#NAME?</v>
      </c>
      <c r="V11" s="401" t="e">
        <f ca="1">(V7/2)/('Cost Estimation'!$E$45/1000)*10</f>
        <v>#NAME?</v>
      </c>
      <c r="W11" s="401" t="e">
        <f ca="1">(W7/2)/('Cost Estimation'!$E$45/1000)*10</f>
        <v>#NAME?</v>
      </c>
      <c r="X11" s="401" t="e">
        <f ca="1">(X7/2)/('Cost Estimation'!$E$45/1000)*10</f>
        <v>#NAME?</v>
      </c>
      <c r="Y11" s="401" t="e">
        <f ca="1">(Y7/2)/('Cost Estimation'!$E$45/1000)*10</f>
        <v>#NAME?</v>
      </c>
      <c r="Z11" s="401" t="e">
        <f ca="1">(Z7/2)/('Cost Estimation'!$E$45/1000)*10</f>
        <v>#NAME?</v>
      </c>
      <c r="AA11" s="401" t="e">
        <f ca="1">(AA7/2)/('Cost Estimation'!$E$45/1000)*10</f>
        <v>#NAME?</v>
      </c>
      <c r="AB11" s="401"/>
      <c r="AC11" s="401" t="e">
        <f ca="1">(AC7/2)/('Cost Estimation'!$E$45/1000)*10</f>
        <v>#NAME?</v>
      </c>
      <c r="AD11" s="401" t="e">
        <f ca="1">(AD7/2)/('Cost Estimation'!$E$45/1000)*10</f>
        <v>#NAME?</v>
      </c>
      <c r="AE11" s="401" t="e">
        <f ca="1">(AE7/2)/('Cost Estimation'!$E$45/1000)*10</f>
        <v>#NAME?</v>
      </c>
      <c r="AF11" s="401" t="e">
        <f ca="1">(AF7/2)/('Cost Estimation'!$E$45/1000)*10</f>
        <v>#NAME?</v>
      </c>
      <c r="AG11" s="401" t="e">
        <f ca="1">(AG7/2)/('Cost Estimation'!$E$45/1000)*10</f>
        <v>#NAME?</v>
      </c>
      <c r="AH11" s="401" t="e">
        <f ca="1">(AH7/2)/('Cost Estimation'!$E$45/1000)*10</f>
        <v>#NAME?</v>
      </c>
      <c r="AI11" s="401" t="e">
        <f ca="1">(AI7/2)/('Cost Estimation'!$E$45/1000)*10</f>
        <v>#NAME?</v>
      </c>
      <c r="AJ11" s="401" t="e">
        <f ca="1">(AJ7/2)/('Cost Estimation'!$E$45/1000)*10</f>
        <v>#NAME?</v>
      </c>
      <c r="AK11" s="401" t="e">
        <f ca="1">(AK7/2)/('Cost Estimation'!$E$45/1000)*10</f>
        <v>#NAME?</v>
      </c>
      <c r="AL11" s="401" t="e">
        <f ca="1">(AL7/2)/('Cost Estimation'!$E$45/1000)*10</f>
        <v>#NAME?</v>
      </c>
      <c r="AM11" s="401" t="e">
        <f ca="1">(AM7/2)/('Cost Estimation'!$E$45/1000)*10</f>
        <v>#NAME?</v>
      </c>
      <c r="AN11" s="401" t="e">
        <f ca="1">(AN7/2)/('Cost Estimation'!$E$45/1000)*10</f>
        <v>#NAME?</v>
      </c>
      <c r="AO11" s="401"/>
      <c r="AP11" s="401" t="e">
        <f ca="1">(AP7/2)/('Cost Estimation'!$E$45/1000)*10</f>
        <v>#NAME?</v>
      </c>
      <c r="AQ11" s="401" t="e">
        <f ca="1">(AQ7/2)/('Cost Estimation'!$E$45/1000)*10</f>
        <v>#NAME?</v>
      </c>
      <c r="AR11" s="401" t="e">
        <f ca="1">(AR7/2)/('Cost Estimation'!$E$45/1000)*10</f>
        <v>#NAME?</v>
      </c>
      <c r="AS11" s="401" t="e">
        <f ca="1">(AS7/2)/('Cost Estimation'!$E$45/1000)*10</f>
        <v>#NAME?</v>
      </c>
      <c r="AT11" s="401" t="e">
        <f ca="1">(AT7/2)/('Cost Estimation'!$E$45/1000)*10</f>
        <v>#NAME?</v>
      </c>
      <c r="AU11" s="401" t="e">
        <f ca="1">(AU7/2)/('Cost Estimation'!$E$45/1000)*10</f>
        <v>#NAME?</v>
      </c>
      <c r="AV11" s="401" t="e">
        <f ca="1">(AV7/2)/('Cost Estimation'!$E$45/1000)*10</f>
        <v>#NAME?</v>
      </c>
      <c r="AW11" s="401" t="e">
        <f ca="1">(AW7/2)/('Cost Estimation'!$E$45/1000)*10</f>
        <v>#NAME?</v>
      </c>
      <c r="AX11" s="401" t="e">
        <f ca="1">(AX7/2)/('Cost Estimation'!$E$45/1000)*10</f>
        <v>#NAME?</v>
      </c>
      <c r="AY11" s="401" t="e">
        <f ca="1">(AY7/2)/('Cost Estimation'!$E$45/1000)*10</f>
        <v>#NAME?</v>
      </c>
      <c r="AZ11" s="401" t="e">
        <f ca="1">(AZ7/2)/('Cost Estimation'!$E$45/1000)*10</f>
        <v>#NAME?</v>
      </c>
      <c r="BA11" s="401" t="e">
        <f ca="1">(BA7/2)/('Cost Estimation'!$E$45/1000)*10</f>
        <v>#NAME?</v>
      </c>
      <c r="BB11" s="401"/>
      <c r="BC11" s="401" t="e">
        <f ca="1">(BC7/2)/('Cost Estimation'!$E$45/1000)*10</f>
        <v>#NAME?</v>
      </c>
      <c r="BD11" s="401" t="e">
        <f ca="1">(BD7/2)/('Cost Estimation'!$E$45/1000)*10</f>
        <v>#NAME?</v>
      </c>
      <c r="BE11" s="401" t="e">
        <f ca="1">(BE7/2)/('Cost Estimation'!$E$45/1000)*10</f>
        <v>#NAME?</v>
      </c>
      <c r="BF11" s="401" t="e">
        <f ca="1">(BF7/2)/('Cost Estimation'!$E$45/1000)*10</f>
        <v>#NAME?</v>
      </c>
      <c r="BG11" s="401" t="e">
        <f ca="1">(BG7/2)/('Cost Estimation'!$E$45/1000)*10</f>
        <v>#NAME?</v>
      </c>
      <c r="BH11" s="401" t="e">
        <f ca="1">(BH7/2)/('Cost Estimation'!$E$45/1000)*10</f>
        <v>#NAME?</v>
      </c>
      <c r="BI11" s="401" t="e">
        <f ca="1">(BI7/2)/('Cost Estimation'!$E$45/1000)*10</f>
        <v>#NAME?</v>
      </c>
      <c r="BJ11" s="401" t="e">
        <f ca="1">(BJ7/2)/('Cost Estimation'!$E$45/1000)*10</f>
        <v>#NAME?</v>
      </c>
      <c r="BK11" s="401" t="e">
        <f ca="1">(BK7/2)/('Cost Estimation'!$E$45/1000)*10</f>
        <v>#NAME?</v>
      </c>
      <c r="BL11" s="401" t="e">
        <f ca="1">(BL7/2)/('Cost Estimation'!$E$45/1000)*10</f>
        <v>#NAME?</v>
      </c>
      <c r="BM11" s="401" t="e">
        <f ca="1">(BM7/2)/('Cost Estimation'!$E$45/1000)*10</f>
        <v>#NAME?</v>
      </c>
      <c r="BN11" s="263"/>
      <c r="BR11" s="223" t="s">
        <v>218</v>
      </c>
      <c r="BS11" s="110">
        <f>BS9/BS10</f>
        <v>62.5</v>
      </c>
      <c r="BW11" s="229" t="s">
        <v>637</v>
      </c>
      <c r="BX11" s="407">
        <v>5</v>
      </c>
    </row>
    <row r="12" spans="1:76">
      <c r="A12" t="s">
        <v>703</v>
      </c>
      <c r="C12" s="192">
        <v>50</v>
      </c>
      <c r="D12" s="192">
        <v>50</v>
      </c>
      <c r="E12" s="192">
        <v>50</v>
      </c>
      <c r="F12" s="192">
        <v>50</v>
      </c>
      <c r="G12" s="192">
        <v>50</v>
      </c>
      <c r="H12" s="192">
        <v>50</v>
      </c>
      <c r="I12" s="192">
        <v>50</v>
      </c>
      <c r="J12" s="192">
        <v>50</v>
      </c>
      <c r="K12" s="192">
        <v>50</v>
      </c>
      <c r="L12" s="192">
        <v>50</v>
      </c>
      <c r="M12" s="192">
        <v>50</v>
      </c>
      <c r="N12" s="192">
        <v>750</v>
      </c>
      <c r="P12" s="400">
        <v>750</v>
      </c>
      <c r="Q12" s="400">
        <v>750</v>
      </c>
      <c r="R12" s="400">
        <v>750</v>
      </c>
      <c r="S12" s="400">
        <v>750</v>
      </c>
      <c r="T12" s="400">
        <v>750</v>
      </c>
      <c r="U12" s="400">
        <v>1500</v>
      </c>
      <c r="V12" s="400">
        <v>1500</v>
      </c>
      <c r="W12" s="400">
        <v>1500</v>
      </c>
      <c r="X12" s="400">
        <v>1500</v>
      </c>
      <c r="Y12" s="400">
        <v>1500</v>
      </c>
      <c r="Z12" s="400">
        <v>1500</v>
      </c>
      <c r="AA12" s="400">
        <v>1500</v>
      </c>
      <c r="AB12" s="400"/>
      <c r="AC12" s="400">
        <v>1500</v>
      </c>
      <c r="AD12" s="400">
        <v>1500</v>
      </c>
      <c r="AE12" s="400">
        <v>1500</v>
      </c>
      <c r="AF12" s="400">
        <v>1500</v>
      </c>
      <c r="AG12" s="400">
        <v>1500</v>
      </c>
      <c r="AH12" s="400">
        <v>1500</v>
      </c>
      <c r="AI12" s="400">
        <v>1500</v>
      </c>
      <c r="AJ12" s="400">
        <v>1500</v>
      </c>
      <c r="AK12" s="400">
        <v>1500</v>
      </c>
      <c r="AL12" s="400">
        <v>1500</v>
      </c>
      <c r="AM12" s="400">
        <v>1500</v>
      </c>
      <c r="AN12" s="400">
        <v>1500</v>
      </c>
      <c r="AO12" s="400"/>
      <c r="AP12" s="400">
        <v>1500</v>
      </c>
      <c r="AQ12" s="400">
        <v>1500</v>
      </c>
      <c r="AR12" s="400">
        <v>1500</v>
      </c>
      <c r="AS12" s="400">
        <v>1500</v>
      </c>
      <c r="AT12" s="400">
        <v>1500</v>
      </c>
      <c r="AU12" s="400">
        <v>2250</v>
      </c>
      <c r="AV12" s="400">
        <v>2250</v>
      </c>
      <c r="AW12" s="400">
        <v>2250</v>
      </c>
      <c r="AX12" s="400">
        <v>2250</v>
      </c>
      <c r="AY12" s="400">
        <v>2250</v>
      </c>
      <c r="AZ12" s="400">
        <v>2250</v>
      </c>
      <c r="BA12" s="400">
        <v>2250</v>
      </c>
      <c r="BB12" s="400"/>
      <c r="BC12" s="400">
        <v>2250</v>
      </c>
      <c r="BD12" s="400">
        <v>2250</v>
      </c>
      <c r="BE12" s="400">
        <v>2250</v>
      </c>
      <c r="BF12" s="400">
        <v>2250</v>
      </c>
      <c r="BG12" s="400">
        <v>2250</v>
      </c>
      <c r="BH12" s="400">
        <v>2250</v>
      </c>
      <c r="BI12" s="400">
        <v>2250</v>
      </c>
      <c r="BJ12" s="400">
        <v>2250</v>
      </c>
      <c r="BK12" s="400">
        <v>2250</v>
      </c>
      <c r="BL12" s="400">
        <v>2250</v>
      </c>
      <c r="BM12" s="400">
        <v>2250</v>
      </c>
      <c r="BN12" s="400"/>
      <c r="BO12" s="400"/>
      <c r="BR12" s="223" t="s">
        <v>313</v>
      </c>
      <c r="BS12" s="110">
        <v>60</v>
      </c>
      <c r="BW12" s="229" t="s">
        <v>638</v>
      </c>
      <c r="BX12" s="407">
        <f>SUM(BX7:BX11)</f>
        <v>26</v>
      </c>
    </row>
    <row r="13" spans="1:76" ht="16.5" thickBot="1">
      <c r="A13" t="s">
        <v>575</v>
      </c>
      <c r="C13" s="263" t="e">
        <f t="shared" ref="C13:G13" ca="1" si="137">C7/C12</f>
        <v>#NAME?</v>
      </c>
      <c r="D13" s="263" t="e">
        <f t="shared" ca="1" si="137"/>
        <v>#NAME?</v>
      </c>
      <c r="E13" s="263" t="e">
        <f t="shared" ca="1" si="137"/>
        <v>#NAME?</v>
      </c>
      <c r="F13" s="263" t="e">
        <f t="shared" ca="1" si="137"/>
        <v>#NAME?</v>
      </c>
      <c r="G13" s="263" t="e">
        <f t="shared" ca="1" si="137"/>
        <v>#NAME?</v>
      </c>
      <c r="H13" s="263" t="e">
        <f ca="1">H7/H12</f>
        <v>#NAME?</v>
      </c>
      <c r="I13" s="263" t="e">
        <f ca="1">I7/I12</f>
        <v>#NAME?</v>
      </c>
      <c r="J13" s="263" t="e">
        <f t="shared" ref="J13:P13" ca="1" si="138">J7/J12</f>
        <v>#NAME?</v>
      </c>
      <c r="K13" s="263" t="e">
        <f t="shared" ca="1" si="138"/>
        <v>#NAME?</v>
      </c>
      <c r="L13" s="263" t="e">
        <f t="shared" ca="1" si="138"/>
        <v>#NAME?</v>
      </c>
      <c r="M13" s="263" t="e">
        <f t="shared" ca="1" si="138"/>
        <v>#NAME?</v>
      </c>
      <c r="N13" s="263" t="e">
        <f t="shared" ca="1" si="138"/>
        <v>#NAME?</v>
      </c>
      <c r="P13" s="263" t="e">
        <f t="shared" ca="1" si="138"/>
        <v>#NAME?</v>
      </c>
      <c r="Q13" s="263" t="e">
        <f t="shared" ref="Q13" ca="1" si="139">Q7/Q12</f>
        <v>#NAME?</v>
      </c>
      <c r="R13" s="263" t="e">
        <f t="shared" ref="R13" ca="1" si="140">R7/R12</f>
        <v>#NAME?</v>
      </c>
      <c r="S13" s="263" t="e">
        <f t="shared" ref="S13" ca="1" si="141">S7/S12</f>
        <v>#NAME?</v>
      </c>
      <c r="T13" s="263" t="e">
        <f t="shared" ref="T13" ca="1" si="142">T7/T12</f>
        <v>#NAME?</v>
      </c>
      <c r="U13" s="263" t="e">
        <f t="shared" ref="U13" ca="1" si="143">U7/U12</f>
        <v>#NAME?</v>
      </c>
      <c r="V13" s="263" t="e">
        <f t="shared" ref="V13" ca="1" si="144">V7/V12</f>
        <v>#NAME?</v>
      </c>
      <c r="W13" s="263" t="e">
        <f t="shared" ref="W13" ca="1" si="145">W7/W12</f>
        <v>#NAME?</v>
      </c>
      <c r="X13" s="263" t="e">
        <f t="shared" ref="X13" ca="1" si="146">X7/X12</f>
        <v>#NAME?</v>
      </c>
      <c r="Y13" s="263" t="e">
        <f t="shared" ref="Y13" ca="1" si="147">Y7/Y12</f>
        <v>#NAME?</v>
      </c>
      <c r="Z13" s="263" t="e">
        <f t="shared" ref="Z13" ca="1" si="148">Z7/Z12</f>
        <v>#NAME?</v>
      </c>
      <c r="AA13" s="263" t="e">
        <f t="shared" ref="AA13" ca="1" si="149">AA7/AA12</f>
        <v>#NAME?</v>
      </c>
      <c r="AC13" s="263" t="e">
        <f t="shared" ref="AC13" ca="1" si="150">AC7/AC12</f>
        <v>#NAME?</v>
      </c>
      <c r="AD13" s="263" t="e">
        <f t="shared" ref="AD13" ca="1" si="151">AD7/AD12</f>
        <v>#NAME?</v>
      </c>
      <c r="AE13" s="263" t="e">
        <f t="shared" ref="AE13" ca="1" si="152">AE7/AE12</f>
        <v>#NAME?</v>
      </c>
      <c r="AF13" s="263" t="e">
        <f t="shared" ref="AF13" ca="1" si="153">AF7/AF12</f>
        <v>#NAME?</v>
      </c>
      <c r="AG13" s="263" t="e">
        <f t="shared" ref="AG13" ca="1" si="154">AG7/AG12</f>
        <v>#NAME?</v>
      </c>
      <c r="AH13" s="263" t="e">
        <f t="shared" ref="AH13" ca="1" si="155">AH7/AH12</f>
        <v>#NAME?</v>
      </c>
      <c r="AI13" s="263" t="e">
        <f t="shared" ref="AI13" ca="1" si="156">AI7/AI12</f>
        <v>#NAME?</v>
      </c>
      <c r="AJ13" s="263" t="e">
        <f t="shared" ref="AJ13" ca="1" si="157">AJ7/AJ12</f>
        <v>#NAME?</v>
      </c>
      <c r="AK13" s="263" t="e">
        <f t="shared" ref="AK13" ca="1" si="158">AK7/AK12</f>
        <v>#NAME?</v>
      </c>
      <c r="AL13" s="263" t="e">
        <f t="shared" ref="AL13" ca="1" si="159">AL7/AL12</f>
        <v>#NAME?</v>
      </c>
      <c r="AM13" s="263" t="e">
        <f t="shared" ref="AM13" ca="1" si="160">AM7/AM12</f>
        <v>#NAME?</v>
      </c>
      <c r="AN13" s="263" t="e">
        <f t="shared" ref="AN13" ca="1" si="161">AN7/AN12</f>
        <v>#NAME?</v>
      </c>
      <c r="AP13" s="263" t="e">
        <f t="shared" ref="AP13" ca="1" si="162">AP7/AP12</f>
        <v>#NAME?</v>
      </c>
      <c r="AQ13" s="263" t="e">
        <f t="shared" ref="AQ13" ca="1" si="163">AQ7/AQ12</f>
        <v>#NAME?</v>
      </c>
      <c r="AR13" s="263" t="e">
        <f t="shared" ref="AR13" ca="1" si="164">AR7/AR12</f>
        <v>#NAME?</v>
      </c>
      <c r="AS13" s="263" t="e">
        <f t="shared" ref="AS13" ca="1" si="165">AS7/AS12</f>
        <v>#NAME?</v>
      </c>
      <c r="AT13" s="263" t="e">
        <f t="shared" ref="AT13" ca="1" si="166">AT7/AT12</f>
        <v>#NAME?</v>
      </c>
      <c r="AU13" s="263" t="e">
        <f t="shared" ref="AU13" ca="1" si="167">AU7/AU12</f>
        <v>#NAME?</v>
      </c>
      <c r="AV13" s="263" t="e">
        <f t="shared" ref="AV13" ca="1" si="168">AV7/AV12</f>
        <v>#NAME?</v>
      </c>
      <c r="AW13" s="263" t="e">
        <f t="shared" ref="AW13" ca="1" si="169">AW7/AW12</f>
        <v>#NAME?</v>
      </c>
      <c r="AX13" s="263" t="e">
        <f t="shared" ref="AX13" ca="1" si="170">AX7/AX12</f>
        <v>#NAME?</v>
      </c>
      <c r="AY13" s="263" t="e">
        <f t="shared" ref="AY13" ca="1" si="171">AY7/AY12</f>
        <v>#NAME?</v>
      </c>
      <c r="AZ13" s="263" t="e">
        <f t="shared" ref="AZ13" ca="1" si="172">AZ7/AZ12</f>
        <v>#NAME?</v>
      </c>
      <c r="BA13" s="263" t="e">
        <f t="shared" ref="BA13" ca="1" si="173">BA7/BA12</f>
        <v>#NAME?</v>
      </c>
      <c r="BC13" s="263" t="e">
        <f t="shared" ref="BC13" ca="1" si="174">BC7/BC12</f>
        <v>#NAME?</v>
      </c>
      <c r="BD13" s="263" t="e">
        <f t="shared" ref="BD13" ca="1" si="175">BD7/BD12</f>
        <v>#NAME?</v>
      </c>
      <c r="BE13" s="263" t="e">
        <f t="shared" ref="BE13" ca="1" si="176">BE7/BE12</f>
        <v>#NAME?</v>
      </c>
      <c r="BF13" s="263" t="e">
        <f t="shared" ref="BF13" ca="1" si="177">BF7/BF12</f>
        <v>#NAME?</v>
      </c>
      <c r="BG13" s="263" t="e">
        <f t="shared" ref="BG13" ca="1" si="178">BG7/BG12</f>
        <v>#NAME?</v>
      </c>
      <c r="BH13" s="263" t="e">
        <f t="shared" ref="BH13" ca="1" si="179">BH7/BH12</f>
        <v>#NAME?</v>
      </c>
      <c r="BI13" s="263" t="e">
        <f t="shared" ref="BI13" ca="1" si="180">BI7/BI12</f>
        <v>#NAME?</v>
      </c>
      <c r="BJ13" s="263" t="e">
        <f t="shared" ref="BJ13" ca="1" si="181">BJ7/BJ12</f>
        <v>#NAME?</v>
      </c>
      <c r="BK13" s="263" t="e">
        <f t="shared" ref="BK13" ca="1" si="182">BK7/BK12</f>
        <v>#NAME?</v>
      </c>
      <c r="BL13" s="263" t="e">
        <f t="shared" ref="BL13" ca="1" si="183">BL7/BL12</f>
        <v>#NAME?</v>
      </c>
      <c r="BM13" s="263" t="e">
        <f t="shared" ref="BM13" ca="1" si="184">BM7/BM12</f>
        <v>#NAME?</v>
      </c>
      <c r="BN13" s="263"/>
      <c r="BR13" s="223" t="s">
        <v>219</v>
      </c>
      <c r="BS13" s="110">
        <v>8</v>
      </c>
      <c r="BW13" s="229" t="s">
        <v>639</v>
      </c>
      <c r="BX13" s="407">
        <v>30</v>
      </c>
    </row>
    <row r="14" spans="1:76">
      <c r="A14" t="s">
        <v>706</v>
      </c>
      <c r="C14" s="365">
        <v>0</v>
      </c>
      <c r="D14" s="346">
        <v>0</v>
      </c>
      <c r="E14" s="346">
        <v>0</v>
      </c>
      <c r="F14" s="346">
        <v>0</v>
      </c>
      <c r="G14" s="346">
        <v>0</v>
      </c>
      <c r="H14" s="346">
        <v>0</v>
      </c>
      <c r="I14" s="345">
        <v>3.5279419181212432</v>
      </c>
      <c r="J14" s="345">
        <v>5.6447070689939896</v>
      </c>
      <c r="K14" s="345">
        <v>9.8782373707394822</v>
      </c>
      <c r="L14" s="345">
        <v>13.406179288860724</v>
      </c>
      <c r="M14" s="345">
        <v>16.228532823357721</v>
      </c>
      <c r="N14" s="345">
        <v>21.873239892351709</v>
      </c>
      <c r="O14" s="384">
        <v>70.558838362424865</v>
      </c>
      <c r="P14" s="346">
        <v>519.00067666741859</v>
      </c>
      <c r="Q14" s="346">
        <v>564.00068666742925</v>
      </c>
      <c r="R14" s="346">
        <v>770.40085600095142</v>
      </c>
      <c r="S14" s="346">
        <v>675.00078000086694</v>
      </c>
      <c r="T14" s="346">
        <v>679.50007800008677</v>
      </c>
      <c r="U14" s="346">
        <v>684.00078000086705</v>
      </c>
      <c r="V14" s="346">
        <v>744.00084666760768</v>
      </c>
      <c r="W14" s="346">
        <v>762.00084666760745</v>
      </c>
      <c r="X14" s="346">
        <v>997.20110800123098</v>
      </c>
      <c r="Y14" s="346">
        <v>848.69999999999993</v>
      </c>
      <c r="Z14" s="346">
        <v>854.00094888994317</v>
      </c>
      <c r="AA14" s="346">
        <v>902.00100222333583</v>
      </c>
      <c r="AB14" s="384">
        <v>9000</v>
      </c>
      <c r="AC14" s="346">
        <v>905.18399999999974</v>
      </c>
      <c r="AD14" s="346">
        <v>909.2249999999998</v>
      </c>
      <c r="AE14" s="346">
        <v>1233.5999999999997</v>
      </c>
      <c r="AF14" s="346">
        <v>1018.7877858419835</v>
      </c>
      <c r="AG14" s="346">
        <v>1064.1299999999997</v>
      </c>
      <c r="AH14" s="346">
        <v>1116.6629999999998</v>
      </c>
      <c r="AI14" s="346">
        <v>1145</v>
      </c>
      <c r="AJ14" s="346">
        <v>1153</v>
      </c>
      <c r="AK14" s="346">
        <v>1438.8000000000006</v>
      </c>
      <c r="AL14" s="346">
        <v>1126.0599999999995</v>
      </c>
      <c r="AM14" s="346">
        <v>1153</v>
      </c>
      <c r="AN14" s="346">
        <v>1206.9948333275922</v>
      </c>
      <c r="AO14" s="384">
        <v>13469.999999999996</v>
      </c>
      <c r="AP14" s="346">
        <v>1213.2</v>
      </c>
      <c r="AQ14" s="346">
        <v>1218.0013733348585</v>
      </c>
      <c r="AR14" s="346">
        <v>1540.8017120019028</v>
      </c>
      <c r="AS14" s="346">
        <v>1224</v>
      </c>
      <c r="AT14" s="346">
        <v>1278.0015600017339</v>
      </c>
      <c r="AU14" s="346">
        <v>1296.0015600017339</v>
      </c>
      <c r="AV14" s="346">
        <v>1524.0016933352149</v>
      </c>
      <c r="AW14" s="346">
        <v>1547.9999999999998</v>
      </c>
      <c r="AX14" s="346">
        <v>1994.402216002462</v>
      </c>
      <c r="AY14" s="346">
        <v>1636.1999999999998</v>
      </c>
      <c r="AZ14" s="346">
        <v>1724.001915557684</v>
      </c>
      <c r="BA14" s="346">
        <v>1804.0020044466717</v>
      </c>
      <c r="BB14" s="384">
        <v>18000</v>
      </c>
      <c r="BC14" s="346">
        <v>1806.5000000000002</v>
      </c>
      <c r="BD14" s="346">
        <v>1814.8219499999993</v>
      </c>
      <c r="BE14" s="346">
        <v>1997.0276695920452</v>
      </c>
      <c r="BF14" s="346">
        <v>1826.9999999999998</v>
      </c>
      <c r="BG14" s="346">
        <v>1828.7656791595764</v>
      </c>
      <c r="BH14" s="346">
        <v>1848.4901254997528</v>
      </c>
      <c r="BI14" s="346">
        <v>1852.8750000000002</v>
      </c>
      <c r="BJ14" s="346">
        <v>1860.75</v>
      </c>
      <c r="BK14" s="346">
        <v>2027.5140603161387</v>
      </c>
      <c r="BL14" s="346">
        <v>1867.5</v>
      </c>
      <c r="BM14" s="346">
        <v>1878.75</v>
      </c>
      <c r="BN14" s="346">
        <v>1889.4442590036001</v>
      </c>
      <c r="BO14" s="384">
        <v>22500</v>
      </c>
      <c r="BR14" s="223"/>
      <c r="BS14" s="110"/>
      <c r="BW14" s="456"/>
      <c r="BX14" s="8"/>
    </row>
    <row r="15" spans="1:76">
      <c r="A15" t="s">
        <v>707</v>
      </c>
      <c r="C15" s="263"/>
      <c r="D15" s="263"/>
      <c r="E15" s="263"/>
      <c r="F15" s="263"/>
      <c r="G15" s="263"/>
      <c r="H15" s="263"/>
      <c r="I15" s="457">
        <f>I14*0.25</f>
        <v>0.88198547953031081</v>
      </c>
      <c r="J15" s="457">
        <f t="shared" ref="J15:N15" si="185">J14*0.25</f>
        <v>1.4111767672484974</v>
      </c>
      <c r="K15" s="457">
        <f t="shared" si="185"/>
        <v>2.4695593426848705</v>
      </c>
      <c r="L15" s="457">
        <f t="shared" si="185"/>
        <v>3.3515448222151809</v>
      </c>
      <c r="M15" s="457">
        <f t="shared" si="185"/>
        <v>4.0571332058394303</v>
      </c>
      <c r="N15" s="457">
        <f t="shared" si="185"/>
        <v>5.4683099730879272</v>
      </c>
      <c r="O15" s="457"/>
      <c r="P15" s="457">
        <f t="shared" ref="P15" si="186">P14*0.25</f>
        <v>129.75016916685465</v>
      </c>
      <c r="Q15" s="457">
        <f t="shared" ref="Q15" si="187">Q14*0.25</f>
        <v>141.00017166685731</v>
      </c>
      <c r="R15" s="457">
        <f t="shared" ref="R15" si="188">R14*0.25</f>
        <v>192.60021400023786</v>
      </c>
      <c r="S15" s="457">
        <f t="shared" ref="S15" si="189">S14*0.25</f>
        <v>168.75019500021673</v>
      </c>
      <c r="T15" s="457">
        <f t="shared" ref="T15" si="190">T14*0.25</f>
        <v>169.87501950002169</v>
      </c>
      <c r="U15" s="457">
        <f t="shared" ref="U15" si="191">U14*0.25</f>
        <v>171.00019500021676</v>
      </c>
      <c r="V15" s="457">
        <f t="shared" ref="V15" si="192">V14*0.25</f>
        <v>186.00021166690192</v>
      </c>
      <c r="W15" s="457">
        <f t="shared" ref="W15" si="193">W14*0.25</f>
        <v>190.50021166690186</v>
      </c>
      <c r="X15" s="457">
        <f t="shared" ref="X15" si="194">X14*0.25</f>
        <v>249.30027700030774</v>
      </c>
      <c r="Y15" s="457">
        <f t="shared" ref="Y15" si="195">Y14*0.25</f>
        <v>212.17499999999998</v>
      </c>
      <c r="Z15" s="457">
        <f t="shared" ref="Z15" si="196">Z14*0.25</f>
        <v>213.50023722248579</v>
      </c>
      <c r="AA15" s="457">
        <f t="shared" ref="AA15" si="197">AA14*0.25</f>
        <v>225.50025055583396</v>
      </c>
      <c r="AB15" s="457"/>
      <c r="AC15" s="457">
        <f t="shared" ref="AC15" si="198">AC14*0.25</f>
        <v>226.29599999999994</v>
      </c>
      <c r="AD15" s="457">
        <f t="shared" ref="AD15" si="199">AD14*0.25</f>
        <v>227.30624999999995</v>
      </c>
      <c r="AE15" s="457">
        <f t="shared" ref="AE15" si="200">AE14*0.25</f>
        <v>308.39999999999992</v>
      </c>
      <c r="AF15" s="457">
        <f t="shared" ref="AF15" si="201">AF14*0.25</f>
        <v>254.69694646049587</v>
      </c>
      <c r="AG15" s="457">
        <f t="shared" ref="AG15" si="202">AG14*0.25</f>
        <v>266.03249999999991</v>
      </c>
      <c r="AH15" s="457">
        <f t="shared" ref="AH15" si="203">AH14*0.25</f>
        <v>279.16574999999995</v>
      </c>
      <c r="AI15" s="457">
        <f t="shared" ref="AI15" si="204">AI14*0.25</f>
        <v>286.25</v>
      </c>
      <c r="AJ15" s="457">
        <f t="shared" ref="AJ15" si="205">AJ14*0.25</f>
        <v>288.25</v>
      </c>
      <c r="AK15" s="457">
        <f t="shared" ref="AK15" si="206">AK14*0.25</f>
        <v>359.70000000000016</v>
      </c>
      <c r="AL15" s="457">
        <f t="shared" ref="AL15" si="207">AL14*0.25</f>
        <v>281.51499999999987</v>
      </c>
      <c r="AM15" s="457">
        <f t="shared" ref="AM15" si="208">AM14*0.25</f>
        <v>288.25</v>
      </c>
      <c r="AN15" s="457">
        <f t="shared" ref="AN15" si="209">AN14*0.25</f>
        <v>301.74870833189806</v>
      </c>
      <c r="AO15" s="457"/>
      <c r="AP15" s="457">
        <f t="shared" ref="AP15" si="210">AP14*0.25</f>
        <v>303.3</v>
      </c>
      <c r="AQ15" s="457">
        <f t="shared" ref="AQ15" si="211">AQ14*0.25</f>
        <v>304.50034333371462</v>
      </c>
      <c r="AR15" s="457">
        <f t="shared" ref="AR15" si="212">AR14*0.25</f>
        <v>385.20042800047571</v>
      </c>
      <c r="AS15" s="457">
        <f t="shared" ref="AS15" si="213">AS14*0.25</f>
        <v>306</v>
      </c>
      <c r="AT15" s="457">
        <f t="shared" ref="AT15" si="214">AT14*0.25</f>
        <v>319.50039000043347</v>
      </c>
      <c r="AU15" s="457">
        <f t="shared" ref="AU15" si="215">AU14*0.25</f>
        <v>324.00039000043347</v>
      </c>
      <c r="AV15" s="457">
        <f t="shared" ref="AV15" si="216">AV14*0.25</f>
        <v>381.00042333380372</v>
      </c>
      <c r="AW15" s="457">
        <f t="shared" ref="AW15" si="217">AW14*0.25</f>
        <v>386.99999999999994</v>
      </c>
      <c r="AX15" s="457">
        <f t="shared" ref="AX15" si="218">AX14*0.25</f>
        <v>498.60055400061549</v>
      </c>
      <c r="AY15" s="457">
        <f t="shared" ref="AY15" si="219">AY14*0.25</f>
        <v>409.04999999999995</v>
      </c>
      <c r="AZ15" s="457">
        <f t="shared" ref="AZ15" si="220">AZ14*0.25</f>
        <v>431.000478889421</v>
      </c>
      <c r="BA15" s="457">
        <f t="shared" ref="BA15" si="221">BA14*0.25</f>
        <v>451.00050111166792</v>
      </c>
      <c r="BB15" s="457"/>
      <c r="BC15" s="457">
        <f t="shared" ref="BC15" si="222">BC14*0.25</f>
        <v>451.62500000000006</v>
      </c>
      <c r="BD15" s="457">
        <f t="shared" ref="BD15" si="223">BD14*0.25</f>
        <v>453.70548749999983</v>
      </c>
      <c r="BE15" s="457">
        <f t="shared" ref="BE15" si="224">BE14*0.25</f>
        <v>499.2569173980113</v>
      </c>
      <c r="BF15" s="457">
        <f t="shared" ref="BF15" si="225">BF14*0.25</f>
        <v>456.74999999999994</v>
      </c>
      <c r="BG15" s="457">
        <f t="shared" ref="BG15" si="226">BG14*0.25</f>
        <v>457.1914197898941</v>
      </c>
      <c r="BH15" s="457">
        <f t="shared" ref="BH15" si="227">BH14*0.25</f>
        <v>462.12253137493821</v>
      </c>
      <c r="BI15" s="457">
        <f t="shared" ref="BI15" si="228">BI14*0.25</f>
        <v>463.21875000000006</v>
      </c>
      <c r="BJ15" s="457">
        <f t="shared" ref="BJ15" si="229">BJ14*0.25</f>
        <v>465.1875</v>
      </c>
      <c r="BK15" s="457">
        <f t="shared" ref="BK15" si="230">BK14*0.25</f>
        <v>506.87851507903468</v>
      </c>
      <c r="BL15" s="457">
        <f t="shared" ref="BL15" si="231">BL14*0.25</f>
        <v>466.875</v>
      </c>
      <c r="BM15" s="457">
        <f t="shared" ref="BM15" si="232">BM14*0.25</f>
        <v>469.6875</v>
      </c>
      <c r="BN15" s="457">
        <f t="shared" ref="BN15" si="233">BN14*0.25</f>
        <v>472.36106475090003</v>
      </c>
      <c r="BR15" s="223"/>
      <c r="BS15" s="110"/>
      <c r="BW15" s="456"/>
      <c r="BX15" s="8"/>
    </row>
    <row r="16" spans="1:76">
      <c r="A16" t="s">
        <v>708</v>
      </c>
      <c r="B16" t="e">
        <f ca="1">_xll.RiskOutput()++SUM(C16:BO16)</f>
        <v>#NAME?</v>
      </c>
      <c r="C16" s="400" t="e">
        <f t="shared" ref="C16:BN16" ca="1" si="234">IF(C4&gt;C5,1,0)</f>
        <v>#NAME?</v>
      </c>
      <c r="D16" s="400" t="e">
        <f t="shared" ca="1" si="234"/>
        <v>#NAME?</v>
      </c>
      <c r="E16" s="400" t="e">
        <f t="shared" ca="1" si="234"/>
        <v>#NAME?</v>
      </c>
      <c r="F16" s="400" t="e">
        <f t="shared" ca="1" si="234"/>
        <v>#NAME?</v>
      </c>
      <c r="G16" s="400" t="e">
        <f t="shared" ca="1" si="234"/>
        <v>#NAME?</v>
      </c>
      <c r="H16" s="400" t="e">
        <f t="shared" ca="1" si="234"/>
        <v>#NAME?</v>
      </c>
      <c r="I16" s="400" t="e">
        <f t="shared" ca="1" si="234"/>
        <v>#NAME?</v>
      </c>
      <c r="J16" s="400" t="e">
        <f t="shared" ca="1" si="234"/>
        <v>#NAME?</v>
      </c>
      <c r="K16" s="400" t="e">
        <f t="shared" ca="1" si="234"/>
        <v>#NAME?</v>
      </c>
      <c r="L16" s="400" t="e">
        <f t="shared" ca="1" si="234"/>
        <v>#NAME?</v>
      </c>
      <c r="M16" s="400" t="e">
        <f t="shared" ca="1" si="234"/>
        <v>#NAME?</v>
      </c>
      <c r="N16" s="400" t="e">
        <f t="shared" ca="1" si="234"/>
        <v>#NAME?</v>
      </c>
      <c r="P16" s="400" t="e">
        <f t="shared" ca="1" si="234"/>
        <v>#NAME?</v>
      </c>
      <c r="Q16" s="400" t="e">
        <f t="shared" ca="1" si="234"/>
        <v>#NAME?</v>
      </c>
      <c r="R16" s="400" t="e">
        <f t="shared" ca="1" si="234"/>
        <v>#NAME?</v>
      </c>
      <c r="S16" s="400" t="e">
        <f t="shared" ca="1" si="234"/>
        <v>#NAME?</v>
      </c>
      <c r="T16" s="400" t="e">
        <f t="shared" ca="1" si="234"/>
        <v>#NAME?</v>
      </c>
      <c r="U16" s="400" t="e">
        <f t="shared" ca="1" si="234"/>
        <v>#NAME?</v>
      </c>
      <c r="V16" s="400" t="e">
        <f t="shared" ca="1" si="234"/>
        <v>#NAME?</v>
      </c>
      <c r="W16" s="400" t="e">
        <f t="shared" ca="1" si="234"/>
        <v>#NAME?</v>
      </c>
      <c r="X16" s="400" t="e">
        <f t="shared" ca="1" si="234"/>
        <v>#NAME?</v>
      </c>
      <c r="Y16" s="400" t="e">
        <f t="shared" ca="1" si="234"/>
        <v>#NAME?</v>
      </c>
      <c r="Z16" s="400" t="e">
        <f t="shared" ca="1" si="234"/>
        <v>#NAME?</v>
      </c>
      <c r="AA16" s="400" t="e">
        <f t="shared" ca="1" si="234"/>
        <v>#NAME?</v>
      </c>
      <c r="AC16" s="400" t="e">
        <f t="shared" ca="1" si="234"/>
        <v>#NAME?</v>
      </c>
      <c r="AD16" s="400" t="e">
        <f t="shared" ca="1" si="234"/>
        <v>#NAME?</v>
      </c>
      <c r="AE16" s="400" t="e">
        <f t="shared" ca="1" si="234"/>
        <v>#NAME?</v>
      </c>
      <c r="AF16" s="400" t="e">
        <f t="shared" ca="1" si="234"/>
        <v>#NAME?</v>
      </c>
      <c r="AG16" s="400" t="e">
        <f t="shared" ca="1" si="234"/>
        <v>#NAME?</v>
      </c>
      <c r="AH16" s="400" t="e">
        <f t="shared" ca="1" si="234"/>
        <v>#NAME?</v>
      </c>
      <c r="AI16" s="400" t="e">
        <f t="shared" ca="1" si="234"/>
        <v>#NAME?</v>
      </c>
      <c r="AJ16" s="400" t="e">
        <f t="shared" ca="1" si="234"/>
        <v>#NAME?</v>
      </c>
      <c r="AK16" s="400" t="e">
        <f t="shared" ca="1" si="234"/>
        <v>#NAME?</v>
      </c>
      <c r="AL16" s="400" t="e">
        <f t="shared" ca="1" si="234"/>
        <v>#NAME?</v>
      </c>
      <c r="AM16" s="400" t="e">
        <f t="shared" ca="1" si="234"/>
        <v>#NAME?</v>
      </c>
      <c r="AN16" s="400" t="e">
        <f t="shared" ca="1" si="234"/>
        <v>#NAME?</v>
      </c>
      <c r="AP16" s="400" t="e">
        <f t="shared" ca="1" si="234"/>
        <v>#NAME?</v>
      </c>
      <c r="AQ16" s="400" t="e">
        <f t="shared" ca="1" si="234"/>
        <v>#NAME?</v>
      </c>
      <c r="AR16" s="400" t="e">
        <f t="shared" ca="1" si="234"/>
        <v>#NAME?</v>
      </c>
      <c r="AS16" s="400" t="e">
        <f t="shared" ca="1" si="234"/>
        <v>#NAME?</v>
      </c>
      <c r="AT16" s="400" t="e">
        <f t="shared" ca="1" si="234"/>
        <v>#NAME?</v>
      </c>
      <c r="AU16" s="400" t="e">
        <f t="shared" ca="1" si="234"/>
        <v>#NAME?</v>
      </c>
      <c r="AV16" s="400" t="e">
        <f t="shared" ca="1" si="234"/>
        <v>#NAME?</v>
      </c>
      <c r="AW16" s="400" t="e">
        <f t="shared" ca="1" si="234"/>
        <v>#NAME?</v>
      </c>
      <c r="AX16" s="400" t="e">
        <f t="shared" ca="1" si="234"/>
        <v>#NAME?</v>
      </c>
      <c r="AY16" s="400" t="e">
        <f t="shared" ca="1" si="234"/>
        <v>#NAME?</v>
      </c>
      <c r="AZ16" s="400" t="e">
        <f t="shared" ca="1" si="234"/>
        <v>#NAME?</v>
      </c>
      <c r="BA16" s="400" t="e">
        <f t="shared" ca="1" si="234"/>
        <v>#NAME?</v>
      </c>
      <c r="BC16" s="400" t="e">
        <f t="shared" ca="1" si="234"/>
        <v>#NAME?</v>
      </c>
      <c r="BD16" s="400" t="e">
        <f t="shared" ca="1" si="234"/>
        <v>#NAME?</v>
      </c>
      <c r="BE16" s="400" t="e">
        <f t="shared" ca="1" si="234"/>
        <v>#NAME?</v>
      </c>
      <c r="BF16" s="400" t="e">
        <f t="shared" ca="1" si="234"/>
        <v>#NAME?</v>
      </c>
      <c r="BG16" s="400" t="e">
        <f t="shared" ca="1" si="234"/>
        <v>#NAME?</v>
      </c>
      <c r="BH16" s="400" t="e">
        <f t="shared" ca="1" si="234"/>
        <v>#NAME?</v>
      </c>
      <c r="BI16" s="400" t="e">
        <f t="shared" ca="1" si="234"/>
        <v>#NAME?</v>
      </c>
      <c r="BJ16" s="400" t="e">
        <f t="shared" ca="1" si="234"/>
        <v>#NAME?</v>
      </c>
      <c r="BK16" s="400" t="e">
        <f t="shared" ca="1" si="234"/>
        <v>#NAME?</v>
      </c>
      <c r="BL16" s="400" t="e">
        <f t="shared" ca="1" si="234"/>
        <v>#NAME?</v>
      </c>
      <c r="BM16" s="400" t="e">
        <f t="shared" ca="1" si="234"/>
        <v>#NAME?</v>
      </c>
      <c r="BN16" s="400" t="e">
        <f t="shared" ca="1" si="234"/>
        <v>#NAME?</v>
      </c>
      <c r="BR16" s="223"/>
      <c r="BS16" s="110"/>
      <c r="BW16" s="456"/>
      <c r="BX16" s="8"/>
    </row>
    <row r="17" spans="1:76" ht="16.5" thickBot="1">
      <c r="C17" s="263"/>
      <c r="D17" s="263"/>
      <c r="E17" s="263"/>
      <c r="F17" s="263"/>
      <c r="G17" s="263"/>
      <c r="H17" s="263"/>
      <c r="I17" s="263"/>
      <c r="J17" s="263"/>
      <c r="K17" s="263"/>
      <c r="L17" s="263"/>
      <c r="M17" s="263"/>
      <c r="N17" s="263"/>
      <c r="P17" s="263"/>
      <c r="Q17" s="263"/>
      <c r="R17" s="263"/>
      <c r="S17" s="263"/>
      <c r="T17" s="263"/>
      <c r="U17" s="263"/>
      <c r="V17" s="263"/>
      <c r="W17" s="263"/>
      <c r="X17" s="263"/>
      <c r="Y17" s="263"/>
      <c r="Z17" s="263"/>
      <c r="AA17" s="263"/>
      <c r="AC17" s="263"/>
      <c r="AD17" s="263"/>
      <c r="AE17" s="263"/>
      <c r="AF17" s="263"/>
      <c r="AG17" s="263"/>
      <c r="AH17" s="263"/>
      <c r="AI17" s="263"/>
      <c r="AJ17" s="263"/>
      <c r="AK17" s="263"/>
      <c r="AL17" s="263"/>
      <c r="AM17" s="263"/>
      <c r="AN17" s="263"/>
      <c r="AP17" s="263"/>
      <c r="AQ17" s="263"/>
      <c r="AR17" s="263"/>
      <c r="AS17" s="263"/>
      <c r="AT17" s="263"/>
      <c r="AU17" s="263"/>
      <c r="AV17" s="263"/>
      <c r="AW17" s="263"/>
      <c r="AX17" s="263"/>
      <c r="AY17" s="263"/>
      <c r="AZ17" s="263"/>
      <c r="BA17" s="263"/>
      <c r="BC17" s="263"/>
      <c r="BD17" s="263"/>
      <c r="BE17" s="263"/>
      <c r="BF17" s="263"/>
      <c r="BG17" s="263"/>
      <c r="BH17" s="263"/>
      <c r="BI17" s="263"/>
      <c r="BJ17" s="263"/>
      <c r="BK17" s="263"/>
      <c r="BL17" s="263"/>
      <c r="BM17" s="263"/>
      <c r="BN17" s="263"/>
      <c r="BR17" s="223"/>
      <c r="BS17" s="110"/>
      <c r="BW17" s="456"/>
      <c r="BX17" s="8"/>
    </row>
    <row r="18" spans="1:76" ht="16.5" thickBot="1">
      <c r="C18" s="277">
        <v>44927</v>
      </c>
      <c r="D18" s="274">
        <v>44958</v>
      </c>
      <c r="E18" s="274">
        <v>44986</v>
      </c>
      <c r="F18" s="274">
        <v>45017</v>
      </c>
      <c r="G18" s="274">
        <v>45047</v>
      </c>
      <c r="H18" s="274">
        <v>45078</v>
      </c>
      <c r="I18" s="274">
        <v>45108</v>
      </c>
      <c r="J18" s="274">
        <v>45139</v>
      </c>
      <c r="K18" s="274">
        <v>45170</v>
      </c>
      <c r="L18" s="274">
        <v>45200</v>
      </c>
      <c r="M18" s="274">
        <v>45231</v>
      </c>
      <c r="N18" s="275">
        <v>45261</v>
      </c>
      <c r="O18" s="276" t="s">
        <v>520</v>
      </c>
      <c r="P18" s="277">
        <v>45292</v>
      </c>
      <c r="Q18" s="275">
        <v>45323</v>
      </c>
      <c r="R18" s="275">
        <v>45352</v>
      </c>
      <c r="S18" s="275">
        <v>45383</v>
      </c>
      <c r="T18" s="275">
        <v>45413</v>
      </c>
      <c r="U18" s="275">
        <v>45444</v>
      </c>
      <c r="V18" s="275">
        <v>45474</v>
      </c>
      <c r="W18" s="275">
        <v>45505</v>
      </c>
      <c r="X18" s="275">
        <v>45536</v>
      </c>
      <c r="Y18" s="275">
        <v>45566</v>
      </c>
      <c r="Z18" s="275">
        <v>45597</v>
      </c>
      <c r="AA18" s="275">
        <v>45627</v>
      </c>
      <c r="AB18" s="276" t="s">
        <v>521</v>
      </c>
      <c r="AC18" s="275">
        <v>45658</v>
      </c>
      <c r="AD18" s="275">
        <v>45689</v>
      </c>
      <c r="AE18" s="275">
        <v>45717</v>
      </c>
      <c r="AF18" s="275">
        <v>45748</v>
      </c>
      <c r="AG18" s="275">
        <v>45778</v>
      </c>
      <c r="AH18" s="275">
        <v>45809</v>
      </c>
      <c r="AI18" s="275">
        <v>45839</v>
      </c>
      <c r="AJ18" s="275">
        <v>45870</v>
      </c>
      <c r="AK18" s="275">
        <v>45901</v>
      </c>
      <c r="AL18" s="275">
        <v>45931</v>
      </c>
      <c r="AM18" s="275">
        <v>45962</v>
      </c>
      <c r="AN18" s="275">
        <v>45992</v>
      </c>
      <c r="AO18" s="276" t="s">
        <v>522</v>
      </c>
      <c r="AP18" s="275">
        <v>46023</v>
      </c>
      <c r="AQ18" s="275">
        <v>46054</v>
      </c>
      <c r="AR18" s="275">
        <v>46082</v>
      </c>
      <c r="AS18" s="275">
        <v>46113</v>
      </c>
      <c r="AT18" s="275">
        <v>46143</v>
      </c>
      <c r="AU18" s="275">
        <v>46174</v>
      </c>
      <c r="AV18" s="275">
        <v>46204</v>
      </c>
      <c r="AW18" s="275">
        <v>46235</v>
      </c>
      <c r="AX18" s="275">
        <v>46266</v>
      </c>
      <c r="AY18" s="275">
        <v>46296</v>
      </c>
      <c r="AZ18" s="275">
        <v>46327</v>
      </c>
      <c r="BA18" s="275">
        <v>46357</v>
      </c>
      <c r="BB18" s="276" t="s">
        <v>523</v>
      </c>
      <c r="BC18" s="275">
        <v>46388</v>
      </c>
      <c r="BD18" s="275">
        <v>46419</v>
      </c>
      <c r="BE18" s="275">
        <v>46447</v>
      </c>
      <c r="BF18" s="275">
        <v>46478</v>
      </c>
      <c r="BG18" s="275">
        <v>46508</v>
      </c>
      <c r="BH18" s="275">
        <v>46539</v>
      </c>
      <c r="BI18" s="275">
        <v>46569</v>
      </c>
      <c r="BJ18" s="275">
        <v>46600</v>
      </c>
      <c r="BK18" s="275">
        <v>46631</v>
      </c>
      <c r="BL18" s="275">
        <v>46661</v>
      </c>
      <c r="BM18" s="275">
        <v>46692</v>
      </c>
      <c r="BN18" s="275">
        <v>46722</v>
      </c>
      <c r="BR18" s="223" t="s">
        <v>573</v>
      </c>
      <c r="BS18" s="110">
        <v>750000</v>
      </c>
    </row>
    <row r="19" spans="1:76" ht="16.5" thickBot="1">
      <c r="A19" s="281" t="s">
        <v>397</v>
      </c>
      <c r="B19" s="459"/>
      <c r="C19" s="365">
        <v>0</v>
      </c>
      <c r="D19" s="346">
        <v>0</v>
      </c>
      <c r="E19" s="346">
        <v>0</v>
      </c>
      <c r="F19" s="346">
        <v>0</v>
      </c>
      <c r="G19" s="346">
        <v>0</v>
      </c>
      <c r="H19" s="346">
        <v>0</v>
      </c>
      <c r="I19" s="345">
        <f t="shared" ref="I19:N19" si="235">+$O$19*I3</f>
        <v>1.1759806393737477</v>
      </c>
      <c r="J19" s="345">
        <f t="shared" si="235"/>
        <v>1.8815690229979964</v>
      </c>
      <c r="K19" s="345">
        <f t="shared" si="235"/>
        <v>3.2927457902464941</v>
      </c>
      <c r="L19" s="345">
        <f t="shared" si="235"/>
        <v>4.4687264296202418</v>
      </c>
      <c r="M19" s="345">
        <f t="shared" si="235"/>
        <v>5.4095109411192395</v>
      </c>
      <c r="N19" s="450">
        <f t="shared" si="235"/>
        <v>7.2910799641172357</v>
      </c>
      <c r="O19" s="385">
        <f>+'[3]Income Statement'!E41</f>
        <v>23.519612787474955</v>
      </c>
      <c r="P19" s="346">
        <f t="shared" ref="P19:AA19" si="236">+$AB$19*P3</f>
        <v>173.0002255558062</v>
      </c>
      <c r="Q19" s="346">
        <f t="shared" si="236"/>
        <v>188.00022888914307</v>
      </c>
      <c r="R19" s="346">
        <f t="shared" si="236"/>
        <v>256.80028533365049</v>
      </c>
      <c r="S19" s="346">
        <f t="shared" si="236"/>
        <v>225.00026000028899</v>
      </c>
      <c r="T19" s="346">
        <f t="shared" si="236"/>
        <v>226.50002600002892</v>
      </c>
      <c r="U19" s="346">
        <f t="shared" si="236"/>
        <v>228.00026000028899</v>
      </c>
      <c r="V19" s="346">
        <f t="shared" si="236"/>
        <v>248.00028222253587</v>
      </c>
      <c r="W19" s="346">
        <f t="shared" si="236"/>
        <v>254.00028222253582</v>
      </c>
      <c r="X19" s="346">
        <f t="shared" si="236"/>
        <v>332.40036933374364</v>
      </c>
      <c r="Y19" s="346">
        <f t="shared" si="236"/>
        <v>282.89999999999998</v>
      </c>
      <c r="Z19" s="346">
        <f t="shared" si="236"/>
        <v>284.66698296331441</v>
      </c>
      <c r="AA19" s="346">
        <f t="shared" si="236"/>
        <v>300.66700074111196</v>
      </c>
      <c r="AB19" s="385">
        <f>+'[3]Income Statement'!F41</f>
        <v>3000</v>
      </c>
      <c r="AC19" s="346">
        <f t="shared" ref="AC19:AN19" si="237">+$AO$19*AC3</f>
        <v>302.39999999999986</v>
      </c>
      <c r="AD19" s="346">
        <f t="shared" si="237"/>
        <v>303.74999999999989</v>
      </c>
      <c r="AE19" s="346">
        <f t="shared" si="237"/>
        <v>412.1158129175945</v>
      </c>
      <c r="AF19" s="346">
        <f t="shared" si="237"/>
        <v>340.35226698507239</v>
      </c>
      <c r="AG19" s="346">
        <f t="shared" si="237"/>
        <v>355.49999999999989</v>
      </c>
      <c r="AH19" s="346">
        <f t="shared" si="237"/>
        <v>373.04999999999984</v>
      </c>
      <c r="AI19" s="346">
        <f t="shared" si="237"/>
        <v>382.5167037861915</v>
      </c>
      <c r="AJ19" s="346">
        <f t="shared" si="237"/>
        <v>385.18930957683739</v>
      </c>
      <c r="AK19" s="346">
        <f t="shared" si="237"/>
        <v>480.66815144766161</v>
      </c>
      <c r="AL19" s="346">
        <f t="shared" si="237"/>
        <v>376.18930957683716</v>
      </c>
      <c r="AM19" s="346">
        <f t="shared" si="237"/>
        <v>385.18930957683739</v>
      </c>
      <c r="AN19" s="346">
        <f t="shared" si="237"/>
        <v>403.22767260387263</v>
      </c>
      <c r="AO19" s="385">
        <f>+'[3]Income Statement'!G41</f>
        <v>4499.9999999999982</v>
      </c>
      <c r="AP19" s="346">
        <f t="shared" ref="AP19:BA19" si="238">+$BB$19*AP3</f>
        <v>404.40000000000003</v>
      </c>
      <c r="AQ19" s="346">
        <f t="shared" si="238"/>
        <v>406.0004577782862</v>
      </c>
      <c r="AR19" s="346">
        <f t="shared" si="238"/>
        <v>513.60057066730099</v>
      </c>
      <c r="AS19" s="346">
        <f t="shared" si="238"/>
        <v>408.00000000000006</v>
      </c>
      <c r="AT19" s="346">
        <f t="shared" si="238"/>
        <v>426.00052000057798</v>
      </c>
      <c r="AU19" s="346">
        <f t="shared" si="238"/>
        <v>432.00052000057798</v>
      </c>
      <c r="AV19" s="346">
        <f t="shared" si="238"/>
        <v>508.00056444507163</v>
      </c>
      <c r="AW19" s="346">
        <f t="shared" si="238"/>
        <v>516</v>
      </c>
      <c r="AX19" s="346">
        <f t="shared" si="238"/>
        <v>664.80073866748728</v>
      </c>
      <c r="AY19" s="346">
        <f t="shared" si="238"/>
        <v>545.4</v>
      </c>
      <c r="AZ19" s="346">
        <f t="shared" si="238"/>
        <v>574.66730518589463</v>
      </c>
      <c r="BA19" s="346">
        <f t="shared" si="238"/>
        <v>601.33400148222393</v>
      </c>
      <c r="BB19" s="385">
        <f>+'[3]Income Statement'!H41</f>
        <v>6000</v>
      </c>
      <c r="BC19" s="346">
        <f t="shared" ref="BC19:BN19" si="239">+$BO$21*BC3</f>
        <v>602.16666666666674</v>
      </c>
      <c r="BD19" s="346">
        <f t="shared" si="239"/>
        <v>604.94064999999978</v>
      </c>
      <c r="BE19" s="346">
        <f t="shared" si="239"/>
        <v>665.67588986401506</v>
      </c>
      <c r="BF19" s="346">
        <f t="shared" si="239"/>
        <v>609</v>
      </c>
      <c r="BG19" s="346">
        <f t="shared" si="239"/>
        <v>609.58855971985884</v>
      </c>
      <c r="BH19" s="346">
        <f t="shared" si="239"/>
        <v>616.16337516658427</v>
      </c>
      <c r="BI19" s="346">
        <f t="shared" si="239"/>
        <v>617.625</v>
      </c>
      <c r="BJ19" s="346">
        <f t="shared" si="239"/>
        <v>620.25</v>
      </c>
      <c r="BK19" s="346">
        <f t="shared" si="239"/>
        <v>675.83802010537954</v>
      </c>
      <c r="BL19" s="346">
        <f t="shared" si="239"/>
        <v>622.5</v>
      </c>
      <c r="BM19" s="346">
        <f t="shared" si="239"/>
        <v>626.25</v>
      </c>
      <c r="BN19" s="346">
        <f t="shared" si="239"/>
        <v>629.81475300120007</v>
      </c>
      <c r="BO19" s="276" t="s">
        <v>524</v>
      </c>
    </row>
    <row r="20" spans="1:76">
      <c r="A20" s="284" t="s">
        <v>704</v>
      </c>
      <c r="B20" s="39"/>
      <c r="C20" s="453">
        <v>0</v>
      </c>
      <c r="D20" s="453">
        <v>0</v>
      </c>
      <c r="E20" s="453">
        <v>0</v>
      </c>
      <c r="F20" s="453">
        <v>0</v>
      </c>
      <c r="G20" s="453">
        <v>0</v>
      </c>
      <c r="H20" s="453">
        <v>0</v>
      </c>
      <c r="I20" s="454">
        <f>+_xlfn.NORM.INV(0.95,I19,I19*0.25)</f>
        <v>1.6595596443484026</v>
      </c>
      <c r="J20" s="454">
        <f t="shared" ref="J20:N20" si="240">+_xlfn.NORM.INV(0.95,J19,J19*0.25)</f>
        <v>2.6552954309574441</v>
      </c>
      <c r="K20" s="454">
        <f t="shared" si="240"/>
        <v>4.646767004175528</v>
      </c>
      <c r="L20" s="454">
        <f t="shared" si="240"/>
        <v>6.30632664852393</v>
      </c>
      <c r="M20" s="454">
        <f t="shared" si="240"/>
        <v>7.6339743640026523</v>
      </c>
      <c r="N20" s="454">
        <f t="shared" si="240"/>
        <v>10.289269794960095</v>
      </c>
      <c r="O20" s="455"/>
      <c r="P20" s="453">
        <f t="shared" ref="P20:AA20" si="241">+_xlfn.NORM.INV(0.95,P19,P19*0.25)</f>
        <v>244.14023767302882</v>
      </c>
      <c r="Q20" s="453">
        <f t="shared" si="241"/>
        <v>265.3084434781465</v>
      </c>
      <c r="R20" s="453">
        <f t="shared" si="241"/>
        <v>362.40000551695744</v>
      </c>
      <c r="S20" s="453">
        <f t="shared" si="241"/>
        <v>317.52338343191389</v>
      </c>
      <c r="T20" s="453">
        <f t="shared" si="241"/>
        <v>319.63987331771648</v>
      </c>
      <c r="U20" s="453">
        <f t="shared" si="241"/>
        <v>321.75702365212749</v>
      </c>
      <c r="V20" s="453">
        <f t="shared" si="241"/>
        <v>349.98132314721755</v>
      </c>
      <c r="W20" s="453">
        <f t="shared" si="241"/>
        <v>358.4486035876447</v>
      </c>
      <c r="X20" s="453">
        <f t="shared" si="241"/>
        <v>469.08785760839788</v>
      </c>
      <c r="Y20" s="453">
        <f t="shared" si="241"/>
        <v>399.23227276614278</v>
      </c>
      <c r="Z20" s="453">
        <f t="shared" si="241"/>
        <v>401.72586281344951</v>
      </c>
      <c r="AA20" s="453">
        <f t="shared" si="241"/>
        <v>424.30530240952169</v>
      </c>
      <c r="AB20" s="455"/>
      <c r="AC20" s="453">
        <f t="shared" ref="AC20:AN20" si="242">+_xlfn.NORM.INV(0.95,AC19,AC19*0.25)</f>
        <v>426.75093419753102</v>
      </c>
      <c r="AD20" s="453">
        <f t="shared" si="242"/>
        <v>428.6560722966272</v>
      </c>
      <c r="AE20" s="453">
        <f t="shared" si="242"/>
        <v>581.58336031798433</v>
      </c>
      <c r="AF20" s="453">
        <f t="shared" si="242"/>
        <v>480.30968218296039</v>
      </c>
      <c r="AG20" s="453">
        <f t="shared" si="242"/>
        <v>501.68636609531188</v>
      </c>
      <c r="AH20" s="453">
        <f t="shared" si="242"/>
        <v>526.45316138356134</v>
      </c>
      <c r="AI20" s="453">
        <f t="shared" si="242"/>
        <v>539.81270068425124</v>
      </c>
      <c r="AJ20" s="453">
        <f t="shared" si="242"/>
        <v>543.58431780693593</v>
      </c>
      <c r="AK20" s="453">
        <f t="shared" si="242"/>
        <v>678.325339514848</v>
      </c>
      <c r="AL20" s="453">
        <f t="shared" si="242"/>
        <v>530.88339714629478</v>
      </c>
      <c r="AM20" s="453">
        <f t="shared" si="242"/>
        <v>543.58431780693593</v>
      </c>
      <c r="AN20" s="453">
        <f t="shared" si="242"/>
        <v>569.04029754629278</v>
      </c>
      <c r="AO20" s="455"/>
      <c r="AP20" s="453">
        <f t="shared" ref="AP20:BA20" si="243">+_xlfn.NORM.INV(0.95,AP19,AP19*0.25)</f>
        <v>570.69470168479381</v>
      </c>
      <c r="AQ20" s="453">
        <f t="shared" si="243"/>
        <v>572.95328915842913</v>
      </c>
      <c r="AR20" s="453">
        <f t="shared" si="243"/>
        <v>724.80001103391487</v>
      </c>
      <c r="AS20" s="453">
        <f t="shared" si="243"/>
        <v>575.77506994905013</v>
      </c>
      <c r="AT20" s="453">
        <f t="shared" si="243"/>
        <v>601.17764510211884</v>
      </c>
      <c r="AU20" s="453">
        <f t="shared" si="243"/>
        <v>609.64492554254605</v>
      </c>
      <c r="AV20" s="453">
        <f t="shared" si="243"/>
        <v>716.8972071752894</v>
      </c>
      <c r="AW20" s="453">
        <f t="shared" si="243"/>
        <v>728.18611787673979</v>
      </c>
      <c r="AX20" s="453">
        <f t="shared" si="243"/>
        <v>938.17571521679577</v>
      </c>
      <c r="AY20" s="453">
        <f t="shared" si="243"/>
        <v>769.67579203483308</v>
      </c>
      <c r="AZ20" s="453">
        <f t="shared" si="243"/>
        <v>810.97820549225639</v>
      </c>
      <c r="BA20" s="453">
        <f t="shared" si="243"/>
        <v>848.61060481904337</v>
      </c>
      <c r="BB20" s="455"/>
      <c r="BC20" s="453">
        <f t="shared" ref="BC20:BN20" si="244">+_xlfn.NORM.INV(0.95,BC19,BC19*0.25)</f>
        <v>849.78567309065284</v>
      </c>
      <c r="BD20" s="453">
        <f t="shared" si="244"/>
        <v>853.7003555607198</v>
      </c>
      <c r="BE20" s="453">
        <f t="shared" si="244"/>
        <v>939.41074031825838</v>
      </c>
      <c r="BF20" s="453">
        <f t="shared" si="244"/>
        <v>859.42896470336154</v>
      </c>
      <c r="BG20" s="453">
        <f t="shared" si="244"/>
        <v>860.25954807069218</v>
      </c>
      <c r="BH20" s="453">
        <f t="shared" si="244"/>
        <v>869.53801577593833</v>
      </c>
      <c r="BI20" s="453">
        <f t="shared" si="244"/>
        <v>871.60068033647565</v>
      </c>
      <c r="BJ20" s="453">
        <f t="shared" si="244"/>
        <v>875.30511552916255</v>
      </c>
      <c r="BK20" s="453">
        <f t="shared" si="244"/>
        <v>953.7516747558883</v>
      </c>
      <c r="BL20" s="453">
        <f t="shared" si="244"/>
        <v>878.48034569432275</v>
      </c>
      <c r="BM20" s="453">
        <f t="shared" si="244"/>
        <v>883.77239596958975</v>
      </c>
      <c r="BN20" s="453">
        <f t="shared" si="244"/>
        <v>888.80302319659233</v>
      </c>
      <c r="BO20" s="455"/>
    </row>
    <row r="21" spans="1:76">
      <c r="A21" s="293" t="s">
        <v>556</v>
      </c>
      <c r="B21" s="460"/>
      <c r="C21" s="451">
        <f t="shared" ref="C21:F21" si="245">(C20-C19)</f>
        <v>0</v>
      </c>
      <c r="D21" s="451">
        <f t="shared" si="245"/>
        <v>0</v>
      </c>
      <c r="E21" s="451">
        <f t="shared" si="245"/>
        <v>0</v>
      </c>
      <c r="F21" s="451">
        <f t="shared" si="245"/>
        <v>0</v>
      </c>
      <c r="G21" s="451">
        <f>SUM(F21:F22)-G19</f>
        <v>1.6595596443484026</v>
      </c>
      <c r="H21" s="451">
        <f>SUM(G21:G22)-H19</f>
        <v>4.3148550753058466</v>
      </c>
      <c r="I21" s="451">
        <f>SUM(H21:H22)-I19</f>
        <v>7.7856414401076268</v>
      </c>
      <c r="J21" s="451">
        <f>SUM(I21:I22)-J19</f>
        <v>5.9040724171096306</v>
      </c>
      <c r="K21" s="451">
        <f t="shared" ref="K21:L21" si="246">SUM(J21:J22)-K19</f>
        <v>5.1149549817156057</v>
      </c>
      <c r="L21" s="451">
        <f t="shared" si="246"/>
        <v>7.1745645792688872</v>
      </c>
      <c r="M21" s="451">
        <f>SUM(L21:L22)-M19</f>
        <v>240.56832695081326</v>
      </c>
      <c r="N21" s="451">
        <f>SUM(M21:M22)-N19</f>
        <v>260.24182693691267</v>
      </c>
      <c r="P21" s="451">
        <f>SUM(N21:N22)-P19</f>
        <v>192.39796979199411</v>
      </c>
      <c r="Q21" s="451">
        <f>SUM(P21:P22)-Q19</f>
        <v>200.66316665999344</v>
      </c>
      <c r="R21" s="451">
        <f>SUM(Q21:Q22)-R19</f>
        <v>140.14780257306944</v>
      </c>
      <c r="S21" s="451">
        <f>SUM(R21:R22)-S19</f>
        <v>202.35648383514544</v>
      </c>
      <c r="T21" s="451">
        <f>SUM(S21:S22)-T19</f>
        <v>216.00442057881355</v>
      </c>
      <c r="U21" s="451">
        <f t="shared" ref="U21:W21" si="247">SUM(T21:T22)-U19</f>
        <v>223.58819090504326</v>
      </c>
      <c r="V21" s="451">
        <f t="shared" si="247"/>
        <v>314.84433903770054</v>
      </c>
      <c r="W21" s="451">
        <f t="shared" si="247"/>
        <v>247.21303146828865</v>
      </c>
      <c r="X21" s="451">
        <f>SUM(W21:W22)-X19</f>
        <v>173.77381484481475</v>
      </c>
      <c r="Y21" s="451">
        <f>SUM(X21:X22)-Y19</f>
        <v>278.09279068417595</v>
      </c>
      <c r="Z21" s="451">
        <f>SUM(Y21:Y22)-Z19</f>
        <v>258.41622400035936</v>
      </c>
      <c r="AA21" s="451">
        <f>SUM(Z21:Z22)-AA19</f>
        <v>245.04795140565028</v>
      </c>
      <c r="AB21" s="192"/>
      <c r="AC21" s="451">
        <f>SUM(AA21:AA22)-AC19</f>
        <v>402.82166198639425</v>
      </c>
      <c r="AD21" s="451">
        <f>SUM(AC21:AC22)-AD19</f>
        <v>300.91061638049166</v>
      </c>
      <c r="AE21" s="451">
        <f>SUM(AD21:AD22)-AE19</f>
        <v>214.47662547434464</v>
      </c>
      <c r="AF21" s="451">
        <f>SUM(AE21:AE22)-AF19</f>
        <v>355.56844179887872</v>
      </c>
      <c r="AG21" s="451">
        <f>SUM(AF21:AF22)-AG19</f>
        <v>324.27011588213929</v>
      </c>
      <c r="AH21" s="451">
        <f t="shared" ref="AH21:AJ21" si="248">SUM(AG21:AG22)-AH19</f>
        <v>316.72068390224808</v>
      </c>
      <c r="AI21" s="451">
        <f t="shared" si="248"/>
        <v>449.21179711221799</v>
      </c>
      <c r="AJ21" s="451">
        <f t="shared" si="248"/>
        <v>302.99008446751708</v>
      </c>
      <c r="AK21" s="451">
        <f>SUM(AJ21:AJ22)-AK19</f>
        <v>221.31117458937291</v>
      </c>
      <c r="AL21" s="451">
        <f>SUM(AK21:AK22)-AL19</f>
        <v>390.50817603664194</v>
      </c>
      <c r="AM21" s="451">
        <f>SUM(AL21:AL22)-AM19</f>
        <v>340.19947967741399</v>
      </c>
      <c r="AN21" s="451">
        <f>SUM(AM21:AM22)-AN19</f>
        <v>328.12062478465509</v>
      </c>
      <c r="AO21" s="192"/>
      <c r="AP21" s="451">
        <f>SUM(AN21:AN22)-AP19</f>
        <v>486.21263597633498</v>
      </c>
      <c r="AQ21" s="451">
        <f>SUM(AP21:AP22)-AQ19</f>
        <v>336.06931385555765</v>
      </c>
      <c r="AR21" s="451">
        <f>SUM(AQ21:AQ22)-AR19</f>
        <v>254.52990581496078</v>
      </c>
      <c r="AS21" s="451">
        <f>SUM(AR21:AR22)-AS19</f>
        <v>412.84436590915988</v>
      </c>
      <c r="AT21" s="451">
        <f>SUM(AS21:AS22)-AT19</f>
        <v>458.67175712376144</v>
      </c>
      <c r="AU21" s="451">
        <f t="shared" ref="AU21:AW21" si="249">SUM(AT21:AT22)-AU19</f>
        <v>471.36272297770262</v>
      </c>
      <c r="AV21" s="451">
        <f t="shared" si="249"/>
        <v>607.81955631369215</v>
      </c>
      <c r="AW21" s="451">
        <f t="shared" si="249"/>
        <v>462.57243476505084</v>
      </c>
      <c r="AX21" s="451">
        <f>SUM(AW21:AW22)-AX19</f>
        <v>358.3635847015089</v>
      </c>
      <c r="AY21" s="451">
        <f>SUM(AX21:AX22)-AY19</f>
        <v>576.58558136835188</v>
      </c>
      <c r="AZ21" s="451">
        <f>SUM(AY21:AY22)-AZ19</f>
        <v>499.3941599395913</v>
      </c>
      <c r="BA21" s="451">
        <f>SUM(AZ21:AZ22)-BA19</f>
        <v>488.67725438485775</v>
      </c>
      <c r="BB21" s="192"/>
      <c r="BC21" s="451">
        <f>SUM(BA21:BA22)-BC19</f>
        <v>584.52067698841097</v>
      </c>
      <c r="BD21" s="451">
        <f>SUM(BC21:BC22)-BD19</f>
        <v>502.10732112734786</v>
      </c>
      <c r="BE21" s="451">
        <f>SUM(BD21:BD22)-BE19</f>
        <v>443.34336376739702</v>
      </c>
      <c r="BF21" s="451">
        <f>SUM(BE21:BE22)-BF19</f>
        <v>534.27286623018153</v>
      </c>
      <c r="BG21" s="451">
        <f>SUM(BF21:BF22)-BG19</f>
        <v>512.44108531997847</v>
      </c>
      <c r="BH21" s="451">
        <f>SUM(BG21:BG22)-BH19</f>
        <v>509.81272871341162</v>
      </c>
      <c r="BI21" s="451">
        <f t="shared" ref="BI21:BJ21" si="250">SUM(BH21:BH22)-BI19</f>
        <v>589.50131536524236</v>
      </c>
      <c r="BJ21" s="451">
        <f t="shared" si="250"/>
        <v>512.20602603079851</v>
      </c>
      <c r="BK21" s="451">
        <f>SUM(BJ21:BJ22)-BK19</f>
        <v>462.98949139337276</v>
      </c>
      <c r="BL21" s="451">
        <f>SUM(BK21:BK22)-BL19</f>
        <v>544.21667784710098</v>
      </c>
      <c r="BM21" s="451">
        <v>0</v>
      </c>
      <c r="BN21" s="451">
        <v>0</v>
      </c>
      <c r="BO21">
        <f>+'[3]Income Statement'!I41</f>
        <v>7500</v>
      </c>
      <c r="BR21" s="475"/>
      <c r="BS21" s="475"/>
      <c r="BW21" s="229"/>
      <c r="BX21" s="229"/>
    </row>
    <row r="22" spans="1:76">
      <c r="A22" t="s">
        <v>714</v>
      </c>
      <c r="C22" s="192">
        <f t="shared" ref="C22:E22" si="251">D19+(D21-C21)</f>
        <v>0</v>
      </c>
      <c r="D22" s="192">
        <f t="shared" si="251"/>
        <v>0</v>
      </c>
      <c r="E22" s="192">
        <f t="shared" si="251"/>
        <v>0</v>
      </c>
      <c r="F22" s="192">
        <f>I20</f>
        <v>1.6595596443484026</v>
      </c>
      <c r="G22" s="192">
        <f>J20</f>
        <v>2.6552954309574441</v>
      </c>
      <c r="H22" s="192">
        <f>K20</f>
        <v>4.646767004175528</v>
      </c>
      <c r="I22" s="192">
        <v>0</v>
      </c>
      <c r="J22" s="192">
        <f>M20+(J20-J19)-J21</f>
        <v>2.5036283548524692</v>
      </c>
      <c r="K22" s="192">
        <f>N20+(K20-K19)-K21</f>
        <v>6.5283360271735233</v>
      </c>
      <c r="L22" s="192">
        <f>P20+(L20-L19)-L21</f>
        <v>238.80327331266361</v>
      </c>
      <c r="M22" s="192">
        <f>Q20+(M20-M19)-M21</f>
        <v>26.964579950216631</v>
      </c>
      <c r="N22" s="192">
        <f>R20+(N20-N19)-N21</f>
        <v>105.15636841088764</v>
      </c>
      <c r="O22" s="192"/>
      <c r="P22" s="192">
        <f t="shared" ref="P22:X22" si="252">S20+(P20-P19)-P21</f>
        <v>196.2654257571424</v>
      </c>
      <c r="Q22" s="192">
        <f t="shared" si="252"/>
        <v>196.2849212467265</v>
      </c>
      <c r="R22" s="192">
        <f t="shared" si="252"/>
        <v>287.20894126236499</v>
      </c>
      <c r="S22" s="192">
        <f t="shared" si="252"/>
        <v>240.14796274369704</v>
      </c>
      <c r="T22" s="192">
        <f t="shared" si="252"/>
        <v>235.5840303265187</v>
      </c>
      <c r="U22" s="192">
        <f t="shared" si="252"/>
        <v>339.25643035519317</v>
      </c>
      <c r="V22" s="192">
        <f t="shared" si="252"/>
        <v>186.36897465312393</v>
      </c>
      <c r="W22" s="192">
        <f t="shared" si="252"/>
        <v>258.96115271026974</v>
      </c>
      <c r="X22" s="192">
        <f t="shared" si="252"/>
        <v>387.21897583936118</v>
      </c>
      <c r="Y22" s="192">
        <f>AC20+(Y20-Y19)-Y21</f>
        <v>264.99041627949782</v>
      </c>
      <c r="Z22" s="192">
        <f>AD20+(Z20-Z19)-Z21</f>
        <v>287.29872814640288</v>
      </c>
      <c r="AA22" s="192">
        <f>AE20+(AA20-AA19)-AA21</f>
        <v>460.17371058074383</v>
      </c>
      <c r="AC22" s="192">
        <f t="shared" ref="AC22:AK22" si="253">AF20+(AC20-AC19)-AC21</f>
        <v>201.8389543940973</v>
      </c>
      <c r="AD22" s="192">
        <f t="shared" si="253"/>
        <v>325.68182201144748</v>
      </c>
      <c r="AE22" s="192">
        <f t="shared" si="253"/>
        <v>481.44408330960647</v>
      </c>
      <c r="AF22" s="192">
        <f t="shared" si="253"/>
        <v>324.20167408326046</v>
      </c>
      <c r="AG22" s="192">
        <f t="shared" si="253"/>
        <v>365.50056802010863</v>
      </c>
      <c r="AH22" s="192">
        <f t="shared" si="253"/>
        <v>515.00781699616141</v>
      </c>
      <c r="AI22" s="192">
        <f t="shared" si="253"/>
        <v>238.96759693213647</v>
      </c>
      <c r="AJ22" s="192">
        <f t="shared" si="253"/>
        <v>398.98924156951745</v>
      </c>
      <c r="AK22" s="192">
        <f t="shared" si="253"/>
        <v>545.38631102410613</v>
      </c>
      <c r="AL22" s="192">
        <f>AP20+(AL20-AL19)-AL21</f>
        <v>334.88061321760944</v>
      </c>
      <c r="AM22" s="192">
        <f>AQ20+(AM20-AM19)-AM21</f>
        <v>391.14881771111374</v>
      </c>
      <c r="AN22" s="192">
        <f>AR20+(AN20-AN19)-AN21</f>
        <v>562.49201119167992</v>
      </c>
      <c r="AP22" s="192">
        <f t="shared" ref="AP22:AX22" si="254">AS20+(AP20-AP19)-AP21</f>
        <v>255.85713565750888</v>
      </c>
      <c r="AQ22" s="192">
        <f t="shared" si="254"/>
        <v>432.06116262670412</v>
      </c>
      <c r="AR22" s="192">
        <f t="shared" si="254"/>
        <v>566.31446009419915</v>
      </c>
      <c r="AS22" s="192">
        <f t="shared" si="254"/>
        <v>471.82791121517954</v>
      </c>
      <c r="AT22" s="192">
        <f t="shared" si="254"/>
        <v>444.69148585451916</v>
      </c>
      <c r="AU22" s="192">
        <f t="shared" si="254"/>
        <v>644.45739778106122</v>
      </c>
      <c r="AV22" s="192">
        <f t="shared" si="254"/>
        <v>370.7528784513587</v>
      </c>
      <c r="AW22" s="192">
        <f t="shared" si="254"/>
        <v>560.59188860394534</v>
      </c>
      <c r="AX22" s="192">
        <f t="shared" si="254"/>
        <v>763.62199666684296</v>
      </c>
      <c r="AY22" s="192">
        <f>BC20+(AY20-AY19)-AY21</f>
        <v>497.47588375713406</v>
      </c>
      <c r="AZ22" s="192">
        <f>BD20+(AZ20-AZ19)-AZ21</f>
        <v>590.61709592749037</v>
      </c>
      <c r="BA22" s="192">
        <f>BE20+(BA20-BA19)-BA21</f>
        <v>698.01008927021996</v>
      </c>
      <c r="BC22" s="192">
        <f t="shared" ref="BC22:BK22" si="255">BF20+(BC20-BC19)-BC21</f>
        <v>522.52729413893667</v>
      </c>
      <c r="BD22" s="192">
        <f t="shared" si="255"/>
        <v>606.91193250406423</v>
      </c>
      <c r="BE22" s="192">
        <f t="shared" si="255"/>
        <v>699.92950246278451</v>
      </c>
      <c r="BF22" s="192">
        <f t="shared" si="255"/>
        <v>587.75677880965577</v>
      </c>
      <c r="BG22" s="192">
        <f t="shared" si="255"/>
        <v>613.53501856001742</v>
      </c>
      <c r="BH22" s="192">
        <f t="shared" si="255"/>
        <v>697.31358665183075</v>
      </c>
      <c r="BI22" s="192">
        <f t="shared" si="255"/>
        <v>542.95471066555615</v>
      </c>
      <c r="BJ22" s="192">
        <f t="shared" si="255"/>
        <v>626.62148546795379</v>
      </c>
      <c r="BK22" s="192">
        <f t="shared" si="255"/>
        <v>703.72718645372822</v>
      </c>
      <c r="BL22" s="192">
        <v>0</v>
      </c>
      <c r="BM22" s="192">
        <v>0</v>
      </c>
      <c r="BN22" s="192">
        <v>0</v>
      </c>
    </row>
    <row r="23" spans="1:76">
      <c r="A23" t="s">
        <v>705</v>
      </c>
      <c r="C23" s="192">
        <f t="shared" ref="C23:G23" si="256">+C22+C21</f>
        <v>0</v>
      </c>
      <c r="D23" s="192">
        <f t="shared" si="256"/>
        <v>0</v>
      </c>
      <c r="E23" s="192">
        <f t="shared" si="256"/>
        <v>0</v>
      </c>
      <c r="F23" s="192">
        <f t="shared" si="256"/>
        <v>1.6595596443484026</v>
      </c>
      <c r="G23" s="192">
        <f t="shared" si="256"/>
        <v>4.3148550753058466</v>
      </c>
      <c r="H23" s="192">
        <f>+H22+H21</f>
        <v>8.9616220794813746</v>
      </c>
      <c r="I23" s="192">
        <f>+I22+I21</f>
        <v>7.7856414401076268</v>
      </c>
      <c r="J23" s="192">
        <f t="shared" ref="J23:M23" si="257">+J22+J21</f>
        <v>8.4077007719620998</v>
      </c>
      <c r="K23" s="192">
        <f t="shared" si="257"/>
        <v>11.643291008889129</v>
      </c>
      <c r="L23" s="192">
        <f t="shared" si="257"/>
        <v>245.9778378919325</v>
      </c>
      <c r="M23" s="192">
        <f t="shared" si="257"/>
        <v>267.53290690102989</v>
      </c>
      <c r="N23" s="192">
        <f>+N22+N21</f>
        <v>365.39819534780031</v>
      </c>
      <c r="P23" s="192">
        <f t="shared" ref="P23:T23" si="258">+P22+P21</f>
        <v>388.66339554913651</v>
      </c>
      <c r="Q23" s="192">
        <f t="shared" si="258"/>
        <v>396.94808790671993</v>
      </c>
      <c r="R23" s="192">
        <f t="shared" si="258"/>
        <v>427.35674383543443</v>
      </c>
      <c r="S23" s="192">
        <f t="shared" si="258"/>
        <v>442.50444657884248</v>
      </c>
      <c r="T23" s="192">
        <f t="shared" si="258"/>
        <v>451.58845090533225</v>
      </c>
      <c r="U23" s="192">
        <f>+U22+U21</f>
        <v>562.84462126023641</v>
      </c>
      <c r="V23" s="192">
        <f>+V22+V21</f>
        <v>501.21331369082446</v>
      </c>
      <c r="W23" s="192">
        <f t="shared" ref="W23:Z23" si="259">+W22+W21</f>
        <v>506.17418417855839</v>
      </c>
      <c r="X23" s="192">
        <f t="shared" si="259"/>
        <v>560.99279068417593</v>
      </c>
      <c r="Y23" s="192">
        <f t="shared" si="259"/>
        <v>543.08320696367377</v>
      </c>
      <c r="Z23" s="192">
        <f t="shared" si="259"/>
        <v>545.71495214676224</v>
      </c>
      <c r="AA23" s="192">
        <f>+AA22+AA21</f>
        <v>705.22166198639411</v>
      </c>
      <c r="AC23" s="192">
        <f t="shared" ref="AC23:AG23" si="260">+AC22+AC21</f>
        <v>604.66061638049155</v>
      </c>
      <c r="AD23" s="192">
        <f t="shared" si="260"/>
        <v>626.59243839193914</v>
      </c>
      <c r="AE23" s="192">
        <f t="shared" si="260"/>
        <v>695.92070878395111</v>
      </c>
      <c r="AF23" s="192">
        <f t="shared" si="260"/>
        <v>679.77011588213918</v>
      </c>
      <c r="AG23" s="192">
        <f t="shared" si="260"/>
        <v>689.77068390224792</v>
      </c>
      <c r="AH23" s="192">
        <f>+AH22+AH21</f>
        <v>831.72850089840949</v>
      </c>
      <c r="AI23" s="192">
        <f>+AI22+AI21</f>
        <v>688.17939404435447</v>
      </c>
      <c r="AJ23" s="192">
        <f t="shared" ref="AJ23:AM23" si="261">+AJ22+AJ21</f>
        <v>701.97932603703453</v>
      </c>
      <c r="AK23" s="192">
        <f t="shared" si="261"/>
        <v>766.6974856134791</v>
      </c>
      <c r="AL23" s="192">
        <f t="shared" si="261"/>
        <v>725.38878925425138</v>
      </c>
      <c r="AM23" s="192">
        <f t="shared" si="261"/>
        <v>731.34829738852773</v>
      </c>
      <c r="AN23" s="192">
        <f>+AN22+AN21</f>
        <v>890.61263597633501</v>
      </c>
      <c r="AP23" s="192">
        <f t="shared" ref="AP23:AT23" si="262">+AP22+AP21</f>
        <v>742.06977163384386</v>
      </c>
      <c r="AQ23" s="192">
        <f t="shared" si="262"/>
        <v>768.13047648226177</v>
      </c>
      <c r="AR23" s="192">
        <f t="shared" si="262"/>
        <v>820.84436590915993</v>
      </c>
      <c r="AS23" s="192">
        <f t="shared" si="262"/>
        <v>884.67227712433942</v>
      </c>
      <c r="AT23" s="192">
        <f t="shared" si="262"/>
        <v>903.3632429782806</v>
      </c>
      <c r="AU23" s="192">
        <f>+AU22+AU21</f>
        <v>1115.8201207587638</v>
      </c>
      <c r="AV23" s="192">
        <f>+AV22+AV21</f>
        <v>978.57243476505084</v>
      </c>
      <c r="AW23" s="192">
        <f t="shared" ref="AW23:AZ23" si="263">+AW22+AW21</f>
        <v>1023.1643233689962</v>
      </c>
      <c r="AX23" s="192">
        <f t="shared" si="263"/>
        <v>1121.9855813683519</v>
      </c>
      <c r="AY23" s="192">
        <f t="shared" si="263"/>
        <v>1074.0614651254859</v>
      </c>
      <c r="AZ23" s="192">
        <f t="shared" si="263"/>
        <v>1090.0112558670817</v>
      </c>
      <c r="BA23" s="192">
        <f>+BA22+BA21</f>
        <v>1186.6873436550777</v>
      </c>
      <c r="BC23" s="192">
        <f t="shared" ref="BC23:BG23" si="264">+BC22+BC21</f>
        <v>1107.0479711273476</v>
      </c>
      <c r="BD23" s="192">
        <f t="shared" si="264"/>
        <v>1109.0192536314121</v>
      </c>
      <c r="BE23" s="192">
        <f t="shared" si="264"/>
        <v>1143.2728662301815</v>
      </c>
      <c r="BF23" s="192">
        <f t="shared" si="264"/>
        <v>1122.0296450398373</v>
      </c>
      <c r="BG23" s="192">
        <f t="shared" si="264"/>
        <v>1125.9761038799959</v>
      </c>
      <c r="BH23" s="192">
        <f>+BH22+BH21</f>
        <v>1207.1263153652424</v>
      </c>
      <c r="BI23" s="192">
        <f>+BI22+BI21</f>
        <v>1132.4560260307985</v>
      </c>
      <c r="BJ23" s="192">
        <f t="shared" ref="BJ23:BM23" si="265">+BJ22+BJ21</f>
        <v>1138.8275114987523</v>
      </c>
      <c r="BK23" s="192">
        <f t="shared" si="265"/>
        <v>1166.716677847101</v>
      </c>
      <c r="BL23" s="192">
        <f t="shared" si="265"/>
        <v>544.21667784710098</v>
      </c>
      <c r="BM23" s="192">
        <f t="shared" si="265"/>
        <v>0</v>
      </c>
      <c r="BN23" s="192"/>
    </row>
    <row r="24" spans="1:76" ht="16.5" thickBot="1">
      <c r="C24" s="192"/>
      <c r="D24" s="192"/>
      <c r="E24" s="192"/>
      <c r="F24" s="192"/>
      <c r="G24" s="192"/>
      <c r="H24" s="263"/>
      <c r="I24" s="263"/>
      <c r="J24" s="263"/>
      <c r="K24" s="263"/>
      <c r="L24" s="263"/>
      <c r="M24" s="263"/>
      <c r="N24" s="263"/>
      <c r="P24" s="263"/>
      <c r="Q24" s="263"/>
      <c r="R24" s="263"/>
      <c r="S24" s="263"/>
      <c r="T24" s="263"/>
      <c r="U24" s="263"/>
      <c r="V24" s="263"/>
      <c r="W24" s="263"/>
      <c r="X24" s="263"/>
      <c r="Y24" s="263"/>
      <c r="Z24" s="263"/>
      <c r="AA24" s="263"/>
      <c r="AC24" s="263"/>
      <c r="AD24" s="263"/>
      <c r="AE24" s="263"/>
      <c r="AF24" s="263"/>
      <c r="AG24" s="263"/>
      <c r="AH24" s="263"/>
      <c r="AI24" s="263"/>
      <c r="AJ24" s="263"/>
      <c r="AK24" s="263"/>
      <c r="AL24" s="263"/>
      <c r="AM24" s="263"/>
      <c r="AN24" s="263"/>
      <c r="AP24" s="263"/>
      <c r="AQ24" s="263"/>
      <c r="AR24" s="263"/>
      <c r="AS24" s="263"/>
      <c r="AT24" s="263"/>
      <c r="AU24" s="263"/>
      <c r="AV24" s="263"/>
      <c r="AW24" s="263"/>
      <c r="AX24" s="263"/>
      <c r="AY24" s="263"/>
      <c r="AZ24" s="263"/>
      <c r="BA24" s="263"/>
      <c r="BC24" s="263"/>
      <c r="BD24" s="263"/>
      <c r="BE24" s="263"/>
      <c r="BF24" s="263"/>
      <c r="BG24" s="263"/>
      <c r="BH24" s="263"/>
      <c r="BI24" s="263"/>
      <c r="BJ24" s="263"/>
      <c r="BK24" s="263"/>
      <c r="BL24" s="263"/>
      <c r="BM24" s="263"/>
      <c r="BN24" s="263"/>
    </row>
    <row r="25" spans="1:76" ht="16.5" thickBot="1">
      <c r="C25" s="277">
        <v>44927</v>
      </c>
      <c r="D25" s="274">
        <v>44958</v>
      </c>
      <c r="E25" s="274">
        <v>44986</v>
      </c>
      <c r="F25" s="274">
        <v>45017</v>
      </c>
      <c r="G25" s="274">
        <v>45047</v>
      </c>
      <c r="H25" s="274">
        <v>45078</v>
      </c>
      <c r="I25" s="274">
        <v>45108</v>
      </c>
      <c r="J25" s="274">
        <v>45139</v>
      </c>
      <c r="K25" s="274">
        <v>45170</v>
      </c>
      <c r="L25" s="274">
        <v>45200</v>
      </c>
      <c r="M25" s="274">
        <v>45231</v>
      </c>
      <c r="N25" s="275">
        <v>45261</v>
      </c>
      <c r="O25" s="276" t="s">
        <v>520</v>
      </c>
      <c r="P25" s="277">
        <v>45292</v>
      </c>
      <c r="Q25" s="275">
        <v>45323</v>
      </c>
      <c r="R25" s="275">
        <v>45352</v>
      </c>
      <c r="S25" s="275">
        <v>45383</v>
      </c>
      <c r="T25" s="275">
        <v>45413</v>
      </c>
      <c r="U25" s="275">
        <v>45444</v>
      </c>
      <c r="V25" s="275">
        <v>45474</v>
      </c>
      <c r="W25" s="275">
        <v>45505</v>
      </c>
      <c r="X25" s="275">
        <v>45536</v>
      </c>
      <c r="Y25" s="275">
        <v>45566</v>
      </c>
      <c r="Z25" s="275">
        <v>45597</v>
      </c>
      <c r="AA25" s="275">
        <v>45627</v>
      </c>
      <c r="AB25" s="276" t="s">
        <v>521</v>
      </c>
      <c r="AC25" s="275">
        <v>45658</v>
      </c>
      <c r="AD25" s="275">
        <v>45689</v>
      </c>
      <c r="AE25" s="275">
        <v>45717</v>
      </c>
      <c r="AF25" s="275">
        <v>45748</v>
      </c>
      <c r="AG25" s="275">
        <v>45778</v>
      </c>
      <c r="AH25" s="275">
        <v>45809</v>
      </c>
      <c r="AI25" s="275">
        <v>45839</v>
      </c>
      <c r="AJ25" s="275">
        <v>45870</v>
      </c>
      <c r="AK25" s="275">
        <v>45901</v>
      </c>
      <c r="AL25" s="275">
        <v>45931</v>
      </c>
      <c r="AM25" s="275">
        <v>45962</v>
      </c>
      <c r="AN25" s="275">
        <v>45992</v>
      </c>
      <c r="AO25" s="276" t="s">
        <v>522</v>
      </c>
      <c r="AP25" s="275">
        <v>46023</v>
      </c>
      <c r="AQ25" s="275">
        <v>46054</v>
      </c>
      <c r="AR25" s="275">
        <v>46082</v>
      </c>
      <c r="AS25" s="275">
        <v>46113</v>
      </c>
      <c r="AT25" s="275">
        <v>46143</v>
      </c>
      <c r="AU25" s="275">
        <v>46174</v>
      </c>
      <c r="AV25" s="275">
        <v>46204</v>
      </c>
      <c r="AW25" s="275">
        <v>46235</v>
      </c>
      <c r="AX25" s="275">
        <v>46266</v>
      </c>
      <c r="AY25" s="275">
        <v>46296</v>
      </c>
      <c r="AZ25" s="275">
        <v>46327</v>
      </c>
      <c r="BA25" s="275">
        <v>46357</v>
      </c>
      <c r="BB25" s="276" t="s">
        <v>523</v>
      </c>
      <c r="BC25" s="275">
        <v>46388</v>
      </c>
      <c r="BD25" s="275">
        <v>46419</v>
      </c>
      <c r="BE25" s="275">
        <v>46447</v>
      </c>
      <c r="BF25" s="275">
        <v>46478</v>
      </c>
      <c r="BG25" s="275">
        <v>46508</v>
      </c>
      <c r="BH25" s="275">
        <v>46539</v>
      </c>
      <c r="BI25" s="275">
        <v>46569</v>
      </c>
      <c r="BJ25" s="275">
        <v>46600</v>
      </c>
      <c r="BK25" s="275">
        <v>46631</v>
      </c>
      <c r="BL25" s="275">
        <v>46661</v>
      </c>
      <c r="BM25" s="275">
        <v>46692</v>
      </c>
      <c r="BN25" s="275">
        <v>46722</v>
      </c>
    </row>
    <row r="26" spans="1:76" ht="16.5" thickBot="1">
      <c r="A26" s="297" t="s">
        <v>454</v>
      </c>
      <c r="B26" s="297"/>
      <c r="C26" s="396">
        <v>0</v>
      </c>
      <c r="D26" s="396">
        <v>0</v>
      </c>
      <c r="E26" s="396">
        <v>0</v>
      </c>
      <c r="F26" s="396">
        <v>0</v>
      </c>
      <c r="G26" s="396">
        <v>0</v>
      </c>
      <c r="H26" s="396">
        <v>0</v>
      </c>
      <c r="I26" s="396">
        <v>2.9399515984343694</v>
      </c>
      <c r="J26" s="396">
        <v>4.703922557494991</v>
      </c>
      <c r="K26" s="396">
        <v>8.2318644756162342</v>
      </c>
      <c r="L26" s="396">
        <v>11.171816074050604</v>
      </c>
      <c r="M26" s="396">
        <v>13.523777352798099</v>
      </c>
      <c r="N26" s="396">
        <v>18.22769991029309</v>
      </c>
      <c r="O26" s="397">
        <f>+'Cost (Swiffer Glove)'!Z48</f>
        <v>58.799031968687387</v>
      </c>
      <c r="P26" s="396">
        <v>432.50056388951549</v>
      </c>
      <c r="Q26" s="396">
        <v>470.00057222285773</v>
      </c>
      <c r="R26" s="396">
        <v>642.0007133341262</v>
      </c>
      <c r="S26" s="396">
        <v>562.50065000072254</v>
      </c>
      <c r="T26" s="396">
        <v>566.25006500007225</v>
      </c>
      <c r="U26" s="396">
        <v>570.00065000072254</v>
      </c>
      <c r="V26" s="396">
        <v>620.00070555633965</v>
      </c>
      <c r="W26" s="396">
        <v>635.00070555633954</v>
      </c>
      <c r="X26" s="396">
        <v>831.00092333435919</v>
      </c>
      <c r="Y26" s="396">
        <v>707.25</v>
      </c>
      <c r="Z26" s="396">
        <v>711.66745740828605</v>
      </c>
      <c r="AA26" s="396">
        <v>751.66750185277988</v>
      </c>
      <c r="AB26" s="397">
        <v>7500</v>
      </c>
      <c r="AC26" s="396">
        <v>755.99999999999966</v>
      </c>
      <c r="AD26" s="396">
        <v>759.37499999999977</v>
      </c>
      <c r="AE26" s="396">
        <v>1030.2895322939864</v>
      </c>
      <c r="AF26" s="396">
        <v>850.880667462681</v>
      </c>
      <c r="AG26" s="396">
        <v>888.74999999999977</v>
      </c>
      <c r="AH26" s="396">
        <v>932.62499999999966</v>
      </c>
      <c r="AI26" s="396">
        <v>956.29175946547878</v>
      </c>
      <c r="AJ26" s="396">
        <v>962.97327394209344</v>
      </c>
      <c r="AK26" s="396">
        <v>1201.670378619154</v>
      </c>
      <c r="AL26" s="396">
        <v>940.47327394209299</v>
      </c>
      <c r="AM26" s="396">
        <v>962.97327394209344</v>
      </c>
      <c r="AN26" s="396">
        <v>1008.0691815096817</v>
      </c>
      <c r="AO26" s="397">
        <v>11249.999999999996</v>
      </c>
      <c r="AP26" s="396">
        <v>1011</v>
      </c>
      <c r="AQ26" s="396">
        <v>1015.0011444457155</v>
      </c>
      <c r="AR26" s="396">
        <v>1284.0014266682524</v>
      </c>
      <c r="AS26" s="396">
        <v>1020.0000000000001</v>
      </c>
      <c r="AT26" s="396">
        <v>1065.0013000014449</v>
      </c>
      <c r="AU26" s="396">
        <v>1080.0013000014449</v>
      </c>
      <c r="AV26" s="396">
        <v>1270.0014111126791</v>
      </c>
      <c r="AW26" s="396">
        <v>1290</v>
      </c>
      <c r="AX26" s="396">
        <v>1662.0018466687184</v>
      </c>
      <c r="AY26" s="396">
        <v>1363.5</v>
      </c>
      <c r="AZ26" s="396">
        <v>1436.6682629647366</v>
      </c>
      <c r="BA26" s="396">
        <v>1503.3350037055598</v>
      </c>
      <c r="BB26" s="397">
        <v>15000</v>
      </c>
      <c r="BC26" s="396">
        <v>9032.5</v>
      </c>
      <c r="BD26" s="396">
        <v>9074.109749999996</v>
      </c>
      <c r="BE26" s="396">
        <v>9985.1383479602264</v>
      </c>
      <c r="BF26" s="396">
        <v>9135</v>
      </c>
      <c r="BG26" s="396">
        <v>9143.828395797882</v>
      </c>
      <c r="BH26" s="396">
        <v>9242.4506274987634</v>
      </c>
      <c r="BI26" s="396">
        <v>9264.375</v>
      </c>
      <c r="BJ26" s="396">
        <v>9303.75</v>
      </c>
      <c r="BK26" s="396">
        <v>10137.570301580694</v>
      </c>
      <c r="BL26" s="396">
        <v>9337.5</v>
      </c>
      <c r="BM26" s="396">
        <v>9393.75</v>
      </c>
      <c r="BN26" s="396">
        <v>9447.2212950180001</v>
      </c>
      <c r="BO26" s="276" t="s">
        <v>524</v>
      </c>
    </row>
    <row r="27" spans="1:76" s="301" customFormat="1" ht="15" customHeight="1">
      <c r="A27" s="297" t="s">
        <v>455</v>
      </c>
      <c r="B27" s="297"/>
      <c r="C27" s="396">
        <v>0</v>
      </c>
      <c r="D27" s="396">
        <v>0</v>
      </c>
      <c r="E27" s="396">
        <v>0</v>
      </c>
      <c r="F27" s="396">
        <v>0</v>
      </c>
      <c r="G27" s="396">
        <v>0</v>
      </c>
      <c r="H27" s="396">
        <v>0</v>
      </c>
      <c r="I27" s="396">
        <v>17.639709590606216</v>
      </c>
      <c r="J27" s="396">
        <v>28.223535344969946</v>
      </c>
      <c r="K27" s="396">
        <v>49.391186853697413</v>
      </c>
      <c r="L27" s="396">
        <v>67.030896444303622</v>
      </c>
      <c r="M27" s="396">
        <v>81.142664116788595</v>
      </c>
      <c r="N27" s="396">
        <v>109.36619946175854</v>
      </c>
      <c r="O27" s="397">
        <f>+'Cost (Swiffer Glove)'!Z49</f>
        <v>352.79419181212432</v>
      </c>
      <c r="P27" s="396">
        <v>2595.0033833370931</v>
      </c>
      <c r="Q27" s="396">
        <v>2820.0034333371464</v>
      </c>
      <c r="R27" s="396">
        <v>3852.0042800047572</v>
      </c>
      <c r="S27" s="396">
        <v>3375.0039000043348</v>
      </c>
      <c r="T27" s="396">
        <v>3397.5003900004335</v>
      </c>
      <c r="U27" s="396">
        <v>3420.0039000043348</v>
      </c>
      <c r="V27" s="396">
        <v>3720.0042333380384</v>
      </c>
      <c r="W27" s="396">
        <v>3810.004233338037</v>
      </c>
      <c r="X27" s="396">
        <v>4986.0055400061547</v>
      </c>
      <c r="Y27" s="396">
        <v>4243.5</v>
      </c>
      <c r="Z27" s="396">
        <v>4270.0047444497159</v>
      </c>
      <c r="AA27" s="396">
        <v>4510.0050111166793</v>
      </c>
      <c r="AB27" s="397">
        <v>45000</v>
      </c>
      <c r="AC27" s="396">
        <v>4535.9999999999991</v>
      </c>
      <c r="AD27" s="396">
        <v>4556.2499999999991</v>
      </c>
      <c r="AE27" s="396">
        <v>6181.7371937639191</v>
      </c>
      <c r="AF27" s="396">
        <v>5105.2840047760865</v>
      </c>
      <c r="AG27" s="396">
        <v>5332.4999999999991</v>
      </c>
      <c r="AH27" s="396">
        <v>5595.7499999999991</v>
      </c>
      <c r="AI27" s="396">
        <v>5737.7505567928729</v>
      </c>
      <c r="AJ27" s="396">
        <v>5777.8396436525618</v>
      </c>
      <c r="AK27" s="396">
        <v>7210.0222717149254</v>
      </c>
      <c r="AL27" s="396">
        <v>5642.8396436525591</v>
      </c>
      <c r="AM27" s="396">
        <v>5777.8396436525618</v>
      </c>
      <c r="AN27" s="396">
        <v>6048.4150890580904</v>
      </c>
      <c r="AO27" s="397">
        <v>67499.999999999985</v>
      </c>
      <c r="AP27" s="396">
        <v>6066</v>
      </c>
      <c r="AQ27" s="396">
        <v>6090.0068666742927</v>
      </c>
      <c r="AR27" s="396">
        <v>7704.0085600095144</v>
      </c>
      <c r="AS27" s="396">
        <v>6120</v>
      </c>
      <c r="AT27" s="396">
        <v>6390.0078000086696</v>
      </c>
      <c r="AU27" s="396">
        <v>6480.0078000086696</v>
      </c>
      <c r="AV27" s="396">
        <v>7620.008466676074</v>
      </c>
      <c r="AW27" s="396">
        <v>7739.9999999999991</v>
      </c>
      <c r="AX27" s="396">
        <v>9972.0110800123093</v>
      </c>
      <c r="AY27" s="396">
        <v>8180.9999999999991</v>
      </c>
      <c r="AZ27" s="396">
        <v>8620.0095777884198</v>
      </c>
      <c r="BA27" s="396">
        <v>9020.0100222333585</v>
      </c>
      <c r="BB27" s="397">
        <v>90000</v>
      </c>
      <c r="BC27" s="396">
        <v>9032.5</v>
      </c>
      <c r="BD27" s="396">
        <v>9074.109749999996</v>
      </c>
      <c r="BE27" s="396">
        <v>9985.1383479602264</v>
      </c>
      <c r="BF27" s="396">
        <v>9135</v>
      </c>
      <c r="BG27" s="396">
        <v>9143.828395797882</v>
      </c>
      <c r="BH27" s="396">
        <v>9242.4506274987634</v>
      </c>
      <c r="BI27" s="396">
        <v>9264.375</v>
      </c>
      <c r="BJ27" s="396">
        <v>9303.75</v>
      </c>
      <c r="BK27" s="396">
        <v>10137.570301580694</v>
      </c>
      <c r="BL27" s="396">
        <v>9337.5</v>
      </c>
      <c r="BM27" s="396">
        <v>9393.75</v>
      </c>
      <c r="BN27" s="396">
        <v>9447.2212950180001</v>
      </c>
      <c r="BO27" s="397">
        <v>18750</v>
      </c>
    </row>
    <row r="28" spans="1:76" s="301" customFormat="1">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s="397">
        <v>112500</v>
      </c>
    </row>
    <row r="29" spans="1:76" ht="16.5" thickBot="1">
      <c r="AI29" t="e">
        <f ca="1">AK4+AK6-AJ6-0.95*AJ12</f>
        <v>#NAME?</v>
      </c>
      <c r="AQ29" t="e">
        <f ca="1">(AR4+AR6-AQ6)-0.95*AQ12</f>
        <v>#NAME?</v>
      </c>
      <c r="AW29" t="e">
        <f ca="1">AX4+AX6-AW6-0.95*AW12</f>
        <v>#NAME?</v>
      </c>
    </row>
    <row r="30" spans="1:76">
      <c r="A30" s="281" t="s">
        <v>556</v>
      </c>
      <c r="B30" s="39"/>
    </row>
    <row r="31" spans="1:76">
      <c r="A31" s="284" t="s">
        <v>557</v>
      </c>
      <c r="B31" s="39"/>
      <c r="AC31" s="192"/>
    </row>
    <row r="32" spans="1:76" ht="16.5" thickBot="1"/>
    <row r="33" spans="1:62" ht="16.5" thickBot="1">
      <c r="A33" t="s">
        <v>576</v>
      </c>
      <c r="C33" s="277">
        <v>44927</v>
      </c>
      <c r="D33" s="274">
        <v>44958</v>
      </c>
      <c r="E33" s="274">
        <v>44986</v>
      </c>
      <c r="F33" s="274">
        <v>45017</v>
      </c>
      <c r="G33" s="274">
        <v>45047</v>
      </c>
      <c r="H33" s="274">
        <v>45078</v>
      </c>
      <c r="I33" s="274">
        <v>45108</v>
      </c>
      <c r="J33" s="274">
        <v>45139</v>
      </c>
      <c r="K33" s="274">
        <v>45170</v>
      </c>
      <c r="L33" s="274">
        <v>45200</v>
      </c>
      <c r="M33" s="274">
        <v>45231</v>
      </c>
      <c r="N33" s="275">
        <v>45261</v>
      </c>
      <c r="O33" s="277">
        <v>45292</v>
      </c>
      <c r="P33" s="275">
        <v>45323</v>
      </c>
      <c r="Q33" s="275">
        <v>45352</v>
      </c>
      <c r="R33" s="275">
        <v>45383</v>
      </c>
      <c r="S33" s="275">
        <v>45413</v>
      </c>
      <c r="T33" s="275">
        <v>45444</v>
      </c>
      <c r="U33" s="275">
        <v>45474</v>
      </c>
      <c r="V33" s="275">
        <v>45505</v>
      </c>
      <c r="W33" s="275">
        <v>45536</v>
      </c>
      <c r="X33" s="275">
        <v>45566</v>
      </c>
      <c r="Y33" s="275">
        <v>45597</v>
      </c>
      <c r="Z33" s="275">
        <v>45627</v>
      </c>
      <c r="AA33" s="275">
        <v>45658</v>
      </c>
      <c r="AB33" s="275">
        <v>45689</v>
      </c>
      <c r="AC33" s="275">
        <v>45717</v>
      </c>
      <c r="AD33" s="275">
        <v>45748</v>
      </c>
      <c r="AE33" s="275">
        <v>45778</v>
      </c>
      <c r="AF33" s="275">
        <v>45809</v>
      </c>
      <c r="AG33" s="275">
        <v>45839</v>
      </c>
      <c r="AH33" s="275">
        <v>45870</v>
      </c>
      <c r="AI33" s="275">
        <v>45901</v>
      </c>
      <c r="AJ33" s="275">
        <v>45931</v>
      </c>
      <c r="AK33" s="275">
        <v>45962</v>
      </c>
      <c r="AL33" s="275">
        <v>45992</v>
      </c>
      <c r="AM33" s="275">
        <v>46023</v>
      </c>
      <c r="AN33" s="275">
        <v>46054</v>
      </c>
      <c r="AO33" s="275">
        <v>46082</v>
      </c>
      <c r="AP33" s="275">
        <v>46113</v>
      </c>
      <c r="AQ33" s="275">
        <v>46143</v>
      </c>
      <c r="AR33" s="275">
        <v>46174</v>
      </c>
      <c r="AS33" s="275">
        <v>46204</v>
      </c>
      <c r="AT33" s="275">
        <v>46235</v>
      </c>
      <c r="AU33" s="275">
        <v>46266</v>
      </c>
      <c r="AV33" s="275">
        <v>46296</v>
      </c>
      <c r="AW33" s="275">
        <v>46327</v>
      </c>
      <c r="AX33" s="275">
        <v>46357</v>
      </c>
      <c r="AY33" s="275">
        <v>46388</v>
      </c>
      <c r="AZ33" s="275">
        <v>46419</v>
      </c>
      <c r="BA33" s="275">
        <v>46447</v>
      </c>
      <c r="BB33" s="275">
        <v>46478</v>
      </c>
      <c r="BC33" s="275">
        <v>46508</v>
      </c>
      <c r="BD33" s="275">
        <v>46539</v>
      </c>
      <c r="BE33" s="275">
        <v>46569</v>
      </c>
      <c r="BF33" s="275">
        <v>46600</v>
      </c>
      <c r="BG33" s="275">
        <v>46631</v>
      </c>
      <c r="BH33" s="275">
        <v>46661</v>
      </c>
      <c r="BI33" s="275">
        <v>46692</v>
      </c>
      <c r="BJ33" s="275">
        <v>46722</v>
      </c>
    </row>
    <row r="34" spans="1:62">
      <c r="A34" t="s">
        <v>716</v>
      </c>
      <c r="C34" s="186">
        <f t="shared" ref="C34:H34" si="266">HLOOKUP(C33,$C$2:$BO$16,13,0)</f>
        <v>0</v>
      </c>
      <c r="D34" s="186">
        <f t="shared" si="266"/>
        <v>0</v>
      </c>
      <c r="E34" s="186">
        <f t="shared" si="266"/>
        <v>0</v>
      </c>
      <c r="F34" s="186">
        <f t="shared" si="266"/>
        <v>0</v>
      </c>
      <c r="G34" s="186">
        <f t="shared" si="266"/>
        <v>0</v>
      </c>
      <c r="H34" s="186">
        <f t="shared" si="266"/>
        <v>0</v>
      </c>
      <c r="I34" s="186">
        <f>HLOOKUP(I33,$C$2:$BO$16,13,0)</f>
        <v>3.5279419181212432</v>
      </c>
      <c r="J34" s="186">
        <f t="shared" ref="J34:BJ34" si="267">HLOOKUP(J33,$C$2:$BO$16,13,0)</f>
        <v>5.6447070689939896</v>
      </c>
      <c r="K34" s="186">
        <f t="shared" si="267"/>
        <v>9.8782373707394822</v>
      </c>
      <c r="L34" s="186">
        <f t="shared" si="267"/>
        <v>13.406179288860724</v>
      </c>
      <c r="M34" s="186">
        <f t="shared" si="267"/>
        <v>16.228532823357721</v>
      </c>
      <c r="N34" s="186">
        <f t="shared" si="267"/>
        <v>21.873239892351709</v>
      </c>
      <c r="O34" s="186">
        <f t="shared" si="267"/>
        <v>519.00067666741859</v>
      </c>
      <c r="P34" s="186">
        <f t="shared" si="267"/>
        <v>564.00068666742925</v>
      </c>
      <c r="Q34" s="186">
        <f t="shared" si="267"/>
        <v>770.40085600095142</v>
      </c>
      <c r="R34" s="186">
        <f t="shared" si="267"/>
        <v>675.00078000086694</v>
      </c>
      <c r="S34" s="186">
        <f t="shared" si="267"/>
        <v>679.50007800008677</v>
      </c>
      <c r="T34" s="186">
        <f t="shared" si="267"/>
        <v>684.00078000086705</v>
      </c>
      <c r="U34" s="186">
        <f t="shared" si="267"/>
        <v>744.00084666760768</v>
      </c>
      <c r="V34" s="186">
        <f t="shared" si="267"/>
        <v>762.00084666760745</v>
      </c>
      <c r="W34" s="186">
        <f t="shared" si="267"/>
        <v>997.20110800123098</v>
      </c>
      <c r="X34" s="186">
        <f t="shared" si="267"/>
        <v>848.69999999999993</v>
      </c>
      <c r="Y34" s="186">
        <f t="shared" si="267"/>
        <v>854.00094888994317</v>
      </c>
      <c r="Z34" s="186">
        <f t="shared" si="267"/>
        <v>902.00100222333583</v>
      </c>
      <c r="AA34" s="186">
        <f t="shared" si="267"/>
        <v>905.18399999999974</v>
      </c>
      <c r="AB34" s="186">
        <f t="shared" si="267"/>
        <v>909.2249999999998</v>
      </c>
      <c r="AC34" s="186">
        <f t="shared" si="267"/>
        <v>1233.5999999999997</v>
      </c>
      <c r="AD34" s="186">
        <f t="shared" si="267"/>
        <v>1018.7877858419835</v>
      </c>
      <c r="AE34" s="186">
        <f t="shared" si="267"/>
        <v>1064.1299999999997</v>
      </c>
      <c r="AF34" s="186">
        <f t="shared" si="267"/>
        <v>1116.6629999999998</v>
      </c>
      <c r="AG34" s="186">
        <f t="shared" si="267"/>
        <v>1145</v>
      </c>
      <c r="AH34" s="186">
        <f t="shared" si="267"/>
        <v>1153</v>
      </c>
      <c r="AI34" s="186">
        <f t="shared" si="267"/>
        <v>1438.8000000000006</v>
      </c>
      <c r="AJ34" s="186">
        <f t="shared" si="267"/>
        <v>1126.0599999999995</v>
      </c>
      <c r="AK34" s="186">
        <f t="shared" si="267"/>
        <v>1153</v>
      </c>
      <c r="AL34" s="186">
        <f t="shared" si="267"/>
        <v>1206.9948333275922</v>
      </c>
      <c r="AM34" s="186">
        <f t="shared" si="267"/>
        <v>1213.2</v>
      </c>
      <c r="AN34" s="186">
        <f t="shared" si="267"/>
        <v>1218.0013733348585</v>
      </c>
      <c r="AO34" s="186">
        <f t="shared" si="267"/>
        <v>1540.8017120019028</v>
      </c>
      <c r="AP34" s="186">
        <f t="shared" si="267"/>
        <v>1224</v>
      </c>
      <c r="AQ34" s="186">
        <f t="shared" si="267"/>
        <v>1278.0015600017339</v>
      </c>
      <c r="AR34" s="186">
        <f t="shared" si="267"/>
        <v>1296.0015600017339</v>
      </c>
      <c r="AS34" s="186">
        <f t="shared" si="267"/>
        <v>1524.0016933352149</v>
      </c>
      <c r="AT34" s="186">
        <f t="shared" si="267"/>
        <v>1547.9999999999998</v>
      </c>
      <c r="AU34" s="186">
        <f t="shared" si="267"/>
        <v>1994.402216002462</v>
      </c>
      <c r="AV34" s="186">
        <f t="shared" si="267"/>
        <v>1636.1999999999998</v>
      </c>
      <c r="AW34" s="186">
        <f t="shared" si="267"/>
        <v>1724.001915557684</v>
      </c>
      <c r="AX34" s="186">
        <f t="shared" si="267"/>
        <v>1804.0020044466717</v>
      </c>
      <c r="AY34" s="186">
        <f t="shared" si="267"/>
        <v>1806.5000000000002</v>
      </c>
      <c r="AZ34" s="186">
        <f t="shared" si="267"/>
        <v>1814.8219499999993</v>
      </c>
      <c r="BA34" s="186">
        <f t="shared" si="267"/>
        <v>1997.0276695920452</v>
      </c>
      <c r="BB34" s="186">
        <f t="shared" si="267"/>
        <v>1826.9999999999998</v>
      </c>
      <c r="BC34" s="186">
        <f t="shared" si="267"/>
        <v>1828.7656791595764</v>
      </c>
      <c r="BD34" s="186">
        <f t="shared" si="267"/>
        <v>1848.4901254997528</v>
      </c>
      <c r="BE34" s="186">
        <f t="shared" si="267"/>
        <v>1852.8750000000002</v>
      </c>
      <c r="BF34" s="186">
        <f t="shared" si="267"/>
        <v>1860.75</v>
      </c>
      <c r="BG34" s="186">
        <f t="shared" si="267"/>
        <v>2027.5140603161387</v>
      </c>
      <c r="BH34" s="186">
        <f t="shared" si="267"/>
        <v>1867.5</v>
      </c>
      <c r="BI34" s="186">
        <f t="shared" si="267"/>
        <v>1878.75</v>
      </c>
      <c r="BJ34" s="186">
        <f t="shared" si="267"/>
        <v>1889.4442590036001</v>
      </c>
    </row>
    <row r="35" spans="1:62">
      <c r="A35" t="s">
        <v>722</v>
      </c>
      <c r="C35" s="186">
        <f>HLOOKUP(C33,$C$2:$BO$16,11,0)</f>
        <v>50</v>
      </c>
      <c r="D35" s="186">
        <f t="shared" ref="D35:BI35" si="268">HLOOKUP(D33,$C$2:$BO$16,11,0)</f>
        <v>50</v>
      </c>
      <c r="E35" s="186">
        <f t="shared" si="268"/>
        <v>50</v>
      </c>
      <c r="F35" s="186">
        <f t="shared" si="268"/>
        <v>50</v>
      </c>
      <c r="G35" s="186">
        <f t="shared" si="268"/>
        <v>50</v>
      </c>
      <c r="H35" s="186">
        <f t="shared" si="268"/>
        <v>50</v>
      </c>
      <c r="I35" s="186">
        <f t="shared" si="268"/>
        <v>50</v>
      </c>
      <c r="J35" s="186">
        <f t="shared" si="268"/>
        <v>50</v>
      </c>
      <c r="K35" s="186">
        <f t="shared" si="268"/>
        <v>50</v>
      </c>
      <c r="L35" s="186">
        <f t="shared" si="268"/>
        <v>50</v>
      </c>
      <c r="M35" s="186">
        <f t="shared" si="268"/>
        <v>50</v>
      </c>
      <c r="N35" s="186">
        <f t="shared" si="268"/>
        <v>750</v>
      </c>
      <c r="O35" s="186">
        <f t="shared" si="268"/>
        <v>750</v>
      </c>
      <c r="P35" s="186">
        <f t="shared" si="268"/>
        <v>750</v>
      </c>
      <c r="Q35" s="186">
        <f t="shared" si="268"/>
        <v>750</v>
      </c>
      <c r="R35" s="186">
        <f t="shared" si="268"/>
        <v>750</v>
      </c>
      <c r="S35" s="186">
        <f t="shared" si="268"/>
        <v>750</v>
      </c>
      <c r="T35" s="186">
        <f t="shared" si="268"/>
        <v>1500</v>
      </c>
      <c r="U35" s="186">
        <f t="shared" si="268"/>
        <v>1500</v>
      </c>
      <c r="V35" s="186">
        <f t="shared" si="268"/>
        <v>1500</v>
      </c>
      <c r="W35" s="186">
        <f t="shared" si="268"/>
        <v>1500</v>
      </c>
      <c r="X35" s="186">
        <f t="shared" si="268"/>
        <v>1500</v>
      </c>
      <c r="Y35" s="186">
        <f t="shared" si="268"/>
        <v>1500</v>
      </c>
      <c r="Z35" s="186">
        <f t="shared" si="268"/>
        <v>1500</v>
      </c>
      <c r="AA35" s="186">
        <f t="shared" si="268"/>
        <v>1500</v>
      </c>
      <c r="AB35" s="186">
        <f t="shared" si="268"/>
        <v>1500</v>
      </c>
      <c r="AC35" s="186">
        <f t="shared" si="268"/>
        <v>1500</v>
      </c>
      <c r="AD35" s="186">
        <f t="shared" si="268"/>
        <v>1500</v>
      </c>
      <c r="AE35" s="186">
        <f t="shared" si="268"/>
        <v>1500</v>
      </c>
      <c r="AF35" s="186">
        <f t="shared" si="268"/>
        <v>1500</v>
      </c>
      <c r="AG35" s="186">
        <f t="shared" si="268"/>
        <v>1500</v>
      </c>
      <c r="AH35" s="186">
        <f t="shared" si="268"/>
        <v>1500</v>
      </c>
      <c r="AI35" s="186">
        <f t="shared" si="268"/>
        <v>1500</v>
      </c>
      <c r="AJ35" s="186">
        <f t="shared" si="268"/>
        <v>1500</v>
      </c>
      <c r="AK35" s="186">
        <f t="shared" si="268"/>
        <v>1500</v>
      </c>
      <c r="AL35" s="186">
        <f t="shared" si="268"/>
        <v>1500</v>
      </c>
      <c r="AM35" s="186">
        <f t="shared" si="268"/>
        <v>1500</v>
      </c>
      <c r="AN35" s="186">
        <f t="shared" si="268"/>
        <v>1500</v>
      </c>
      <c r="AO35" s="186">
        <f t="shared" si="268"/>
        <v>1500</v>
      </c>
      <c r="AP35" s="186">
        <f t="shared" si="268"/>
        <v>1500</v>
      </c>
      <c r="AQ35" s="186">
        <f t="shared" si="268"/>
        <v>1500</v>
      </c>
      <c r="AR35" s="186">
        <f t="shared" si="268"/>
        <v>2250</v>
      </c>
      <c r="AS35" s="186">
        <f t="shared" si="268"/>
        <v>2250</v>
      </c>
      <c r="AT35" s="186">
        <f t="shared" si="268"/>
        <v>2250</v>
      </c>
      <c r="AU35" s="186">
        <f t="shared" si="268"/>
        <v>2250</v>
      </c>
      <c r="AV35" s="186">
        <f t="shared" si="268"/>
        <v>2250</v>
      </c>
      <c r="AW35" s="186">
        <f t="shared" si="268"/>
        <v>2250</v>
      </c>
      <c r="AX35" s="186">
        <f t="shared" si="268"/>
        <v>2250</v>
      </c>
      <c r="AY35" s="186">
        <f t="shared" si="268"/>
        <v>2250</v>
      </c>
      <c r="AZ35" s="186">
        <f t="shared" si="268"/>
        <v>2250</v>
      </c>
      <c r="BA35" s="186">
        <f t="shared" si="268"/>
        <v>2250</v>
      </c>
      <c r="BB35" s="186">
        <f t="shared" si="268"/>
        <v>2250</v>
      </c>
      <c r="BC35" s="186">
        <f t="shared" si="268"/>
        <v>2250</v>
      </c>
      <c r="BD35" s="186">
        <f t="shared" si="268"/>
        <v>2250</v>
      </c>
      <c r="BE35" s="186">
        <f t="shared" si="268"/>
        <v>2250</v>
      </c>
      <c r="BF35" s="186">
        <f t="shared" si="268"/>
        <v>2250</v>
      </c>
      <c r="BG35" s="186">
        <f t="shared" si="268"/>
        <v>2250</v>
      </c>
      <c r="BH35" s="186">
        <f t="shared" si="268"/>
        <v>2250</v>
      </c>
      <c r="BI35" s="186">
        <f t="shared" si="268"/>
        <v>2250</v>
      </c>
    </row>
    <row r="36" spans="1:62" ht="16.5" thickBot="1"/>
    <row r="37" spans="1:62" ht="16.5" thickBot="1">
      <c r="A37" t="s">
        <v>576</v>
      </c>
      <c r="C37" s="277">
        <v>44927</v>
      </c>
      <c r="D37" s="274">
        <v>44958</v>
      </c>
      <c r="E37" s="274">
        <v>44986</v>
      </c>
      <c r="F37" s="274">
        <v>45017</v>
      </c>
      <c r="G37" s="274">
        <v>45047</v>
      </c>
      <c r="H37" s="274">
        <v>45078</v>
      </c>
      <c r="I37" s="274">
        <v>45108</v>
      </c>
      <c r="J37" s="274">
        <v>45139</v>
      </c>
      <c r="K37" s="274">
        <v>45170</v>
      </c>
      <c r="L37" s="274">
        <v>45200</v>
      </c>
      <c r="M37" s="274">
        <v>45231</v>
      </c>
      <c r="N37" s="275">
        <v>45261</v>
      </c>
      <c r="O37" s="277">
        <v>45292</v>
      </c>
      <c r="P37" s="275">
        <v>45323</v>
      </c>
      <c r="Q37" s="275">
        <v>45352</v>
      </c>
      <c r="R37" s="275">
        <v>45383</v>
      </c>
      <c r="S37" s="275">
        <v>45413</v>
      </c>
      <c r="T37" s="275">
        <v>45444</v>
      </c>
      <c r="U37" s="275">
        <v>45474</v>
      </c>
      <c r="V37" s="275">
        <v>45505</v>
      </c>
      <c r="W37" s="275">
        <v>45536</v>
      </c>
      <c r="X37" s="275">
        <v>45566</v>
      </c>
      <c r="Y37" s="275">
        <v>45597</v>
      </c>
      <c r="Z37" s="275">
        <v>45627</v>
      </c>
      <c r="AA37" s="275">
        <v>45658</v>
      </c>
      <c r="AB37" s="275">
        <v>45689</v>
      </c>
      <c r="AC37" s="275">
        <v>45717</v>
      </c>
      <c r="AD37" s="275">
        <v>45748</v>
      </c>
      <c r="AE37" s="275">
        <v>45778</v>
      </c>
      <c r="AF37" s="275">
        <v>45809</v>
      </c>
      <c r="AG37" s="275">
        <v>45839</v>
      </c>
      <c r="AH37" s="275">
        <v>45870</v>
      </c>
      <c r="AI37" s="275">
        <v>45901</v>
      </c>
      <c r="AJ37" s="275">
        <v>45931</v>
      </c>
      <c r="AK37" s="275">
        <v>45962</v>
      </c>
      <c r="AL37" s="275">
        <v>45992</v>
      </c>
      <c r="AM37" s="275">
        <v>46023</v>
      </c>
      <c r="AN37" s="275">
        <v>46054</v>
      </c>
      <c r="AO37" s="275">
        <v>46082</v>
      </c>
      <c r="AP37" s="275">
        <v>46113</v>
      </c>
      <c r="AQ37" s="275">
        <v>46143</v>
      </c>
      <c r="AR37" s="275">
        <v>46174</v>
      </c>
      <c r="AS37" s="275">
        <v>46204</v>
      </c>
      <c r="AT37" s="275">
        <v>46235</v>
      </c>
      <c r="AU37" s="275">
        <v>46266</v>
      </c>
      <c r="AV37" s="275">
        <v>46296</v>
      </c>
      <c r="AW37" s="275">
        <v>46327</v>
      </c>
      <c r="AX37" s="275">
        <v>46357</v>
      </c>
      <c r="AY37" s="275">
        <v>46388</v>
      </c>
      <c r="AZ37" s="275">
        <v>46419</v>
      </c>
      <c r="BA37" s="275">
        <v>46447</v>
      </c>
      <c r="BB37" s="275">
        <v>46478</v>
      </c>
      <c r="BC37" s="275">
        <v>46508</v>
      </c>
      <c r="BD37" s="275">
        <v>46539</v>
      </c>
      <c r="BE37" s="275">
        <v>46569</v>
      </c>
      <c r="BF37" s="275">
        <v>46600</v>
      </c>
      <c r="BG37" s="275">
        <v>46631</v>
      </c>
      <c r="BH37" s="275">
        <v>46661</v>
      </c>
      <c r="BI37" s="275">
        <v>46692</v>
      </c>
      <c r="BJ37" s="275">
        <v>46722</v>
      </c>
    </row>
    <row r="38" spans="1:62">
      <c r="A38" t="s">
        <v>716</v>
      </c>
      <c r="C38" s="186">
        <f t="shared" ref="C38" si="269">HLOOKUP(C37,$C$2:$BO$16,13,0)</f>
        <v>0</v>
      </c>
      <c r="D38" s="186">
        <f t="shared" ref="D38" si="270">HLOOKUP(D37,$C$2:$BO$16,13,0)</f>
        <v>0</v>
      </c>
      <c r="E38" s="186">
        <f t="shared" ref="E38" si="271">HLOOKUP(E37,$C$2:$BO$16,13,0)</f>
        <v>0</v>
      </c>
      <c r="F38" s="186">
        <f t="shared" ref="F38" si="272">HLOOKUP(F37,$C$2:$BO$16,13,0)</f>
        <v>0</v>
      </c>
      <c r="G38" s="186">
        <f t="shared" ref="G38" si="273">HLOOKUP(G37,$C$2:$BO$16,13,0)</f>
        <v>0</v>
      </c>
      <c r="H38" s="186">
        <f t="shared" ref="H38" si="274">HLOOKUP(H37,$C$2:$BO$16,13,0)</f>
        <v>0</v>
      </c>
      <c r="I38" s="186">
        <f>HLOOKUP(I37,$C$2:$BO$16,13,0)</f>
        <v>3.5279419181212432</v>
      </c>
      <c r="J38" s="186">
        <f t="shared" ref="J38" si="275">HLOOKUP(J37,$C$2:$BO$16,13,0)</f>
        <v>5.6447070689939896</v>
      </c>
      <c r="K38" s="186">
        <f t="shared" ref="K38" si="276">HLOOKUP(K37,$C$2:$BO$16,13,0)</f>
        <v>9.8782373707394822</v>
      </c>
      <c r="L38" s="186">
        <f t="shared" ref="L38" si="277">HLOOKUP(L37,$C$2:$BO$16,13,0)</f>
        <v>13.406179288860724</v>
      </c>
      <c r="M38" s="186">
        <f t="shared" ref="M38" si="278">HLOOKUP(M37,$C$2:$BO$16,13,0)</f>
        <v>16.228532823357721</v>
      </c>
      <c r="N38" s="186">
        <f t="shared" ref="N38" si="279">HLOOKUP(N37,$C$2:$BO$16,13,0)</f>
        <v>21.873239892351709</v>
      </c>
      <c r="O38" s="186">
        <f t="shared" ref="O38" si="280">HLOOKUP(O37,$C$2:$BO$16,13,0)</f>
        <v>519.00067666741859</v>
      </c>
      <c r="P38" s="186">
        <f t="shared" ref="P38" si="281">HLOOKUP(P37,$C$2:$BO$16,13,0)</f>
        <v>564.00068666742925</v>
      </c>
      <c r="Q38" s="186">
        <f t="shared" ref="Q38" si="282">HLOOKUP(Q37,$C$2:$BO$16,13,0)</f>
        <v>770.40085600095142</v>
      </c>
      <c r="R38" s="186">
        <f t="shared" ref="R38" si="283">HLOOKUP(R37,$C$2:$BO$16,13,0)</f>
        <v>675.00078000086694</v>
      </c>
      <c r="S38" s="186">
        <f t="shared" ref="S38" si="284">HLOOKUP(S37,$C$2:$BO$16,13,0)</f>
        <v>679.50007800008677</v>
      </c>
      <c r="T38" s="186">
        <f t="shared" ref="T38" si="285">HLOOKUP(T37,$C$2:$BO$16,13,0)</f>
        <v>684.00078000086705</v>
      </c>
      <c r="U38" s="186">
        <f t="shared" ref="U38" si="286">HLOOKUP(U37,$C$2:$BO$16,13,0)</f>
        <v>744.00084666760768</v>
      </c>
      <c r="V38" s="186">
        <f t="shared" ref="V38" si="287">HLOOKUP(V37,$C$2:$BO$16,13,0)</f>
        <v>762.00084666760745</v>
      </c>
      <c r="W38" s="186">
        <f t="shared" ref="W38" si="288">HLOOKUP(W37,$C$2:$BO$16,13,0)</f>
        <v>997.20110800123098</v>
      </c>
      <c r="X38" s="186">
        <f t="shared" ref="X38" si="289">HLOOKUP(X37,$C$2:$BO$16,13,0)</f>
        <v>848.69999999999993</v>
      </c>
      <c r="Y38" s="186">
        <f t="shared" ref="Y38" si="290">HLOOKUP(Y37,$C$2:$BO$16,13,0)</f>
        <v>854.00094888994317</v>
      </c>
      <c r="Z38" s="186">
        <f t="shared" ref="Z38" si="291">HLOOKUP(Z37,$C$2:$BO$16,13,0)</f>
        <v>902.00100222333583</v>
      </c>
      <c r="AA38" s="186">
        <f t="shared" ref="AA38" si="292">HLOOKUP(AA37,$C$2:$BO$16,13,0)</f>
        <v>905.18399999999974</v>
      </c>
      <c r="AB38" s="186">
        <f t="shared" ref="AB38" si="293">HLOOKUP(AB37,$C$2:$BO$16,13,0)</f>
        <v>909.2249999999998</v>
      </c>
      <c r="AC38" s="186">
        <f t="shared" ref="AC38" si="294">HLOOKUP(AC37,$C$2:$BO$16,13,0)</f>
        <v>1233.5999999999997</v>
      </c>
      <c r="AD38" s="186">
        <f t="shared" ref="AD38" si="295">HLOOKUP(AD37,$C$2:$BO$16,13,0)</f>
        <v>1018.7877858419835</v>
      </c>
      <c r="AE38" s="186">
        <f t="shared" ref="AE38" si="296">HLOOKUP(AE37,$C$2:$BO$16,13,0)</f>
        <v>1064.1299999999997</v>
      </c>
      <c r="AF38" s="186">
        <f t="shared" ref="AF38" si="297">HLOOKUP(AF37,$C$2:$BO$16,13,0)</f>
        <v>1116.6629999999998</v>
      </c>
      <c r="AG38" s="186">
        <f t="shared" ref="AG38" si="298">HLOOKUP(AG37,$C$2:$BO$16,13,0)</f>
        <v>1145</v>
      </c>
      <c r="AH38" s="186">
        <f t="shared" ref="AH38" si="299">HLOOKUP(AH37,$C$2:$BO$16,13,0)</f>
        <v>1153</v>
      </c>
      <c r="AI38" s="186">
        <f t="shared" ref="AI38" si="300">HLOOKUP(AI37,$C$2:$BO$16,13,0)</f>
        <v>1438.8000000000006</v>
      </c>
      <c r="AJ38" s="186">
        <f t="shared" ref="AJ38" si="301">HLOOKUP(AJ37,$C$2:$BO$16,13,0)</f>
        <v>1126.0599999999995</v>
      </c>
      <c r="AK38" s="186">
        <f t="shared" ref="AK38" si="302">HLOOKUP(AK37,$C$2:$BO$16,13,0)</f>
        <v>1153</v>
      </c>
      <c r="AL38" s="186">
        <f t="shared" ref="AL38" si="303">HLOOKUP(AL37,$C$2:$BO$16,13,0)</f>
        <v>1206.9948333275922</v>
      </c>
      <c r="AM38" s="186">
        <f t="shared" ref="AM38" si="304">HLOOKUP(AM37,$C$2:$BO$16,13,0)</f>
        <v>1213.2</v>
      </c>
      <c r="AN38" s="186">
        <f t="shared" ref="AN38" si="305">HLOOKUP(AN37,$C$2:$BO$16,13,0)</f>
        <v>1218.0013733348585</v>
      </c>
      <c r="AO38" s="186">
        <f t="shared" ref="AO38" si="306">HLOOKUP(AO37,$C$2:$BO$16,13,0)</f>
        <v>1540.8017120019028</v>
      </c>
      <c r="AP38" s="186">
        <f t="shared" ref="AP38" si="307">HLOOKUP(AP37,$C$2:$BO$16,13,0)</f>
        <v>1224</v>
      </c>
      <c r="AQ38" s="186">
        <f t="shared" ref="AQ38" si="308">HLOOKUP(AQ37,$C$2:$BO$16,13,0)</f>
        <v>1278.0015600017339</v>
      </c>
      <c r="AR38" s="186">
        <f t="shared" ref="AR38" si="309">HLOOKUP(AR37,$C$2:$BO$16,13,0)</f>
        <v>1296.0015600017339</v>
      </c>
      <c r="AS38" s="186">
        <f t="shared" ref="AS38" si="310">HLOOKUP(AS37,$C$2:$BO$16,13,0)</f>
        <v>1524.0016933352149</v>
      </c>
      <c r="AT38" s="186">
        <f t="shared" ref="AT38" si="311">HLOOKUP(AT37,$C$2:$BO$16,13,0)</f>
        <v>1547.9999999999998</v>
      </c>
      <c r="AU38" s="186">
        <f t="shared" ref="AU38" si="312">HLOOKUP(AU37,$C$2:$BO$16,13,0)</f>
        <v>1994.402216002462</v>
      </c>
      <c r="AV38" s="186">
        <f t="shared" ref="AV38" si="313">HLOOKUP(AV37,$C$2:$BO$16,13,0)</f>
        <v>1636.1999999999998</v>
      </c>
      <c r="AW38" s="186">
        <f t="shared" ref="AW38" si="314">HLOOKUP(AW37,$C$2:$BO$16,13,0)</f>
        <v>1724.001915557684</v>
      </c>
      <c r="AX38" s="186">
        <f t="shared" ref="AX38" si="315">HLOOKUP(AX37,$C$2:$BO$16,13,0)</f>
        <v>1804.0020044466717</v>
      </c>
      <c r="AY38" s="186">
        <f t="shared" ref="AY38" si="316">HLOOKUP(AY37,$C$2:$BO$16,13,0)</f>
        <v>1806.5000000000002</v>
      </c>
      <c r="AZ38" s="186">
        <f t="shared" ref="AZ38" si="317">HLOOKUP(AZ37,$C$2:$BO$16,13,0)</f>
        <v>1814.8219499999993</v>
      </c>
      <c r="BA38" s="186">
        <f t="shared" ref="BA38" si="318">HLOOKUP(BA37,$C$2:$BO$16,13,0)</f>
        <v>1997.0276695920452</v>
      </c>
      <c r="BB38" s="186">
        <f t="shared" ref="BB38" si="319">HLOOKUP(BB37,$C$2:$BO$16,13,0)</f>
        <v>1826.9999999999998</v>
      </c>
      <c r="BC38" s="186">
        <f t="shared" ref="BC38" si="320">HLOOKUP(BC37,$C$2:$BO$16,13,0)</f>
        <v>1828.7656791595764</v>
      </c>
      <c r="BD38" s="186">
        <f t="shared" ref="BD38" si="321">HLOOKUP(BD37,$C$2:$BO$16,13,0)</f>
        <v>1848.4901254997528</v>
      </c>
      <c r="BE38" s="186">
        <f t="shared" ref="BE38" si="322">HLOOKUP(BE37,$C$2:$BO$16,13,0)</f>
        <v>1852.8750000000002</v>
      </c>
      <c r="BF38" s="186">
        <f t="shared" ref="BF38" si="323">HLOOKUP(BF37,$C$2:$BO$16,13,0)</f>
        <v>1860.75</v>
      </c>
      <c r="BG38" s="186">
        <f t="shared" ref="BG38" si="324">HLOOKUP(BG37,$C$2:$BO$16,13,0)</f>
        <v>2027.5140603161387</v>
      </c>
      <c r="BH38" s="186">
        <f t="shared" ref="BH38" si="325">HLOOKUP(BH37,$C$2:$BO$16,13,0)</f>
        <v>1867.5</v>
      </c>
      <c r="BI38" s="186">
        <f t="shared" ref="BI38" si="326">HLOOKUP(BI37,$C$2:$BO$16,13,0)</f>
        <v>1878.75</v>
      </c>
      <c r="BJ38" s="186">
        <f t="shared" ref="BJ38" si="327">HLOOKUP(BJ37,$C$2:$BO$16,13,0)</f>
        <v>1889.4442590036001</v>
      </c>
    </row>
    <row r="39" spans="1:62">
      <c r="A39" t="s">
        <v>718</v>
      </c>
      <c r="C39" s="186" t="e">
        <f ca="1">HLOOKUP(C37,$C$2:$BO$16,6,0)</f>
        <v>#NAME?</v>
      </c>
      <c r="D39" s="186" t="e">
        <f t="shared" ref="D39:BI39" ca="1" si="328">HLOOKUP(D37,$C$2:$BO$16,6,0)</f>
        <v>#NAME?</v>
      </c>
      <c r="E39" s="186" t="e">
        <f t="shared" ca="1" si="328"/>
        <v>#NAME?</v>
      </c>
      <c r="F39" s="186" t="e">
        <f t="shared" ca="1" si="328"/>
        <v>#NAME?</v>
      </c>
      <c r="G39" s="186" t="e">
        <f t="shared" ca="1" si="328"/>
        <v>#NAME?</v>
      </c>
      <c r="H39" s="186" t="e">
        <f t="shared" ca="1" si="328"/>
        <v>#NAME?</v>
      </c>
      <c r="I39" s="186" t="e">
        <f t="shared" ca="1" si="328"/>
        <v>#NAME?</v>
      </c>
      <c r="J39" s="186" t="e">
        <f t="shared" ca="1" si="328"/>
        <v>#NAME?</v>
      </c>
      <c r="K39" s="186" t="e">
        <f t="shared" ca="1" si="328"/>
        <v>#NAME?</v>
      </c>
      <c r="L39" s="186" t="e">
        <f t="shared" ca="1" si="328"/>
        <v>#NAME?</v>
      </c>
      <c r="M39" s="186" t="e">
        <f t="shared" ca="1" si="328"/>
        <v>#NAME?</v>
      </c>
      <c r="N39" s="186" t="e">
        <f t="shared" ca="1" si="328"/>
        <v>#NAME?</v>
      </c>
      <c r="O39" s="186" t="e">
        <f t="shared" ca="1" si="328"/>
        <v>#NAME?</v>
      </c>
      <c r="P39" s="186" t="e">
        <f t="shared" ca="1" si="328"/>
        <v>#NAME?</v>
      </c>
      <c r="Q39" s="186" t="e">
        <f t="shared" ca="1" si="328"/>
        <v>#NAME?</v>
      </c>
      <c r="R39" s="186" t="e">
        <f t="shared" ca="1" si="328"/>
        <v>#NAME?</v>
      </c>
      <c r="S39" s="186" t="e">
        <f t="shared" ca="1" si="328"/>
        <v>#NAME?</v>
      </c>
      <c r="T39" s="186" t="e">
        <f t="shared" ca="1" si="328"/>
        <v>#NAME?</v>
      </c>
      <c r="U39" s="186" t="e">
        <f t="shared" ca="1" si="328"/>
        <v>#NAME?</v>
      </c>
      <c r="V39" s="186" t="e">
        <f t="shared" ca="1" si="328"/>
        <v>#NAME?</v>
      </c>
      <c r="W39" s="186" t="e">
        <f t="shared" ca="1" si="328"/>
        <v>#NAME?</v>
      </c>
      <c r="X39" s="186" t="e">
        <f t="shared" ca="1" si="328"/>
        <v>#NAME?</v>
      </c>
      <c r="Y39" s="186" t="e">
        <f t="shared" ca="1" si="328"/>
        <v>#NAME?</v>
      </c>
      <c r="Z39" s="186" t="e">
        <f t="shared" ca="1" si="328"/>
        <v>#NAME?</v>
      </c>
      <c r="AA39" s="186" t="e">
        <f t="shared" ca="1" si="328"/>
        <v>#NAME?</v>
      </c>
      <c r="AB39" s="186" t="e">
        <f t="shared" ca="1" si="328"/>
        <v>#NAME?</v>
      </c>
      <c r="AC39" s="186" t="e">
        <f t="shared" ca="1" si="328"/>
        <v>#NAME?</v>
      </c>
      <c r="AD39" s="186" t="e">
        <f t="shared" ca="1" si="328"/>
        <v>#NAME?</v>
      </c>
      <c r="AE39" s="186" t="e">
        <f t="shared" ca="1" si="328"/>
        <v>#NAME?</v>
      </c>
      <c r="AF39" s="186" t="e">
        <f t="shared" ca="1" si="328"/>
        <v>#NAME?</v>
      </c>
      <c r="AG39" s="186" t="e">
        <f t="shared" ca="1" si="328"/>
        <v>#NAME?</v>
      </c>
      <c r="AH39" s="186" t="e">
        <f t="shared" ca="1" si="328"/>
        <v>#NAME?</v>
      </c>
      <c r="AI39" s="186" t="e">
        <f t="shared" ca="1" si="328"/>
        <v>#NAME?</v>
      </c>
      <c r="AJ39" s="186" t="e">
        <f t="shared" ca="1" si="328"/>
        <v>#NAME?</v>
      </c>
      <c r="AK39" s="186" t="e">
        <f t="shared" ca="1" si="328"/>
        <v>#NAME?</v>
      </c>
      <c r="AL39" s="186" t="e">
        <f t="shared" ca="1" si="328"/>
        <v>#NAME?</v>
      </c>
      <c r="AM39" s="186" t="e">
        <f t="shared" ca="1" si="328"/>
        <v>#NAME?</v>
      </c>
      <c r="AN39" s="186" t="e">
        <f t="shared" ca="1" si="328"/>
        <v>#NAME?</v>
      </c>
      <c r="AO39" s="186" t="e">
        <f t="shared" ca="1" si="328"/>
        <v>#NAME?</v>
      </c>
      <c r="AP39" s="186" t="e">
        <f t="shared" ca="1" si="328"/>
        <v>#NAME?</v>
      </c>
      <c r="AQ39" s="186" t="e">
        <f t="shared" ca="1" si="328"/>
        <v>#NAME?</v>
      </c>
      <c r="AR39" s="186" t="e">
        <f t="shared" ca="1" si="328"/>
        <v>#NAME?</v>
      </c>
      <c r="AS39" s="186" t="e">
        <f t="shared" ca="1" si="328"/>
        <v>#NAME?</v>
      </c>
      <c r="AT39" s="186" t="e">
        <f t="shared" ca="1" si="328"/>
        <v>#NAME?</v>
      </c>
      <c r="AU39" s="186" t="e">
        <f t="shared" ca="1" si="328"/>
        <v>#NAME?</v>
      </c>
      <c r="AV39" s="186" t="e">
        <f t="shared" ca="1" si="328"/>
        <v>#NAME?</v>
      </c>
      <c r="AW39" s="186" t="e">
        <f t="shared" ca="1" si="328"/>
        <v>#NAME?</v>
      </c>
      <c r="AX39" s="186" t="e">
        <f t="shared" ca="1" si="328"/>
        <v>#NAME?</v>
      </c>
      <c r="AY39" s="186" t="e">
        <f t="shared" ca="1" si="328"/>
        <v>#NAME?</v>
      </c>
      <c r="AZ39" s="186" t="e">
        <f t="shared" ca="1" si="328"/>
        <v>#NAME?</v>
      </c>
      <c r="BA39" s="186" t="e">
        <f t="shared" ca="1" si="328"/>
        <v>#NAME?</v>
      </c>
      <c r="BB39" s="186" t="e">
        <f t="shared" ca="1" si="328"/>
        <v>#NAME?</v>
      </c>
      <c r="BC39" s="186" t="e">
        <f t="shared" ca="1" si="328"/>
        <v>#NAME?</v>
      </c>
      <c r="BD39" s="186" t="e">
        <f t="shared" ca="1" si="328"/>
        <v>#NAME?</v>
      </c>
      <c r="BE39" s="186" t="e">
        <f t="shared" ca="1" si="328"/>
        <v>#NAME?</v>
      </c>
      <c r="BF39" s="186" t="e">
        <f t="shared" ca="1" si="328"/>
        <v>#NAME?</v>
      </c>
      <c r="BG39" s="186" t="e">
        <f t="shared" ca="1" si="328"/>
        <v>#NAME?</v>
      </c>
      <c r="BH39" s="186" t="e">
        <f t="shared" ca="1" si="328"/>
        <v>#NAME?</v>
      </c>
      <c r="BI39" s="186" t="e">
        <f t="shared" ca="1" si="328"/>
        <v>#NAME?</v>
      </c>
      <c r="BJ39" s="186"/>
    </row>
    <row r="40" spans="1:62">
      <c r="A40" t="s">
        <v>719</v>
      </c>
      <c r="C40" s="186" t="e">
        <f ca="1">HLOOKUP(C37,$C$2:$BO$16,5,0)</f>
        <v>#NAME?</v>
      </c>
      <c r="D40" s="186" t="e">
        <f t="shared" ref="D40:BI40" ca="1" si="329">HLOOKUP(D37,$C$2:$BO$16,5,0)</f>
        <v>#NAME?</v>
      </c>
      <c r="E40" s="186" t="e">
        <f t="shared" ca="1" si="329"/>
        <v>#NAME?</v>
      </c>
      <c r="F40" s="186" t="e">
        <f t="shared" ca="1" si="329"/>
        <v>#NAME?</v>
      </c>
      <c r="G40" s="186" t="e">
        <f t="shared" ca="1" si="329"/>
        <v>#NAME?</v>
      </c>
      <c r="H40" s="186" t="e">
        <f t="shared" ca="1" si="329"/>
        <v>#NAME?</v>
      </c>
      <c r="I40" s="186" t="e">
        <f t="shared" ca="1" si="329"/>
        <v>#NAME?</v>
      </c>
      <c r="J40" s="186" t="e">
        <f t="shared" ca="1" si="329"/>
        <v>#NAME?</v>
      </c>
      <c r="K40" s="186" t="e">
        <f t="shared" ca="1" si="329"/>
        <v>#NAME?</v>
      </c>
      <c r="L40" s="186" t="e">
        <f t="shared" ca="1" si="329"/>
        <v>#NAME?</v>
      </c>
      <c r="M40" s="186" t="e">
        <f t="shared" ca="1" si="329"/>
        <v>#NAME?</v>
      </c>
      <c r="N40" s="186" t="e">
        <f t="shared" ca="1" si="329"/>
        <v>#NAME?</v>
      </c>
      <c r="O40" s="186" t="e">
        <f t="shared" ca="1" si="329"/>
        <v>#NAME?</v>
      </c>
      <c r="P40" s="186" t="e">
        <f t="shared" ca="1" si="329"/>
        <v>#NAME?</v>
      </c>
      <c r="Q40" s="186" t="e">
        <f t="shared" ca="1" si="329"/>
        <v>#NAME?</v>
      </c>
      <c r="R40" s="186" t="e">
        <f t="shared" ca="1" si="329"/>
        <v>#NAME?</v>
      </c>
      <c r="S40" s="186" t="e">
        <f t="shared" ca="1" si="329"/>
        <v>#NAME?</v>
      </c>
      <c r="T40" s="186" t="e">
        <f t="shared" ca="1" si="329"/>
        <v>#NAME?</v>
      </c>
      <c r="U40" s="186" t="e">
        <f t="shared" ca="1" si="329"/>
        <v>#NAME?</v>
      </c>
      <c r="V40" s="186" t="e">
        <f t="shared" ca="1" si="329"/>
        <v>#NAME?</v>
      </c>
      <c r="W40" s="186" t="e">
        <f t="shared" ca="1" si="329"/>
        <v>#NAME?</v>
      </c>
      <c r="X40" s="186" t="e">
        <f t="shared" ca="1" si="329"/>
        <v>#NAME?</v>
      </c>
      <c r="Y40" s="186" t="e">
        <f t="shared" ca="1" si="329"/>
        <v>#NAME?</v>
      </c>
      <c r="Z40" s="186" t="e">
        <f t="shared" ca="1" si="329"/>
        <v>#NAME?</v>
      </c>
      <c r="AA40" s="186" t="e">
        <f t="shared" ca="1" si="329"/>
        <v>#NAME?</v>
      </c>
      <c r="AB40" s="186" t="e">
        <f t="shared" ca="1" si="329"/>
        <v>#NAME?</v>
      </c>
      <c r="AC40" s="186" t="e">
        <f t="shared" ca="1" si="329"/>
        <v>#NAME?</v>
      </c>
      <c r="AD40" s="186" t="e">
        <f t="shared" ca="1" si="329"/>
        <v>#NAME?</v>
      </c>
      <c r="AE40" s="186" t="e">
        <f t="shared" ca="1" si="329"/>
        <v>#NAME?</v>
      </c>
      <c r="AF40" s="186" t="e">
        <f t="shared" ca="1" si="329"/>
        <v>#NAME?</v>
      </c>
      <c r="AG40" s="186" t="e">
        <f t="shared" ca="1" si="329"/>
        <v>#NAME?</v>
      </c>
      <c r="AH40" s="186" t="e">
        <f t="shared" ca="1" si="329"/>
        <v>#NAME?</v>
      </c>
      <c r="AI40" s="186" t="e">
        <f t="shared" ca="1" si="329"/>
        <v>#NAME?</v>
      </c>
      <c r="AJ40" s="186" t="e">
        <f t="shared" ca="1" si="329"/>
        <v>#NAME?</v>
      </c>
      <c r="AK40" s="186" t="e">
        <f t="shared" ca="1" si="329"/>
        <v>#NAME?</v>
      </c>
      <c r="AL40" s="186" t="e">
        <f t="shared" ca="1" si="329"/>
        <v>#NAME?</v>
      </c>
      <c r="AM40" s="186" t="e">
        <f t="shared" ca="1" si="329"/>
        <v>#NAME?</v>
      </c>
      <c r="AN40" s="186" t="e">
        <f t="shared" ca="1" si="329"/>
        <v>#NAME?</v>
      </c>
      <c r="AO40" s="186" t="e">
        <f t="shared" ca="1" si="329"/>
        <v>#NAME?</v>
      </c>
      <c r="AP40" s="186" t="e">
        <f t="shared" ca="1" si="329"/>
        <v>#NAME?</v>
      </c>
      <c r="AQ40" s="186" t="e">
        <f t="shared" ca="1" si="329"/>
        <v>#NAME?</v>
      </c>
      <c r="AR40" s="186" t="e">
        <f t="shared" ca="1" si="329"/>
        <v>#NAME?</v>
      </c>
      <c r="AS40" s="186" t="e">
        <f t="shared" ca="1" si="329"/>
        <v>#NAME?</v>
      </c>
      <c r="AT40" s="186" t="e">
        <f t="shared" ca="1" si="329"/>
        <v>#NAME?</v>
      </c>
      <c r="AU40" s="186" t="e">
        <f t="shared" ca="1" si="329"/>
        <v>#NAME?</v>
      </c>
      <c r="AV40" s="186" t="e">
        <f t="shared" ca="1" si="329"/>
        <v>#NAME?</v>
      </c>
      <c r="AW40" s="186" t="e">
        <f t="shared" ca="1" si="329"/>
        <v>#NAME?</v>
      </c>
      <c r="AX40" s="186" t="e">
        <f t="shared" ca="1" si="329"/>
        <v>#NAME?</v>
      </c>
      <c r="AY40" s="186" t="e">
        <f t="shared" ca="1" si="329"/>
        <v>#NAME?</v>
      </c>
      <c r="AZ40" s="186" t="e">
        <f t="shared" ca="1" si="329"/>
        <v>#NAME?</v>
      </c>
      <c r="BA40" s="186" t="e">
        <f t="shared" ca="1" si="329"/>
        <v>#NAME?</v>
      </c>
      <c r="BB40" s="186" t="e">
        <f t="shared" ca="1" si="329"/>
        <v>#NAME?</v>
      </c>
      <c r="BC40" s="186" t="e">
        <f t="shared" ca="1" si="329"/>
        <v>#NAME?</v>
      </c>
      <c r="BD40" s="186" t="e">
        <f t="shared" ca="1" si="329"/>
        <v>#NAME?</v>
      </c>
      <c r="BE40" s="186" t="e">
        <f t="shared" ca="1" si="329"/>
        <v>#NAME?</v>
      </c>
      <c r="BF40" s="186" t="e">
        <f t="shared" ca="1" si="329"/>
        <v>#NAME?</v>
      </c>
      <c r="BG40" s="186" t="e">
        <f t="shared" ca="1" si="329"/>
        <v>#NAME?</v>
      </c>
      <c r="BH40" s="186" t="e">
        <f t="shared" ca="1" si="329"/>
        <v>#NAME?</v>
      </c>
      <c r="BI40" s="186" t="e">
        <f t="shared" ca="1" si="329"/>
        <v>#NAME?</v>
      </c>
      <c r="BJ40" s="186"/>
    </row>
    <row r="41" spans="1:62" ht="16.5" thickBot="1"/>
    <row r="42" spans="1:62" ht="16.5" thickBot="1">
      <c r="A42" t="s">
        <v>576</v>
      </c>
      <c r="C42" s="277">
        <v>44927</v>
      </c>
      <c r="D42" s="274">
        <v>44958</v>
      </c>
      <c r="E42" s="274">
        <v>44986</v>
      </c>
      <c r="F42" s="274">
        <v>45017</v>
      </c>
      <c r="G42" s="274">
        <v>45047</v>
      </c>
      <c r="H42" s="274">
        <v>45078</v>
      </c>
      <c r="I42" s="274">
        <v>45108</v>
      </c>
      <c r="J42" s="274">
        <v>45139</v>
      </c>
      <c r="K42" s="274">
        <v>45170</v>
      </c>
      <c r="L42" s="274">
        <v>45200</v>
      </c>
      <c r="M42" s="274">
        <v>45231</v>
      </c>
      <c r="N42" s="275">
        <v>45261</v>
      </c>
      <c r="O42" s="277">
        <v>45292</v>
      </c>
      <c r="P42" s="275">
        <v>45323</v>
      </c>
      <c r="Q42" s="275">
        <v>45352</v>
      </c>
      <c r="R42" s="275">
        <v>45383</v>
      </c>
      <c r="S42" s="275">
        <v>45413</v>
      </c>
      <c r="T42" s="275">
        <v>45444</v>
      </c>
      <c r="U42" s="275">
        <v>45474</v>
      </c>
      <c r="V42" s="275">
        <v>45505</v>
      </c>
      <c r="W42" s="275">
        <v>45536</v>
      </c>
      <c r="X42" s="275">
        <v>45566</v>
      </c>
      <c r="Y42" s="275">
        <v>45597</v>
      </c>
      <c r="Z42" s="275">
        <v>45627</v>
      </c>
      <c r="AA42" s="275">
        <v>45658</v>
      </c>
      <c r="AB42" s="275">
        <v>45689</v>
      </c>
      <c r="AC42" s="275">
        <v>45717</v>
      </c>
      <c r="AD42" s="275">
        <v>45748</v>
      </c>
      <c r="AE42" s="275">
        <v>45778</v>
      </c>
      <c r="AF42" s="275">
        <v>45809</v>
      </c>
      <c r="AG42" s="275">
        <v>45839</v>
      </c>
      <c r="AH42" s="275">
        <v>45870</v>
      </c>
      <c r="AI42" s="275">
        <v>45901</v>
      </c>
      <c r="AJ42" s="275">
        <v>45931</v>
      </c>
      <c r="AK42" s="275">
        <v>45962</v>
      </c>
      <c r="AL42" s="275">
        <v>45992</v>
      </c>
      <c r="AM42" s="275">
        <v>46023</v>
      </c>
      <c r="AN42" s="275">
        <v>46054</v>
      </c>
      <c r="AO42" s="275">
        <v>46082</v>
      </c>
      <c r="AP42" s="275">
        <v>46113</v>
      </c>
      <c r="AQ42" s="275">
        <v>46143</v>
      </c>
      <c r="AR42" s="275">
        <v>46174</v>
      </c>
      <c r="AS42" s="275">
        <v>46204</v>
      </c>
      <c r="AT42" s="275">
        <v>46235</v>
      </c>
      <c r="AU42" s="275">
        <v>46266</v>
      </c>
      <c r="AV42" s="275">
        <v>46296</v>
      </c>
      <c r="AW42" s="275">
        <v>46327</v>
      </c>
      <c r="AX42" s="275">
        <v>46357</v>
      </c>
      <c r="AY42" s="275">
        <v>46388</v>
      </c>
      <c r="AZ42" s="275">
        <v>46419</v>
      </c>
      <c r="BA42" s="275">
        <v>46447</v>
      </c>
      <c r="BB42" s="275">
        <v>46478</v>
      </c>
      <c r="BC42" s="275">
        <v>46508</v>
      </c>
      <c r="BD42" s="275">
        <v>46539</v>
      </c>
      <c r="BE42" s="275">
        <v>46569</v>
      </c>
      <c r="BF42" s="275">
        <v>46600</v>
      </c>
      <c r="BG42" s="275">
        <v>46631</v>
      </c>
      <c r="BH42" s="275">
        <v>46661</v>
      </c>
      <c r="BI42" s="275">
        <v>46692</v>
      </c>
      <c r="BJ42" s="275">
        <v>46722</v>
      </c>
    </row>
    <row r="43" spans="1:62">
      <c r="A43" t="s">
        <v>717</v>
      </c>
      <c r="C43" s="186">
        <f t="shared" ref="C43:AH43" si="330">HLOOKUP(C42,$C$2:$BO$23,18,0)</f>
        <v>0</v>
      </c>
      <c r="D43" s="186">
        <f t="shared" si="330"/>
        <v>0</v>
      </c>
      <c r="E43" s="186">
        <f t="shared" si="330"/>
        <v>0</v>
      </c>
      <c r="F43" s="186">
        <f t="shared" si="330"/>
        <v>0</v>
      </c>
      <c r="G43" s="186">
        <f t="shared" si="330"/>
        <v>0</v>
      </c>
      <c r="H43" s="186">
        <f t="shared" si="330"/>
        <v>0</v>
      </c>
      <c r="I43" s="186">
        <f t="shared" si="330"/>
        <v>1.1759806393737477</v>
      </c>
      <c r="J43" s="186">
        <f t="shared" si="330"/>
        <v>1.8815690229979964</v>
      </c>
      <c r="K43" s="186">
        <f t="shared" si="330"/>
        <v>3.2927457902464941</v>
      </c>
      <c r="L43" s="186">
        <f t="shared" si="330"/>
        <v>4.4687264296202418</v>
      </c>
      <c r="M43" s="186">
        <f t="shared" si="330"/>
        <v>5.4095109411192395</v>
      </c>
      <c r="N43" s="186">
        <f t="shared" si="330"/>
        <v>7.2910799641172357</v>
      </c>
      <c r="O43" s="186">
        <f t="shared" si="330"/>
        <v>173.0002255558062</v>
      </c>
      <c r="P43" s="186">
        <f t="shared" si="330"/>
        <v>188.00022888914307</v>
      </c>
      <c r="Q43" s="186">
        <f t="shared" si="330"/>
        <v>256.80028533365049</v>
      </c>
      <c r="R43" s="186">
        <f t="shared" si="330"/>
        <v>225.00026000028899</v>
      </c>
      <c r="S43" s="186">
        <f t="shared" si="330"/>
        <v>226.50002600002892</v>
      </c>
      <c r="T43" s="186">
        <f t="shared" si="330"/>
        <v>228.00026000028899</v>
      </c>
      <c r="U43" s="186">
        <f t="shared" si="330"/>
        <v>248.00028222253587</v>
      </c>
      <c r="V43" s="186">
        <f t="shared" si="330"/>
        <v>254.00028222253582</v>
      </c>
      <c r="W43" s="186">
        <f t="shared" si="330"/>
        <v>332.40036933374364</v>
      </c>
      <c r="X43" s="186">
        <f t="shared" si="330"/>
        <v>282.89999999999998</v>
      </c>
      <c r="Y43" s="186">
        <f t="shared" si="330"/>
        <v>284.66698296331441</v>
      </c>
      <c r="Z43" s="186">
        <f t="shared" si="330"/>
        <v>300.66700074111196</v>
      </c>
      <c r="AA43" s="186">
        <f t="shared" si="330"/>
        <v>302.39999999999986</v>
      </c>
      <c r="AB43" s="186">
        <f t="shared" si="330"/>
        <v>303.74999999999989</v>
      </c>
      <c r="AC43" s="186">
        <f t="shared" si="330"/>
        <v>412.1158129175945</v>
      </c>
      <c r="AD43" s="186">
        <f t="shared" si="330"/>
        <v>340.35226698507239</v>
      </c>
      <c r="AE43" s="186">
        <f t="shared" si="330"/>
        <v>355.49999999999989</v>
      </c>
      <c r="AF43" s="186">
        <f t="shared" si="330"/>
        <v>373.04999999999984</v>
      </c>
      <c r="AG43" s="186">
        <f t="shared" si="330"/>
        <v>382.5167037861915</v>
      </c>
      <c r="AH43" s="186">
        <f t="shared" si="330"/>
        <v>385.18930957683739</v>
      </c>
      <c r="AI43" s="186">
        <f t="shared" ref="AI43:BJ43" si="331">HLOOKUP(AI42,$C$2:$BO$23,18,0)</f>
        <v>480.66815144766161</v>
      </c>
      <c r="AJ43" s="186">
        <f t="shared" si="331"/>
        <v>376.18930957683716</v>
      </c>
      <c r="AK43" s="186">
        <f t="shared" si="331"/>
        <v>385.18930957683739</v>
      </c>
      <c r="AL43" s="186">
        <f t="shared" si="331"/>
        <v>403.22767260387263</v>
      </c>
      <c r="AM43" s="186">
        <f t="shared" si="331"/>
        <v>404.40000000000003</v>
      </c>
      <c r="AN43" s="186">
        <f t="shared" si="331"/>
        <v>406.0004577782862</v>
      </c>
      <c r="AO43" s="186">
        <f t="shared" si="331"/>
        <v>513.60057066730099</v>
      </c>
      <c r="AP43" s="186">
        <f t="shared" si="331"/>
        <v>408.00000000000006</v>
      </c>
      <c r="AQ43" s="186">
        <f t="shared" si="331"/>
        <v>426.00052000057798</v>
      </c>
      <c r="AR43" s="186">
        <f t="shared" si="331"/>
        <v>432.00052000057798</v>
      </c>
      <c r="AS43" s="186">
        <f t="shared" si="331"/>
        <v>508.00056444507163</v>
      </c>
      <c r="AT43" s="186">
        <f t="shared" si="331"/>
        <v>516</v>
      </c>
      <c r="AU43" s="186">
        <f t="shared" si="331"/>
        <v>664.80073866748728</v>
      </c>
      <c r="AV43" s="186">
        <f t="shared" si="331"/>
        <v>545.4</v>
      </c>
      <c r="AW43" s="186">
        <f t="shared" si="331"/>
        <v>574.66730518589463</v>
      </c>
      <c r="AX43" s="186">
        <f t="shared" si="331"/>
        <v>601.33400148222393</v>
      </c>
      <c r="AY43" s="186">
        <f t="shared" si="331"/>
        <v>602.16666666666674</v>
      </c>
      <c r="AZ43" s="186">
        <f t="shared" si="331"/>
        <v>604.94064999999978</v>
      </c>
      <c r="BA43" s="186">
        <f t="shared" si="331"/>
        <v>665.67588986401506</v>
      </c>
      <c r="BB43" s="186">
        <f t="shared" si="331"/>
        <v>609</v>
      </c>
      <c r="BC43" s="186">
        <f t="shared" si="331"/>
        <v>609.58855971985884</v>
      </c>
      <c r="BD43" s="186">
        <f t="shared" si="331"/>
        <v>616.16337516658427</v>
      </c>
      <c r="BE43" s="186">
        <f t="shared" si="331"/>
        <v>617.625</v>
      </c>
      <c r="BF43" s="186">
        <f t="shared" si="331"/>
        <v>620.25</v>
      </c>
      <c r="BG43" s="186">
        <f t="shared" si="331"/>
        <v>675.83802010537954</v>
      </c>
      <c r="BH43" s="186">
        <f t="shared" si="331"/>
        <v>622.5</v>
      </c>
      <c r="BI43" s="186">
        <f t="shared" si="331"/>
        <v>626.25</v>
      </c>
      <c r="BJ43" s="186">
        <f t="shared" si="331"/>
        <v>629.81475300120007</v>
      </c>
    </row>
    <row r="44" spans="1:62">
      <c r="A44" t="s">
        <v>720</v>
      </c>
      <c r="C44" s="186">
        <f t="shared" ref="C44:AH44" si="332">HLOOKUP(C42,$C$2:$BO$23,21,0)</f>
        <v>0</v>
      </c>
      <c r="D44" s="186">
        <f t="shared" si="332"/>
        <v>0</v>
      </c>
      <c r="E44" s="186">
        <f t="shared" si="332"/>
        <v>0</v>
      </c>
      <c r="F44" s="186">
        <f t="shared" si="332"/>
        <v>1.6595596443484026</v>
      </c>
      <c r="G44" s="186">
        <f t="shared" si="332"/>
        <v>2.6552954309574441</v>
      </c>
      <c r="H44" s="186">
        <f t="shared" si="332"/>
        <v>4.646767004175528</v>
      </c>
      <c r="I44" s="186">
        <f t="shared" si="332"/>
        <v>0</v>
      </c>
      <c r="J44" s="186">
        <f t="shared" si="332"/>
        <v>2.5036283548524692</v>
      </c>
      <c r="K44" s="186">
        <f t="shared" si="332"/>
        <v>6.5283360271735233</v>
      </c>
      <c r="L44" s="186">
        <f t="shared" si="332"/>
        <v>238.80327331266361</v>
      </c>
      <c r="M44" s="186">
        <f t="shared" si="332"/>
        <v>26.964579950216631</v>
      </c>
      <c r="N44" s="186">
        <f t="shared" si="332"/>
        <v>105.15636841088764</v>
      </c>
      <c r="O44" s="186">
        <f t="shared" si="332"/>
        <v>196.2654257571424</v>
      </c>
      <c r="P44" s="186">
        <f t="shared" si="332"/>
        <v>196.2849212467265</v>
      </c>
      <c r="Q44" s="186">
        <f t="shared" si="332"/>
        <v>287.20894126236499</v>
      </c>
      <c r="R44" s="186">
        <f t="shared" si="332"/>
        <v>240.14796274369704</v>
      </c>
      <c r="S44" s="186">
        <f t="shared" si="332"/>
        <v>235.5840303265187</v>
      </c>
      <c r="T44" s="186">
        <f t="shared" si="332"/>
        <v>339.25643035519317</v>
      </c>
      <c r="U44" s="186">
        <f t="shared" si="332"/>
        <v>186.36897465312393</v>
      </c>
      <c r="V44" s="186">
        <f t="shared" si="332"/>
        <v>258.96115271026974</v>
      </c>
      <c r="W44" s="186">
        <f t="shared" si="332"/>
        <v>387.21897583936118</v>
      </c>
      <c r="X44" s="186">
        <f t="shared" si="332"/>
        <v>264.99041627949782</v>
      </c>
      <c r="Y44" s="186">
        <f t="shared" si="332"/>
        <v>287.29872814640288</v>
      </c>
      <c r="Z44" s="186">
        <f t="shared" si="332"/>
        <v>460.17371058074383</v>
      </c>
      <c r="AA44" s="186">
        <f t="shared" si="332"/>
        <v>201.8389543940973</v>
      </c>
      <c r="AB44" s="186">
        <f t="shared" si="332"/>
        <v>325.68182201144748</v>
      </c>
      <c r="AC44" s="186">
        <f t="shared" si="332"/>
        <v>481.44408330960647</v>
      </c>
      <c r="AD44" s="186">
        <f t="shared" si="332"/>
        <v>324.20167408326046</v>
      </c>
      <c r="AE44" s="186">
        <f t="shared" si="332"/>
        <v>365.50056802010863</v>
      </c>
      <c r="AF44" s="186">
        <f t="shared" si="332"/>
        <v>515.00781699616141</v>
      </c>
      <c r="AG44" s="186">
        <f t="shared" si="332"/>
        <v>238.96759693213647</v>
      </c>
      <c r="AH44" s="186">
        <f t="shared" si="332"/>
        <v>398.98924156951745</v>
      </c>
      <c r="AI44" s="186">
        <f t="shared" ref="AI44:BG44" si="333">HLOOKUP(AI42,$C$2:$BO$23,21,0)</f>
        <v>545.38631102410613</v>
      </c>
      <c r="AJ44" s="186">
        <f t="shared" si="333"/>
        <v>334.88061321760944</v>
      </c>
      <c r="AK44" s="186">
        <f t="shared" si="333"/>
        <v>391.14881771111374</v>
      </c>
      <c r="AL44" s="186">
        <f t="shared" si="333"/>
        <v>562.49201119167992</v>
      </c>
      <c r="AM44" s="186">
        <f t="shared" si="333"/>
        <v>255.85713565750888</v>
      </c>
      <c r="AN44" s="186">
        <f t="shared" si="333"/>
        <v>432.06116262670412</v>
      </c>
      <c r="AO44" s="186">
        <f t="shared" si="333"/>
        <v>566.31446009419915</v>
      </c>
      <c r="AP44" s="186">
        <f t="shared" si="333"/>
        <v>471.82791121517954</v>
      </c>
      <c r="AQ44" s="186">
        <f t="shared" si="333"/>
        <v>444.69148585451916</v>
      </c>
      <c r="AR44" s="186">
        <f t="shared" si="333"/>
        <v>644.45739778106122</v>
      </c>
      <c r="AS44" s="186">
        <f t="shared" si="333"/>
        <v>370.7528784513587</v>
      </c>
      <c r="AT44" s="186">
        <f t="shared" si="333"/>
        <v>560.59188860394534</v>
      </c>
      <c r="AU44" s="186">
        <f t="shared" si="333"/>
        <v>763.62199666684296</v>
      </c>
      <c r="AV44" s="186">
        <f t="shared" si="333"/>
        <v>497.47588375713406</v>
      </c>
      <c r="AW44" s="186">
        <f t="shared" si="333"/>
        <v>590.61709592749037</v>
      </c>
      <c r="AX44" s="186">
        <f t="shared" si="333"/>
        <v>698.01008927021996</v>
      </c>
      <c r="AY44" s="186">
        <f t="shared" si="333"/>
        <v>522.52729413893667</v>
      </c>
      <c r="AZ44" s="186">
        <f t="shared" si="333"/>
        <v>606.91193250406423</v>
      </c>
      <c r="BA44" s="186">
        <f t="shared" si="333"/>
        <v>699.92950246278451</v>
      </c>
      <c r="BB44" s="186">
        <f t="shared" si="333"/>
        <v>587.75677880965577</v>
      </c>
      <c r="BC44" s="186">
        <f t="shared" si="333"/>
        <v>613.53501856001742</v>
      </c>
      <c r="BD44" s="186">
        <f t="shared" si="333"/>
        <v>697.31358665183075</v>
      </c>
      <c r="BE44" s="186">
        <f t="shared" si="333"/>
        <v>542.95471066555615</v>
      </c>
      <c r="BF44" s="186">
        <f t="shared" si="333"/>
        <v>626.62148546795379</v>
      </c>
      <c r="BG44" s="186">
        <f t="shared" si="333"/>
        <v>703.72718645372822</v>
      </c>
      <c r="BH44" s="186"/>
      <c r="BI44" s="186"/>
      <c r="BJ44" s="186"/>
    </row>
    <row r="45" spans="1:62">
      <c r="A45" t="s">
        <v>721</v>
      </c>
      <c r="C45" s="186">
        <f>HLOOKUP(C42,$C$2:$BO$24,20,0)</f>
        <v>0</v>
      </c>
      <c r="D45" s="186">
        <f t="shared" ref="D45:BG45" si="334">HLOOKUP(D42,$C$2:$BO$24,20,0)</f>
        <v>0</v>
      </c>
      <c r="E45" s="186">
        <f t="shared" si="334"/>
        <v>0</v>
      </c>
      <c r="F45" s="186">
        <f t="shared" si="334"/>
        <v>0</v>
      </c>
      <c r="G45" s="186">
        <f t="shared" si="334"/>
        <v>1.6595596443484026</v>
      </c>
      <c r="H45" s="186">
        <f t="shared" si="334"/>
        <v>4.3148550753058466</v>
      </c>
      <c r="I45" s="186">
        <f t="shared" si="334"/>
        <v>7.7856414401076268</v>
      </c>
      <c r="J45" s="186">
        <f t="shared" si="334"/>
        <v>5.9040724171096306</v>
      </c>
      <c r="K45" s="186">
        <f t="shared" si="334"/>
        <v>5.1149549817156057</v>
      </c>
      <c r="L45" s="186">
        <f t="shared" si="334"/>
        <v>7.1745645792688872</v>
      </c>
      <c r="M45" s="186">
        <f t="shared" si="334"/>
        <v>240.56832695081326</v>
      </c>
      <c r="N45" s="186">
        <f t="shared" si="334"/>
        <v>260.24182693691267</v>
      </c>
      <c r="O45" s="186">
        <f t="shared" si="334"/>
        <v>192.39796979199411</v>
      </c>
      <c r="P45" s="186">
        <f t="shared" si="334"/>
        <v>200.66316665999344</v>
      </c>
      <c r="Q45" s="186">
        <f t="shared" si="334"/>
        <v>140.14780257306944</v>
      </c>
      <c r="R45" s="186">
        <f t="shared" si="334"/>
        <v>202.35648383514544</v>
      </c>
      <c r="S45" s="186">
        <f t="shared" si="334"/>
        <v>216.00442057881355</v>
      </c>
      <c r="T45" s="186">
        <f t="shared" si="334"/>
        <v>223.58819090504326</v>
      </c>
      <c r="U45" s="186">
        <f t="shared" si="334"/>
        <v>314.84433903770054</v>
      </c>
      <c r="V45" s="186">
        <f t="shared" si="334"/>
        <v>247.21303146828865</v>
      </c>
      <c r="W45" s="186">
        <f t="shared" si="334"/>
        <v>173.77381484481475</v>
      </c>
      <c r="X45" s="186">
        <f t="shared" si="334"/>
        <v>278.09279068417595</v>
      </c>
      <c r="Y45" s="186">
        <f t="shared" si="334"/>
        <v>258.41622400035936</v>
      </c>
      <c r="Z45" s="186">
        <f t="shared" si="334"/>
        <v>245.04795140565028</v>
      </c>
      <c r="AA45" s="186">
        <f t="shared" si="334"/>
        <v>402.82166198639425</v>
      </c>
      <c r="AB45" s="186">
        <f t="shared" si="334"/>
        <v>300.91061638049166</v>
      </c>
      <c r="AC45" s="186">
        <f t="shared" si="334"/>
        <v>214.47662547434464</v>
      </c>
      <c r="AD45" s="186">
        <f t="shared" si="334"/>
        <v>355.56844179887872</v>
      </c>
      <c r="AE45" s="186">
        <f t="shared" si="334"/>
        <v>324.27011588213929</v>
      </c>
      <c r="AF45" s="186">
        <f t="shared" si="334"/>
        <v>316.72068390224808</v>
      </c>
      <c r="AG45" s="186">
        <f t="shared" si="334"/>
        <v>449.21179711221799</v>
      </c>
      <c r="AH45" s="186">
        <f t="shared" si="334"/>
        <v>302.99008446751708</v>
      </c>
      <c r="AI45" s="186">
        <f t="shared" si="334"/>
        <v>221.31117458937291</v>
      </c>
      <c r="AJ45" s="186">
        <f t="shared" si="334"/>
        <v>390.50817603664194</v>
      </c>
      <c r="AK45" s="186">
        <f t="shared" si="334"/>
        <v>340.19947967741399</v>
      </c>
      <c r="AL45" s="186">
        <f t="shared" si="334"/>
        <v>328.12062478465509</v>
      </c>
      <c r="AM45" s="186">
        <f t="shared" si="334"/>
        <v>486.21263597633498</v>
      </c>
      <c r="AN45" s="186">
        <f t="shared" si="334"/>
        <v>336.06931385555765</v>
      </c>
      <c r="AO45" s="186">
        <f t="shared" si="334"/>
        <v>254.52990581496078</v>
      </c>
      <c r="AP45" s="186">
        <f t="shared" si="334"/>
        <v>412.84436590915988</v>
      </c>
      <c r="AQ45" s="186">
        <f t="shared" si="334"/>
        <v>458.67175712376144</v>
      </c>
      <c r="AR45" s="186">
        <f t="shared" si="334"/>
        <v>471.36272297770262</v>
      </c>
      <c r="AS45" s="186">
        <f t="shared" si="334"/>
        <v>607.81955631369215</v>
      </c>
      <c r="AT45" s="186">
        <f t="shared" si="334"/>
        <v>462.57243476505084</v>
      </c>
      <c r="AU45" s="186">
        <f t="shared" si="334"/>
        <v>358.3635847015089</v>
      </c>
      <c r="AV45" s="186">
        <f t="shared" si="334"/>
        <v>576.58558136835188</v>
      </c>
      <c r="AW45" s="186">
        <f t="shared" si="334"/>
        <v>499.3941599395913</v>
      </c>
      <c r="AX45" s="186">
        <f t="shared" si="334"/>
        <v>488.67725438485775</v>
      </c>
      <c r="AY45" s="186">
        <f t="shared" si="334"/>
        <v>584.52067698841097</v>
      </c>
      <c r="AZ45" s="186">
        <f t="shared" si="334"/>
        <v>502.10732112734786</v>
      </c>
      <c r="BA45" s="186">
        <f t="shared" si="334"/>
        <v>443.34336376739702</v>
      </c>
      <c r="BB45" s="186">
        <f t="shared" si="334"/>
        <v>534.27286623018153</v>
      </c>
      <c r="BC45" s="186">
        <f t="shared" si="334"/>
        <v>512.44108531997847</v>
      </c>
      <c r="BD45" s="186">
        <f t="shared" si="334"/>
        <v>509.81272871341162</v>
      </c>
      <c r="BE45" s="186">
        <f t="shared" si="334"/>
        <v>589.50131536524236</v>
      </c>
      <c r="BF45" s="186">
        <f t="shared" si="334"/>
        <v>512.20602603079851</v>
      </c>
      <c r="BG45" s="186">
        <f t="shared" si="334"/>
        <v>462.98949139337276</v>
      </c>
      <c r="BH45" s="186"/>
      <c r="BI45" s="186"/>
      <c r="BJ45" s="186"/>
    </row>
  </sheetData>
  <mergeCells count="8">
    <mergeCell ref="BR21:BS21"/>
    <mergeCell ref="BR6:BS6"/>
    <mergeCell ref="BX7:BX9"/>
    <mergeCell ref="C1:N1"/>
    <mergeCell ref="P1:AA1"/>
    <mergeCell ref="AC1:AN1"/>
    <mergeCell ref="AP1:BA1"/>
    <mergeCell ref="BC1:BN1"/>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48D03-FCB0-4E46-A221-5CB8519792C6}">
  <dimension ref="A2:B7"/>
  <sheetViews>
    <sheetView workbookViewId="0">
      <selection activeCell="A2" sqref="A2:B7"/>
    </sheetView>
  </sheetViews>
  <sheetFormatPr defaultRowHeight="15.75"/>
  <cols>
    <col min="1" max="1" width="63.875" bestFit="1" customWidth="1"/>
    <col min="2" max="2" width="46.25" bestFit="1" customWidth="1"/>
  </cols>
  <sheetData>
    <row r="2" spans="1:2">
      <c r="A2" t="s">
        <v>564</v>
      </c>
      <c r="B2" t="s">
        <v>563</v>
      </c>
    </row>
    <row r="3" spans="1:2">
      <c r="A3" t="s">
        <v>566</v>
      </c>
      <c r="B3" t="s">
        <v>565</v>
      </c>
    </row>
    <row r="4" spans="1:2">
      <c r="A4" t="s">
        <v>567</v>
      </c>
      <c r="B4" t="s">
        <v>568</v>
      </c>
    </row>
    <row r="5" spans="1:2">
      <c r="A5" t="s">
        <v>569</v>
      </c>
    </row>
    <row r="6" spans="1:2">
      <c r="A6" t="s">
        <v>570</v>
      </c>
    </row>
    <row r="7" spans="1:2">
      <c r="A7" t="s">
        <v>574</v>
      </c>
      <c r="B7" t="s">
        <v>715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1B081-7CF2-4E9F-BEB4-96708BD2C0DF}">
  <dimension ref="A1:BO25"/>
  <sheetViews>
    <sheetView workbookViewId="0">
      <pane xSplit="2" ySplit="2" topLeftCell="C3" activePane="bottomRight" state="frozen"/>
      <selection pane="topRight" activeCell="C1" sqref="C1"/>
      <selection pane="bottomLeft" activeCell="A3" sqref="A3"/>
      <selection pane="bottomRight" activeCell="F11" sqref="F11"/>
    </sheetView>
  </sheetViews>
  <sheetFormatPr defaultRowHeight="15.75"/>
  <cols>
    <col min="1" max="1" width="16" bestFit="1" customWidth="1"/>
    <col min="3" max="14" width="8.875" bestFit="1" customWidth="1"/>
    <col min="15" max="15" width="12.75" bestFit="1" customWidth="1"/>
    <col min="16" max="27" width="8.875" bestFit="1" customWidth="1"/>
    <col min="28" max="28" width="9.375" bestFit="1" customWidth="1"/>
    <col min="29" max="36" width="8.875" bestFit="1" customWidth="1"/>
    <col min="37" max="40" width="9.375" bestFit="1" customWidth="1"/>
    <col min="41" max="41" width="10.375" bestFit="1" customWidth="1"/>
    <col min="42" max="53" width="9.375" bestFit="1" customWidth="1"/>
    <col min="54" max="54" width="10.375" bestFit="1" customWidth="1"/>
    <col min="55" max="66" width="9.375" bestFit="1" customWidth="1"/>
    <col min="67" max="67" width="13" bestFit="1" customWidth="1"/>
  </cols>
  <sheetData>
    <row r="1" spans="1:67" ht="27" thickBot="1">
      <c r="C1" s="476">
        <v>2023</v>
      </c>
      <c r="D1" s="477"/>
      <c r="E1" s="477"/>
      <c r="F1" s="477"/>
      <c r="G1" s="477"/>
      <c r="H1" s="477"/>
      <c r="I1" s="477"/>
      <c r="J1" s="477"/>
      <c r="K1" s="477"/>
      <c r="L1" s="477"/>
      <c r="M1" s="477"/>
      <c r="N1" s="477"/>
      <c r="O1" s="270"/>
      <c r="P1" s="476">
        <v>2024</v>
      </c>
      <c r="Q1" s="477"/>
      <c r="R1" s="477"/>
      <c r="S1" s="477"/>
      <c r="T1" s="477"/>
      <c r="U1" s="477"/>
      <c r="V1" s="477"/>
      <c r="W1" s="477"/>
      <c r="X1" s="477"/>
      <c r="Y1" s="477"/>
      <c r="Z1" s="477"/>
      <c r="AA1" s="477"/>
      <c r="AB1" s="270"/>
      <c r="AC1" s="476">
        <v>2025</v>
      </c>
      <c r="AD1" s="477"/>
      <c r="AE1" s="477"/>
      <c r="AF1" s="477"/>
      <c r="AG1" s="477"/>
      <c r="AH1" s="477"/>
      <c r="AI1" s="477"/>
      <c r="AJ1" s="477"/>
      <c r="AK1" s="477"/>
      <c r="AL1" s="477"/>
      <c r="AM1" s="477"/>
      <c r="AN1" s="477"/>
      <c r="AO1" s="270"/>
      <c r="AP1" s="476">
        <v>2026</v>
      </c>
      <c r="AQ1" s="477"/>
      <c r="AR1" s="477"/>
      <c r="AS1" s="477"/>
      <c r="AT1" s="477"/>
      <c r="AU1" s="477"/>
      <c r="AV1" s="477"/>
      <c r="AW1" s="477"/>
      <c r="AX1" s="477"/>
      <c r="AY1" s="477"/>
      <c r="AZ1" s="477"/>
      <c r="BA1" s="477"/>
      <c r="BB1" s="270"/>
      <c r="BC1" s="476">
        <v>2027</v>
      </c>
      <c r="BD1" s="477"/>
      <c r="BE1" s="477"/>
      <c r="BF1" s="477"/>
      <c r="BG1" s="477"/>
      <c r="BH1" s="477"/>
      <c r="BI1" s="477"/>
      <c r="BJ1" s="477"/>
      <c r="BK1" s="477"/>
      <c r="BL1" s="477"/>
      <c r="BM1" s="477"/>
      <c r="BN1" s="477"/>
      <c r="BO1" s="270"/>
    </row>
    <row r="2" spans="1:67" ht="16.5" thickBot="1">
      <c r="C2" s="277">
        <f>DATE(2023,1,1)</f>
        <v>44927</v>
      </c>
      <c r="D2" s="274">
        <f>EDATE(C2,1)</f>
        <v>44958</v>
      </c>
      <c r="E2" s="274">
        <f t="shared" ref="E2:N2" si="0">EDATE(D2,1)</f>
        <v>44986</v>
      </c>
      <c r="F2" s="274">
        <f t="shared" si="0"/>
        <v>45017</v>
      </c>
      <c r="G2" s="274">
        <f t="shared" si="0"/>
        <v>45047</v>
      </c>
      <c r="H2" s="274">
        <f t="shared" si="0"/>
        <v>45078</v>
      </c>
      <c r="I2" s="274">
        <f t="shared" si="0"/>
        <v>45108</v>
      </c>
      <c r="J2" s="274">
        <f t="shared" si="0"/>
        <v>45139</v>
      </c>
      <c r="K2" s="274">
        <f t="shared" si="0"/>
        <v>45170</v>
      </c>
      <c r="L2" s="274">
        <f t="shared" si="0"/>
        <v>45200</v>
      </c>
      <c r="M2" s="274">
        <f t="shared" si="0"/>
        <v>45231</v>
      </c>
      <c r="N2" s="275">
        <f t="shared" si="0"/>
        <v>45261</v>
      </c>
      <c r="O2" s="276" t="s">
        <v>392</v>
      </c>
      <c r="P2" s="277">
        <f>EDATE(N2,1)</f>
        <v>45292</v>
      </c>
      <c r="Q2" s="275">
        <f t="shared" ref="Q2:AN2" si="1">EDATE(P2,1)</f>
        <v>45323</v>
      </c>
      <c r="R2" s="275">
        <f t="shared" si="1"/>
        <v>45352</v>
      </c>
      <c r="S2" s="275">
        <f t="shared" si="1"/>
        <v>45383</v>
      </c>
      <c r="T2" s="275">
        <f t="shared" si="1"/>
        <v>45413</v>
      </c>
      <c r="U2" s="275">
        <f t="shared" si="1"/>
        <v>45444</v>
      </c>
      <c r="V2" s="275">
        <f t="shared" si="1"/>
        <v>45474</v>
      </c>
      <c r="W2" s="275">
        <f t="shared" si="1"/>
        <v>45505</v>
      </c>
      <c r="X2" s="275">
        <f t="shared" si="1"/>
        <v>45536</v>
      </c>
      <c r="Y2" s="275">
        <f t="shared" si="1"/>
        <v>45566</v>
      </c>
      <c r="Z2" s="275">
        <f t="shared" si="1"/>
        <v>45597</v>
      </c>
      <c r="AA2" s="275">
        <f t="shared" si="1"/>
        <v>45627</v>
      </c>
      <c r="AB2" s="276" t="s">
        <v>393</v>
      </c>
      <c r="AC2" s="275">
        <f>EDATE(AA2,1)</f>
        <v>45658</v>
      </c>
      <c r="AD2" s="275">
        <f t="shared" si="1"/>
        <v>45689</v>
      </c>
      <c r="AE2" s="275">
        <f t="shared" si="1"/>
        <v>45717</v>
      </c>
      <c r="AF2" s="275">
        <f t="shared" si="1"/>
        <v>45748</v>
      </c>
      <c r="AG2" s="275">
        <f t="shared" si="1"/>
        <v>45778</v>
      </c>
      <c r="AH2" s="275">
        <f t="shared" si="1"/>
        <v>45809</v>
      </c>
      <c r="AI2" s="275">
        <f t="shared" si="1"/>
        <v>45839</v>
      </c>
      <c r="AJ2" s="275">
        <f t="shared" si="1"/>
        <v>45870</v>
      </c>
      <c r="AK2" s="275">
        <f t="shared" si="1"/>
        <v>45901</v>
      </c>
      <c r="AL2" s="275">
        <f t="shared" si="1"/>
        <v>45931</v>
      </c>
      <c r="AM2" s="275">
        <f t="shared" si="1"/>
        <v>45962</v>
      </c>
      <c r="AN2" s="275">
        <f t="shared" si="1"/>
        <v>45992</v>
      </c>
      <c r="AO2" s="276" t="s">
        <v>394</v>
      </c>
      <c r="AP2" s="275">
        <f>EDATE(AN2,1)</f>
        <v>46023</v>
      </c>
      <c r="AQ2" s="275">
        <f t="shared" ref="AQ2:BA2" si="2">EDATE(AP2,1)</f>
        <v>46054</v>
      </c>
      <c r="AR2" s="275">
        <f t="shared" si="2"/>
        <v>46082</v>
      </c>
      <c r="AS2" s="275">
        <f t="shared" si="2"/>
        <v>46113</v>
      </c>
      <c r="AT2" s="275">
        <f t="shared" si="2"/>
        <v>46143</v>
      </c>
      <c r="AU2" s="275">
        <f t="shared" si="2"/>
        <v>46174</v>
      </c>
      <c r="AV2" s="275">
        <f t="shared" si="2"/>
        <v>46204</v>
      </c>
      <c r="AW2" s="275">
        <f t="shared" si="2"/>
        <v>46235</v>
      </c>
      <c r="AX2" s="275">
        <f t="shared" si="2"/>
        <v>46266</v>
      </c>
      <c r="AY2" s="275">
        <f t="shared" si="2"/>
        <v>46296</v>
      </c>
      <c r="AZ2" s="275">
        <f t="shared" si="2"/>
        <v>46327</v>
      </c>
      <c r="BA2" s="275">
        <f t="shared" si="2"/>
        <v>46357</v>
      </c>
      <c r="BB2" s="276" t="s">
        <v>395</v>
      </c>
      <c r="BC2" s="275">
        <f>EDATE(BA2,1)</f>
        <v>46388</v>
      </c>
      <c r="BD2" s="275">
        <f t="shared" ref="BD2:BN2" si="3">EDATE(BC2,1)</f>
        <v>46419</v>
      </c>
      <c r="BE2" s="275">
        <f t="shared" si="3"/>
        <v>46447</v>
      </c>
      <c r="BF2" s="275">
        <f t="shared" si="3"/>
        <v>46478</v>
      </c>
      <c r="BG2" s="275">
        <f t="shared" si="3"/>
        <v>46508</v>
      </c>
      <c r="BH2" s="275">
        <f t="shared" si="3"/>
        <v>46539</v>
      </c>
      <c r="BI2" s="275">
        <f t="shared" si="3"/>
        <v>46569</v>
      </c>
      <c r="BJ2" s="275">
        <f t="shared" si="3"/>
        <v>46600</v>
      </c>
      <c r="BK2" s="275">
        <f t="shared" si="3"/>
        <v>46631</v>
      </c>
      <c r="BL2" s="275">
        <f t="shared" si="3"/>
        <v>46661</v>
      </c>
      <c r="BM2" s="275">
        <f t="shared" si="3"/>
        <v>46692</v>
      </c>
      <c r="BN2" s="275">
        <f t="shared" si="3"/>
        <v>46722</v>
      </c>
      <c r="BO2" s="276" t="s">
        <v>396</v>
      </c>
    </row>
    <row r="3" spans="1:67">
      <c r="B3" t="s">
        <v>487</v>
      </c>
      <c r="C3" s="192">
        <f>'Cost (Swiffer Glove)'!N47</f>
        <v>0</v>
      </c>
      <c r="D3" s="192">
        <f>'Cost (Swiffer Glove)'!O47</f>
        <v>0</v>
      </c>
      <c r="E3" s="192">
        <f>'Cost (Swiffer Glove)'!P47</f>
        <v>0</v>
      </c>
      <c r="F3" s="192">
        <f>'Cost (Swiffer Glove)'!Q47</f>
        <v>0</v>
      </c>
      <c r="G3" s="192">
        <f>'Cost (Swiffer Glove)'!R47</f>
        <v>0</v>
      </c>
      <c r="H3" s="192">
        <f>'Cost (Swiffer Glove)'!S47</f>
        <v>0</v>
      </c>
      <c r="I3" s="192">
        <f>'Cost (Swiffer Glove)'!T47</f>
        <v>20.579661189040586</v>
      </c>
      <c r="J3" s="192">
        <f>'Cost (Swiffer Glove)'!U47</f>
        <v>32.927457902464937</v>
      </c>
      <c r="K3" s="192">
        <f>'Cost (Swiffer Glove)'!V47</f>
        <v>57.623051329313647</v>
      </c>
      <c r="L3" s="192">
        <f>'Cost (Swiffer Glove)'!W47</f>
        <v>78.202712518354218</v>
      </c>
      <c r="M3" s="192">
        <f>'Cost (Swiffer Glove)'!X47</f>
        <v>94.666441469586687</v>
      </c>
      <c r="N3" s="192">
        <f>'Cost (Swiffer Glove)'!Y47</f>
        <v>127.59389937205162</v>
      </c>
      <c r="O3" s="192">
        <f>'Cost (Swiffer Glove)'!Z47</f>
        <v>411.59322378081174</v>
      </c>
      <c r="P3" s="192">
        <f>'Cost (Swiffer Glove)'!AA47</f>
        <v>3027.5039472266085</v>
      </c>
      <c r="Q3" s="192">
        <f>'Cost (Swiffer Glove)'!AB47</f>
        <v>3290.0040055600039</v>
      </c>
      <c r="R3" s="192">
        <f>'Cost (Swiffer Glove)'!AC47</f>
        <v>4494.0049933388837</v>
      </c>
      <c r="S3" s="192">
        <f>'Cost (Swiffer Glove)'!AD47</f>
        <v>3937.5045500050574</v>
      </c>
      <c r="T3" s="192">
        <f>'Cost (Swiffer Glove)'!AE47</f>
        <v>3963.750455000506</v>
      </c>
      <c r="U3" s="192">
        <f>'Cost (Swiffer Glove)'!AF47</f>
        <v>3990.0045500050574</v>
      </c>
      <c r="V3" s="192">
        <f>'Cost (Swiffer Glove)'!AG47</f>
        <v>4340.004938894378</v>
      </c>
      <c r="W3" s="192">
        <f>'Cost (Swiffer Glove)'!AH47</f>
        <v>4445.0049388943762</v>
      </c>
      <c r="X3" s="192">
        <f>'Cost (Swiffer Glove)'!AI47</f>
        <v>5817.0064633405136</v>
      </c>
      <c r="Y3" s="192">
        <f>'Cost (Swiffer Glove)'!AJ47</f>
        <v>4950.75</v>
      </c>
      <c r="Z3" s="192">
        <f>'Cost (Swiffer Glove)'!AK47</f>
        <v>4981.6722018580022</v>
      </c>
      <c r="AA3" s="192">
        <f>'Cost (Swiffer Glove)'!AL47</f>
        <v>5261.6725129694587</v>
      </c>
      <c r="AB3" s="192">
        <f>'Cost (Swiffer Glove)'!AM47</f>
        <v>52500</v>
      </c>
      <c r="AC3" s="192">
        <f>'Cost (Swiffer Glove)'!AN47</f>
        <v>5291.9999999999991</v>
      </c>
      <c r="AD3" s="192">
        <f>'Cost (Swiffer Glove)'!AO47</f>
        <v>5315.6249999999991</v>
      </c>
      <c r="AE3" s="192">
        <f>'Cost (Swiffer Glove)'!AP47</f>
        <v>7212.0267260579058</v>
      </c>
      <c r="AF3" s="192">
        <f>'Cost (Swiffer Glove)'!AQ47</f>
        <v>5956.1646722387677</v>
      </c>
      <c r="AG3" s="192">
        <f>'Cost (Swiffer Glove)'!AR47</f>
        <v>6221.2499999999991</v>
      </c>
      <c r="AH3" s="192">
        <f>'Cost (Swiffer Glove)'!AS47</f>
        <v>6528.3749999999991</v>
      </c>
      <c r="AI3" s="192">
        <f>'Cost (Swiffer Glove)'!AT47</f>
        <v>6694.042316258352</v>
      </c>
      <c r="AJ3" s="192">
        <f>'Cost (Swiffer Glove)'!AU47</f>
        <v>6740.8129175946551</v>
      </c>
      <c r="AK3" s="192">
        <f>'Cost (Swiffer Glove)'!AV47</f>
        <v>8411.6926503340801</v>
      </c>
      <c r="AL3" s="192">
        <f>'Cost (Swiffer Glove)'!AW47</f>
        <v>6583.3129175946524</v>
      </c>
      <c r="AM3" s="192">
        <f>'Cost (Swiffer Glove)'!AX47</f>
        <v>6740.8129175946551</v>
      </c>
      <c r="AN3" s="192">
        <f>'Cost (Swiffer Glove)'!AY47</f>
        <v>7056.484270567772</v>
      </c>
      <c r="AO3" s="192">
        <f>'Cost (Swiffer Glove)'!AZ47</f>
        <v>78749.999999999985</v>
      </c>
      <c r="AP3" s="192">
        <f>'Cost (Swiffer Glove)'!BA47</f>
        <v>7077</v>
      </c>
      <c r="AQ3" s="192">
        <f>'Cost (Swiffer Glove)'!BB47</f>
        <v>7105.0080111200077</v>
      </c>
      <c r="AR3" s="192">
        <f>'Cost (Swiffer Glove)'!BC47</f>
        <v>8988.0099866777673</v>
      </c>
      <c r="AS3" s="192">
        <f>'Cost (Swiffer Glove)'!BD47</f>
        <v>7140</v>
      </c>
      <c r="AT3" s="192">
        <f>'Cost (Swiffer Glove)'!BE47</f>
        <v>7455.0091000101147</v>
      </c>
      <c r="AU3" s="192">
        <f>'Cost (Swiffer Glove)'!BF47</f>
        <v>7560.0091000101147</v>
      </c>
      <c r="AV3" s="192">
        <f>'Cost (Swiffer Glove)'!BG47</f>
        <v>8890.0098777887524</v>
      </c>
      <c r="AW3" s="192">
        <f>'Cost (Swiffer Glove)'!BH47</f>
        <v>9030</v>
      </c>
      <c r="AX3" s="192">
        <f>'Cost (Swiffer Glove)'!BI47</f>
        <v>11634.012926681027</v>
      </c>
      <c r="AY3" s="192">
        <f>'Cost (Swiffer Glove)'!BJ47</f>
        <v>9544.5</v>
      </c>
      <c r="AZ3" s="192">
        <f>'Cost (Swiffer Glove)'!BK47</f>
        <v>10056.677840753156</v>
      </c>
      <c r="BA3" s="192">
        <f>'Cost (Swiffer Glove)'!BL47</f>
        <v>10523.345025938917</v>
      </c>
      <c r="BB3" s="192">
        <f>'Cost (Swiffer Glove)'!BM47</f>
        <v>105000</v>
      </c>
      <c r="BC3" s="192">
        <f>'Cost (Swiffer Glove)'!BN47</f>
        <v>18065</v>
      </c>
      <c r="BD3" s="192">
        <f>'Cost (Swiffer Glove)'!BO47</f>
        <v>18148.219499999992</v>
      </c>
      <c r="BE3" s="192">
        <f>'Cost (Swiffer Glove)'!BP47</f>
        <v>19970.276695920453</v>
      </c>
      <c r="BF3" s="192">
        <f>'Cost (Swiffer Glove)'!BQ47</f>
        <v>18270</v>
      </c>
      <c r="BG3" s="192">
        <f>'Cost (Swiffer Glove)'!BR47</f>
        <v>18287.656791595764</v>
      </c>
      <c r="BH3" s="192">
        <f>'Cost (Swiffer Glove)'!BS47</f>
        <v>18484.901254997527</v>
      </c>
      <c r="BI3" s="192">
        <f>'Cost (Swiffer Glove)'!BT47</f>
        <v>18528.75</v>
      </c>
      <c r="BJ3" s="192">
        <f>'Cost (Swiffer Glove)'!BU47</f>
        <v>18607.5</v>
      </c>
      <c r="BK3" s="192">
        <f>'Cost (Swiffer Glove)'!BV47</f>
        <v>20275.140603161388</v>
      </c>
      <c r="BL3" s="192">
        <f>'Cost (Swiffer Glove)'!BW47</f>
        <v>18675</v>
      </c>
      <c r="BM3" s="192">
        <f>'Cost (Swiffer Glove)'!BX47</f>
        <v>18787.5</v>
      </c>
      <c r="BN3" s="192">
        <f>'Cost (Swiffer Glove)'!BY47</f>
        <v>18894.442590036</v>
      </c>
      <c r="BO3" s="192">
        <f>'Cost (Swiffer Glove)'!BZ47</f>
        <v>131250</v>
      </c>
    </row>
    <row r="4" spans="1:67" ht="16.5" thickBot="1">
      <c r="B4" t="s">
        <v>278</v>
      </c>
      <c r="C4" s="192">
        <f>'Cost (Swiffer Glove)'!N6</f>
        <v>0</v>
      </c>
      <c r="D4" s="192">
        <f>'Cost (Swiffer Glove)'!O6</f>
        <v>0</v>
      </c>
      <c r="E4" s="192">
        <f>'Cost (Swiffer Glove)'!P6</f>
        <v>0</v>
      </c>
      <c r="F4" s="192">
        <f>'Cost (Swiffer Glove)'!Q6</f>
        <v>0</v>
      </c>
      <c r="G4" s="192">
        <f>'Cost (Swiffer Glove)'!R6</f>
        <v>0</v>
      </c>
      <c r="H4" s="192">
        <f>'Cost (Swiffer Glove)'!S6</f>
        <v>0</v>
      </c>
      <c r="I4" s="192">
        <f>'Cost (Swiffer Glove)'!T6</f>
        <v>8.2698661430753457</v>
      </c>
      <c r="J4" s="192">
        <f>'Cost (Swiffer Glove)'!U6</f>
        <v>13.231785828920552</v>
      </c>
      <c r="K4" s="192">
        <f>'Cost (Swiffer Glove)'!V6</f>
        <v>23.155625200610967</v>
      </c>
      <c r="L4" s="192">
        <f>'Cost (Swiffer Glove)'!W6</f>
        <v>31.425491343686311</v>
      </c>
      <c r="M4" s="192">
        <f>'Cost (Swiffer Glove)'!X6</f>
        <v>38.041384258146586</v>
      </c>
      <c r="N4" s="192">
        <f>'Cost (Swiffer Glove)'!Y6</f>
        <v>51.273170087067136</v>
      </c>
      <c r="O4" s="192">
        <f>'Cost (Swiffer Glove)'!Z6</f>
        <v>165.39732286150689</v>
      </c>
      <c r="P4" s="192">
        <f>'Cost (Swiffer Glove)'!AA6</f>
        <v>1216.592059568475</v>
      </c>
      <c r="Q4" s="192">
        <f>'Cost (Swiffer Glove)'!AB6</f>
        <v>1322.0768061357655</v>
      </c>
      <c r="R4" s="192">
        <f>'Cost (Swiffer Glove)'!AC6</f>
        <v>1805.9004664768916</v>
      </c>
      <c r="S4" s="192">
        <f>'Cost (Swiffer Glove)'!AD6</f>
        <v>1582.2726752971389</v>
      </c>
      <c r="T4" s="192">
        <f>'Cost (Swiffer Glove)'!AE6</f>
        <v>1592.8195020462508</v>
      </c>
      <c r="U4" s="192">
        <f>'Cost (Swiffer Glove)'!AF6</f>
        <v>1603.3696199223821</v>
      </c>
      <c r="V4" s="192">
        <f>'Cost (Swiffer Glove)'!AG6</f>
        <v>1744.0160736978407</v>
      </c>
      <c r="W4" s="192">
        <f>'Cost (Swiffer Glove)'!AH6</f>
        <v>1786.2099629483266</v>
      </c>
      <c r="X4" s="192">
        <f>'Cost (Swiffer Glove)'!AI6</f>
        <v>2337.5440617481245</v>
      </c>
      <c r="Y4" s="192">
        <f>'Cost (Swiffer Glove)'!AJ6</f>
        <v>1989.4418781604325</v>
      </c>
      <c r="Z4" s="192">
        <f>'Cost (Swiffer Glove)'!AK6</f>
        <v>2001.8678587373633</v>
      </c>
      <c r="AA4" s="192">
        <f>'Cost (Swiffer Glove)'!AL6</f>
        <v>2114.3850217577306</v>
      </c>
      <c r="AB4" s="192">
        <f>'Cost (Swiffer Glove)'!AM6</f>
        <v>21096.944625243188</v>
      </c>
      <c r="AC4" s="192">
        <f>'Cost (Swiffer Glove)'!AN6</f>
        <v>2126.5720182245127</v>
      </c>
      <c r="AD4" s="192">
        <f>'Cost (Swiffer Glove)'!AO6</f>
        <v>2136.0656433058725</v>
      </c>
      <c r="AE4" s="192">
        <f>'Cost (Swiffer Glove)'!AP6</f>
        <v>2898.1281614365248</v>
      </c>
      <c r="AF4" s="192">
        <f>'Cost (Swiffer Glove)'!AQ6</f>
        <v>2393.4643098866864</v>
      </c>
      <c r="AG4" s="192">
        <f>'Cost (Swiffer Glove)'!AR6</f>
        <v>2499.9879380913171</v>
      </c>
      <c r="AH4" s="192">
        <f>'Cost (Swiffer Glove)'!AS6</f>
        <v>2623.4050641489898</v>
      </c>
      <c r="AI4" s="192">
        <f>'Cost (Swiffer Glove)'!AT6</f>
        <v>2689.9779060026112</v>
      </c>
      <c r="AJ4" s="192">
        <f>'Cost (Swiffer Glove)'!AU6</f>
        <v>2708.7725114593982</v>
      </c>
      <c r="AK4" s="192">
        <f>'Cost (Swiffer Glove)'!AV6</f>
        <v>3380.2097914031083</v>
      </c>
      <c r="AL4" s="192">
        <f>'Cost (Swiffer Glove)'!AW6</f>
        <v>2645.4816775836675</v>
      </c>
      <c r="AM4" s="192">
        <f>'Cost (Swiffer Glove)'!AX6</f>
        <v>2708.7725114593982</v>
      </c>
      <c r="AN4" s="192">
        <f>'Cost (Swiffer Glove)'!AY6</f>
        <v>2835.6239600965309</v>
      </c>
      <c r="AO4" s="192">
        <f>'Cost (Swiffer Glove)'!AZ6</f>
        <v>31645.416937864775</v>
      </c>
      <c r="AP4" s="192">
        <f>'Cost (Swiffer Glove)'!BA6</f>
        <v>2843.8681354827818</v>
      </c>
      <c r="AQ4" s="192">
        <f>'Cost (Swiffer Glove)'!BB6</f>
        <v>2855.1230585239628</v>
      </c>
      <c r="AR4" s="192">
        <f>'Cost (Swiffer Glove)'!BC6</f>
        <v>3611.8009329537831</v>
      </c>
      <c r="AS4" s="192">
        <f>'Cost (Swiffer Glove)'!BD6</f>
        <v>2869.1844690330736</v>
      </c>
      <c r="AT4" s="192">
        <f>'Cost (Swiffer Glove)'!BE6</f>
        <v>2995.7697935923325</v>
      </c>
      <c r="AU4" s="192">
        <f>'Cost (Swiffer Glove)'!BF6</f>
        <v>3037.9636828428188</v>
      </c>
      <c r="AV4" s="192">
        <f>'Cost (Swiffer Glove)'!BG6</f>
        <v>3572.4199258966532</v>
      </c>
      <c r="AW4" s="192">
        <f>'Cost (Swiffer Glove)'!BH6</f>
        <v>3628.6744755418281</v>
      </c>
      <c r="AX4" s="192">
        <f>'Cost (Swiffer Glove)'!BI6</f>
        <v>4675.088123496249</v>
      </c>
      <c r="AY4" s="192">
        <f>'Cost (Swiffer Glove)'!BJ6</f>
        <v>3835.4245328692114</v>
      </c>
      <c r="AZ4" s="192">
        <f>'Cost (Swiffer Glove)'!BK6</f>
        <v>4041.2414384815161</v>
      </c>
      <c r="BA4" s="192">
        <f>'Cost (Swiffer Glove)'!BL6</f>
        <v>4228.7700435154611</v>
      </c>
      <c r="BB4" s="192">
        <f>'Cost (Swiffer Glove)'!BM6</f>
        <v>42193.889250486376</v>
      </c>
      <c r="BC4" s="192">
        <f>'Cost (Swiffer Glove)'!BN6</f>
        <v>4234.6256072779806</v>
      </c>
      <c r="BD4" s="192">
        <f>'Cost (Swiffer Glove)'!BO6</f>
        <v>4254.1331315362058</v>
      </c>
      <c r="BE4" s="192">
        <f>'Cost (Swiffer Glove)'!BP6</f>
        <v>4681.2424622735371</v>
      </c>
      <c r="BF4" s="192">
        <f>'Cost (Swiffer Glove)'!BQ6</f>
        <v>4282.679758924367</v>
      </c>
      <c r="BG4" s="192">
        <f>'Cost (Swiffer Glove)'!BR6</f>
        <v>4286.8186961972042</v>
      </c>
      <c r="BH4" s="192">
        <f>'Cost (Swiffer Glove)'!BS6</f>
        <v>4333.0548686641241</v>
      </c>
      <c r="BI4" s="192">
        <f>'Cost (Swiffer Glove)'!BT6</f>
        <v>4343.3334747219424</v>
      </c>
      <c r="BJ4" s="192">
        <f>'Cost (Swiffer Glove)'!BU6</f>
        <v>4361.7933012690291</v>
      </c>
      <c r="BK4" s="192">
        <f>'Cost (Swiffer Glove)'!BV6</f>
        <v>4752.705761932395</v>
      </c>
      <c r="BL4" s="192">
        <f>'Cost (Swiffer Glove)'!BW6</f>
        <v>4377.6160097379625</v>
      </c>
      <c r="BM4" s="192">
        <f>'Cost (Swiffer Glove)'!BX6</f>
        <v>4403.9871905195159</v>
      </c>
      <c r="BN4" s="192">
        <f>'Cost (Swiffer Glove)'!BY6</f>
        <v>4429.055656075845</v>
      </c>
      <c r="BO4" s="192">
        <f>'Cost (Swiffer Glove)'!BZ6</f>
        <v>52742.361563107974</v>
      </c>
    </row>
    <row r="5" spans="1:67" ht="16.5" thickBot="1">
      <c r="C5" s="277">
        <f>DATE(2023,1,1)</f>
        <v>44927</v>
      </c>
      <c r="D5" s="274">
        <f>EDATE(C5,1)</f>
        <v>44958</v>
      </c>
      <c r="E5" s="274">
        <f t="shared" ref="E5" si="4">EDATE(D5,1)</f>
        <v>44986</v>
      </c>
      <c r="F5" s="274">
        <f t="shared" ref="F5" si="5">EDATE(E5,1)</f>
        <v>45017</v>
      </c>
      <c r="G5" s="274">
        <f t="shared" ref="G5" si="6">EDATE(F5,1)</f>
        <v>45047</v>
      </c>
      <c r="H5" s="274">
        <f t="shared" ref="H5" si="7">EDATE(G5,1)</f>
        <v>45078</v>
      </c>
      <c r="I5" s="274">
        <f t="shared" ref="I5" si="8">EDATE(H5,1)</f>
        <v>45108</v>
      </c>
      <c r="J5" s="274">
        <f t="shared" ref="J5" si="9">EDATE(I5,1)</f>
        <v>45139</v>
      </c>
      <c r="K5" s="274">
        <f t="shared" ref="K5" si="10">EDATE(J5,1)</f>
        <v>45170</v>
      </c>
      <c r="L5" s="274">
        <f t="shared" ref="L5" si="11">EDATE(K5,1)</f>
        <v>45200</v>
      </c>
      <c r="M5" s="274">
        <f t="shared" ref="M5" si="12">EDATE(L5,1)</f>
        <v>45231</v>
      </c>
      <c r="N5" s="275">
        <f t="shared" ref="N5" si="13">EDATE(M5,1)</f>
        <v>45261</v>
      </c>
      <c r="O5" s="276" t="s">
        <v>520</v>
      </c>
      <c r="P5" s="277">
        <f>EDATE(N5,1)</f>
        <v>45292</v>
      </c>
      <c r="Q5" s="275">
        <f t="shared" ref="Q5" si="14">EDATE(P5,1)</f>
        <v>45323</v>
      </c>
      <c r="R5" s="275">
        <f t="shared" ref="R5" si="15">EDATE(Q5,1)</f>
        <v>45352</v>
      </c>
      <c r="S5" s="275">
        <f t="shared" ref="S5" si="16">EDATE(R5,1)</f>
        <v>45383</v>
      </c>
      <c r="T5" s="275">
        <f t="shared" ref="T5" si="17">EDATE(S5,1)</f>
        <v>45413</v>
      </c>
      <c r="U5" s="275">
        <f t="shared" ref="U5" si="18">EDATE(T5,1)</f>
        <v>45444</v>
      </c>
      <c r="V5" s="275">
        <f t="shared" ref="V5" si="19">EDATE(U5,1)</f>
        <v>45474</v>
      </c>
      <c r="W5" s="275">
        <f t="shared" ref="W5" si="20">EDATE(V5,1)</f>
        <v>45505</v>
      </c>
      <c r="X5" s="275">
        <f t="shared" ref="X5" si="21">EDATE(W5,1)</f>
        <v>45536</v>
      </c>
      <c r="Y5" s="275">
        <f t="shared" ref="Y5" si="22">EDATE(X5,1)</f>
        <v>45566</v>
      </c>
      <c r="Z5" s="275">
        <f t="shared" ref="Z5" si="23">EDATE(Y5,1)</f>
        <v>45597</v>
      </c>
      <c r="AA5" s="275">
        <f t="shared" ref="AA5" si="24">EDATE(Z5,1)</f>
        <v>45627</v>
      </c>
      <c r="AB5" s="276" t="s">
        <v>521</v>
      </c>
      <c r="AC5" s="275">
        <f>EDATE(AA5,1)</f>
        <v>45658</v>
      </c>
      <c r="AD5" s="275">
        <f t="shared" ref="AD5" si="25">EDATE(AC5,1)</f>
        <v>45689</v>
      </c>
      <c r="AE5" s="275">
        <f t="shared" ref="AE5" si="26">EDATE(AD5,1)</f>
        <v>45717</v>
      </c>
      <c r="AF5" s="275">
        <f t="shared" ref="AF5" si="27">EDATE(AE5,1)</f>
        <v>45748</v>
      </c>
      <c r="AG5" s="275">
        <f t="shared" ref="AG5" si="28">EDATE(AF5,1)</f>
        <v>45778</v>
      </c>
      <c r="AH5" s="275">
        <f t="shared" ref="AH5" si="29">EDATE(AG5,1)</f>
        <v>45809</v>
      </c>
      <c r="AI5" s="275">
        <f t="shared" ref="AI5" si="30">EDATE(AH5,1)</f>
        <v>45839</v>
      </c>
      <c r="AJ5" s="275">
        <f t="shared" ref="AJ5" si="31">EDATE(AI5,1)</f>
        <v>45870</v>
      </c>
      <c r="AK5" s="275">
        <f t="shared" ref="AK5" si="32">EDATE(AJ5,1)</f>
        <v>45901</v>
      </c>
      <c r="AL5" s="275">
        <f t="shared" ref="AL5" si="33">EDATE(AK5,1)</f>
        <v>45931</v>
      </c>
      <c r="AM5" s="275">
        <f t="shared" ref="AM5" si="34">EDATE(AL5,1)</f>
        <v>45962</v>
      </c>
      <c r="AN5" s="275">
        <f t="shared" ref="AN5" si="35">EDATE(AM5,1)</f>
        <v>45992</v>
      </c>
      <c r="AO5" s="276" t="s">
        <v>522</v>
      </c>
      <c r="AP5" s="275">
        <f>EDATE(AN5,1)</f>
        <v>46023</v>
      </c>
      <c r="AQ5" s="275">
        <f t="shared" ref="AQ5" si="36">EDATE(AP5,1)</f>
        <v>46054</v>
      </c>
      <c r="AR5" s="275">
        <f t="shared" ref="AR5" si="37">EDATE(AQ5,1)</f>
        <v>46082</v>
      </c>
      <c r="AS5" s="275">
        <f t="shared" ref="AS5" si="38">EDATE(AR5,1)</f>
        <v>46113</v>
      </c>
      <c r="AT5" s="275">
        <f t="shared" ref="AT5" si="39">EDATE(AS5,1)</f>
        <v>46143</v>
      </c>
      <c r="AU5" s="275">
        <f t="shared" ref="AU5" si="40">EDATE(AT5,1)</f>
        <v>46174</v>
      </c>
      <c r="AV5" s="275">
        <f t="shared" ref="AV5" si="41">EDATE(AU5,1)</f>
        <v>46204</v>
      </c>
      <c r="AW5" s="275">
        <f t="shared" ref="AW5" si="42">EDATE(AV5,1)</f>
        <v>46235</v>
      </c>
      <c r="AX5" s="275">
        <f t="shared" ref="AX5" si="43">EDATE(AW5,1)</f>
        <v>46266</v>
      </c>
      <c r="AY5" s="275">
        <f t="shared" ref="AY5" si="44">EDATE(AX5,1)</f>
        <v>46296</v>
      </c>
      <c r="AZ5" s="275">
        <f t="shared" ref="AZ5" si="45">EDATE(AY5,1)</f>
        <v>46327</v>
      </c>
      <c r="BA5" s="275">
        <f t="shared" ref="BA5" si="46">EDATE(AZ5,1)</f>
        <v>46357</v>
      </c>
      <c r="BB5" s="276" t="s">
        <v>523</v>
      </c>
      <c r="BC5" s="275">
        <f>EDATE(BA5,1)</f>
        <v>46388</v>
      </c>
      <c r="BD5" s="275">
        <f t="shared" ref="BD5" si="47">EDATE(BC5,1)</f>
        <v>46419</v>
      </c>
      <c r="BE5" s="275">
        <f t="shared" ref="BE5" si="48">EDATE(BD5,1)</f>
        <v>46447</v>
      </c>
      <c r="BF5" s="275">
        <f t="shared" ref="BF5" si="49">EDATE(BE5,1)</f>
        <v>46478</v>
      </c>
      <c r="BG5" s="275">
        <f t="shared" ref="BG5" si="50">EDATE(BF5,1)</f>
        <v>46508</v>
      </c>
      <c r="BH5" s="275">
        <f t="shared" ref="BH5" si="51">EDATE(BG5,1)</f>
        <v>46539</v>
      </c>
      <c r="BI5" s="275">
        <f t="shared" ref="BI5" si="52">EDATE(BH5,1)</f>
        <v>46569</v>
      </c>
      <c r="BJ5" s="275">
        <f t="shared" ref="BJ5" si="53">EDATE(BI5,1)</f>
        <v>46600</v>
      </c>
      <c r="BK5" s="275">
        <f t="shared" ref="BK5" si="54">EDATE(BJ5,1)</f>
        <v>46631</v>
      </c>
      <c r="BL5" s="275">
        <f t="shared" ref="BL5" si="55">EDATE(BK5,1)</f>
        <v>46661</v>
      </c>
      <c r="BM5" s="275">
        <f t="shared" ref="BM5" si="56">EDATE(BL5,1)</f>
        <v>46692</v>
      </c>
      <c r="BN5" s="275">
        <f t="shared" ref="BN5" si="57">EDATE(BM5,1)</f>
        <v>46722</v>
      </c>
      <c r="BO5" s="276" t="s">
        <v>524</v>
      </c>
    </row>
    <row r="6" spans="1:67">
      <c r="B6" t="s">
        <v>515</v>
      </c>
      <c r="C6">
        <v>0</v>
      </c>
      <c r="D6">
        <v>0</v>
      </c>
      <c r="E6">
        <v>0</v>
      </c>
      <c r="F6">
        <v>0</v>
      </c>
      <c r="G6">
        <v>0</v>
      </c>
      <c r="H6">
        <v>0</v>
      </c>
      <c r="I6" s="192">
        <f>I3</f>
        <v>20.579661189040586</v>
      </c>
      <c r="J6" s="192">
        <f t="shared" ref="J6:N6" si="58">J3</f>
        <v>32.927457902464937</v>
      </c>
      <c r="K6" s="192">
        <f t="shared" si="58"/>
        <v>57.623051329313647</v>
      </c>
      <c r="L6" s="192">
        <f t="shared" si="58"/>
        <v>78.202712518354218</v>
      </c>
      <c r="M6" s="192">
        <f t="shared" si="58"/>
        <v>94.666441469586687</v>
      </c>
      <c r="N6" s="192">
        <f t="shared" si="58"/>
        <v>127.59389937205162</v>
      </c>
      <c r="O6" s="192">
        <f>N6</f>
        <v>127.59389937205162</v>
      </c>
      <c r="P6" s="192">
        <f>P3</f>
        <v>3027.5039472266085</v>
      </c>
      <c r="Q6" s="192">
        <f t="shared" ref="Q6:AA6" si="59">Q3</f>
        <v>3290.0040055600039</v>
      </c>
      <c r="R6" s="192">
        <f t="shared" si="59"/>
        <v>4494.0049933388837</v>
      </c>
      <c r="S6" s="192">
        <f t="shared" si="59"/>
        <v>3937.5045500050574</v>
      </c>
      <c r="T6" s="192">
        <f t="shared" si="59"/>
        <v>3963.750455000506</v>
      </c>
      <c r="U6" s="192">
        <f t="shared" si="59"/>
        <v>3990.0045500050574</v>
      </c>
      <c r="V6" s="192">
        <f t="shared" si="59"/>
        <v>4340.004938894378</v>
      </c>
      <c r="W6" s="192">
        <f t="shared" si="59"/>
        <v>4445.0049388943762</v>
      </c>
      <c r="X6" s="192">
        <f t="shared" si="59"/>
        <v>5817.0064633405136</v>
      </c>
      <c r="Y6" s="192">
        <f t="shared" si="59"/>
        <v>4950.75</v>
      </c>
      <c r="Z6" s="192">
        <f t="shared" si="59"/>
        <v>4981.6722018580022</v>
      </c>
      <c r="AA6" s="192">
        <f t="shared" si="59"/>
        <v>5261.6725129694587</v>
      </c>
      <c r="AB6" s="192">
        <f>AA6</f>
        <v>5261.6725129694587</v>
      </c>
      <c r="AC6" s="192">
        <f>AC3</f>
        <v>5291.9999999999991</v>
      </c>
      <c r="AD6" s="192">
        <f t="shared" ref="AD6:AN6" si="60">AD3</f>
        <v>5315.6249999999991</v>
      </c>
      <c r="AE6" s="192">
        <f t="shared" si="60"/>
        <v>7212.0267260579058</v>
      </c>
      <c r="AF6" s="192">
        <f t="shared" si="60"/>
        <v>5956.1646722387677</v>
      </c>
      <c r="AG6" s="192">
        <f t="shared" si="60"/>
        <v>6221.2499999999991</v>
      </c>
      <c r="AH6" s="192">
        <f t="shared" si="60"/>
        <v>6528.3749999999991</v>
      </c>
      <c r="AI6" s="192">
        <f t="shared" si="60"/>
        <v>6694.042316258352</v>
      </c>
      <c r="AJ6" s="192">
        <f t="shared" si="60"/>
        <v>6740.8129175946551</v>
      </c>
      <c r="AK6" s="192">
        <f t="shared" si="60"/>
        <v>8411.6926503340801</v>
      </c>
      <c r="AL6" s="192">
        <f t="shared" si="60"/>
        <v>6583.3129175946524</v>
      </c>
      <c r="AM6" s="192">
        <f t="shared" si="60"/>
        <v>6740.8129175946551</v>
      </c>
      <c r="AN6" s="192">
        <f t="shared" si="60"/>
        <v>7056.484270567772</v>
      </c>
      <c r="AO6" s="192">
        <f>AN6</f>
        <v>7056.484270567772</v>
      </c>
      <c r="AP6" s="192">
        <f>AP3</f>
        <v>7077</v>
      </c>
      <c r="AQ6" s="192">
        <f t="shared" ref="AQ6:BA6" si="61">AQ3</f>
        <v>7105.0080111200077</v>
      </c>
      <c r="AR6" s="192">
        <f t="shared" si="61"/>
        <v>8988.0099866777673</v>
      </c>
      <c r="AS6" s="192">
        <f t="shared" si="61"/>
        <v>7140</v>
      </c>
      <c r="AT6" s="192">
        <f t="shared" si="61"/>
        <v>7455.0091000101147</v>
      </c>
      <c r="AU6" s="192">
        <f t="shared" si="61"/>
        <v>7560.0091000101147</v>
      </c>
      <c r="AV6" s="192">
        <f t="shared" si="61"/>
        <v>8890.0098777887524</v>
      </c>
      <c r="AW6" s="192">
        <f t="shared" si="61"/>
        <v>9030</v>
      </c>
      <c r="AX6" s="192">
        <f t="shared" si="61"/>
        <v>11634.012926681027</v>
      </c>
      <c r="AY6" s="192">
        <f t="shared" si="61"/>
        <v>9544.5</v>
      </c>
      <c r="AZ6" s="192">
        <f t="shared" si="61"/>
        <v>10056.677840753156</v>
      </c>
      <c r="BA6" s="192">
        <f t="shared" si="61"/>
        <v>10523.345025938917</v>
      </c>
      <c r="BB6" s="192">
        <f>BA6</f>
        <v>10523.345025938917</v>
      </c>
      <c r="BC6" s="192">
        <f>BC3</f>
        <v>18065</v>
      </c>
      <c r="BD6" s="192">
        <f t="shared" ref="BD6:BN6" si="62">BD3</f>
        <v>18148.219499999992</v>
      </c>
      <c r="BE6" s="192">
        <f t="shared" si="62"/>
        <v>19970.276695920453</v>
      </c>
      <c r="BF6" s="192">
        <f t="shared" si="62"/>
        <v>18270</v>
      </c>
      <c r="BG6" s="192">
        <f t="shared" si="62"/>
        <v>18287.656791595764</v>
      </c>
      <c r="BH6" s="192">
        <f t="shared" si="62"/>
        <v>18484.901254997527</v>
      </c>
      <c r="BI6" s="192">
        <f t="shared" si="62"/>
        <v>18528.75</v>
      </c>
      <c r="BJ6" s="192">
        <f t="shared" si="62"/>
        <v>18607.5</v>
      </c>
      <c r="BK6" s="192">
        <f t="shared" si="62"/>
        <v>20275.140603161388</v>
      </c>
      <c r="BL6" s="192">
        <f t="shared" si="62"/>
        <v>18675</v>
      </c>
      <c r="BM6" s="192">
        <f t="shared" si="62"/>
        <v>18787.5</v>
      </c>
      <c r="BN6" s="192">
        <f t="shared" si="62"/>
        <v>18894.442590036</v>
      </c>
      <c r="BO6" s="192">
        <f>BN6</f>
        <v>18894.442590036</v>
      </c>
    </row>
    <row r="7" spans="1:67">
      <c r="B7" t="s">
        <v>516</v>
      </c>
      <c r="C7">
        <v>0</v>
      </c>
      <c r="D7">
        <v>0</v>
      </c>
      <c r="E7">
        <v>0</v>
      </c>
      <c r="F7">
        <v>0</v>
      </c>
      <c r="G7">
        <v>0</v>
      </c>
      <c r="H7">
        <v>0</v>
      </c>
      <c r="I7" s="192">
        <f>SUM(F4:I4)</f>
        <v>8.2698661430753457</v>
      </c>
      <c r="J7" s="192">
        <f t="shared" ref="J7:N7" si="63">SUM(G4:J4)</f>
        <v>21.501651971995898</v>
      </c>
      <c r="K7" s="192">
        <f t="shared" si="63"/>
        <v>44.657277172606868</v>
      </c>
      <c r="L7" s="192">
        <f t="shared" si="63"/>
        <v>76.082768516293186</v>
      </c>
      <c r="M7" s="192">
        <f t="shared" si="63"/>
        <v>105.85428663136443</v>
      </c>
      <c r="N7" s="192">
        <f t="shared" si="63"/>
        <v>143.895670889511</v>
      </c>
      <c r="O7" s="192">
        <f>N7</f>
        <v>143.895670889511</v>
      </c>
      <c r="P7" s="192">
        <f>SUM(L4:N4,P4)</f>
        <v>1337.3321052573749</v>
      </c>
      <c r="Q7" s="192">
        <f>SUM(M4:N4,P4:Q4)</f>
        <v>2627.9834200494543</v>
      </c>
      <c r="R7" s="192">
        <f>SUM(P4:R4,N4)</f>
        <v>4395.8425022681995</v>
      </c>
      <c r="S7" s="192">
        <f t="shared" ref="S7:AA7" si="64">SUM(P4:S4)</f>
        <v>5926.8420074782716</v>
      </c>
      <c r="T7" s="192">
        <f t="shared" si="64"/>
        <v>6303.0694499560468</v>
      </c>
      <c r="U7" s="192">
        <f t="shared" si="64"/>
        <v>6584.3622637426633</v>
      </c>
      <c r="V7" s="192">
        <f t="shared" si="64"/>
        <v>6522.4778709636121</v>
      </c>
      <c r="W7" s="192">
        <f t="shared" si="64"/>
        <v>6726.4151586148</v>
      </c>
      <c r="X7" s="192">
        <f t="shared" si="64"/>
        <v>7471.1397183166737</v>
      </c>
      <c r="Y7" s="192">
        <f t="shared" si="64"/>
        <v>7857.211976554725</v>
      </c>
      <c r="Z7" s="192">
        <f t="shared" si="64"/>
        <v>8115.0637615942469</v>
      </c>
      <c r="AA7" s="192">
        <f t="shared" si="64"/>
        <v>8443.2388204036506</v>
      </c>
      <c r="AB7" s="192">
        <f>AA7</f>
        <v>8443.2388204036506</v>
      </c>
      <c r="AC7" s="192">
        <f>SUM(Y4:AA4,AC4)</f>
        <v>8232.2667768800402</v>
      </c>
      <c r="AD7" s="192">
        <f>SUM(Z4:AA4,AC4:AD4)</f>
        <v>8378.8905420254796</v>
      </c>
      <c r="AE7" s="192">
        <f>SUM(AC4:AE4,AA4)</f>
        <v>9275.1508447246415</v>
      </c>
      <c r="AF7" s="192">
        <f t="shared" ref="AF7:AN7" si="65">SUM(AC4:AF4)</f>
        <v>9554.2301328535978</v>
      </c>
      <c r="AG7" s="192">
        <f t="shared" si="65"/>
        <v>9927.6460527203999</v>
      </c>
      <c r="AH7" s="192">
        <f t="shared" si="65"/>
        <v>10414.985473563518</v>
      </c>
      <c r="AI7" s="192">
        <f t="shared" si="65"/>
        <v>10206.835218129603</v>
      </c>
      <c r="AJ7" s="192">
        <f t="shared" si="65"/>
        <v>10522.143419702317</v>
      </c>
      <c r="AK7" s="192">
        <f t="shared" si="65"/>
        <v>11402.365273014108</v>
      </c>
      <c r="AL7" s="192">
        <f t="shared" si="65"/>
        <v>11424.441886448787</v>
      </c>
      <c r="AM7" s="192">
        <f t="shared" si="65"/>
        <v>11443.236491905573</v>
      </c>
      <c r="AN7" s="192">
        <f t="shared" si="65"/>
        <v>11570.087940542704</v>
      </c>
      <c r="AO7" s="192">
        <f>AN7</f>
        <v>11570.087940542704</v>
      </c>
      <c r="AP7" s="192">
        <f>SUM(AL4:AN4,AP4)</f>
        <v>11033.746284622379</v>
      </c>
      <c r="AQ7" s="192">
        <f>SUM(AM4:AN4,AP4:AQ4)</f>
        <v>11243.387665562674</v>
      </c>
      <c r="AR7" s="192">
        <f>SUM(AP4:AR4,AN4)</f>
        <v>12146.416087057059</v>
      </c>
      <c r="AS7" s="192">
        <f t="shared" ref="AS7:BA7" si="66">SUM(AP4:AS4)</f>
        <v>12179.976595993601</v>
      </c>
      <c r="AT7" s="192">
        <f t="shared" si="66"/>
        <v>12331.878254103151</v>
      </c>
      <c r="AU7" s="192">
        <f t="shared" si="66"/>
        <v>12514.718878422009</v>
      </c>
      <c r="AV7" s="192">
        <f t="shared" si="66"/>
        <v>12475.337871364878</v>
      </c>
      <c r="AW7" s="192">
        <f t="shared" si="66"/>
        <v>13234.827877873631</v>
      </c>
      <c r="AX7" s="192">
        <f t="shared" si="66"/>
        <v>14914.146207777549</v>
      </c>
      <c r="AY7" s="192">
        <f t="shared" si="66"/>
        <v>15711.607057803943</v>
      </c>
      <c r="AZ7" s="192">
        <f t="shared" si="66"/>
        <v>16180.428570388805</v>
      </c>
      <c r="BA7" s="192">
        <f t="shared" si="66"/>
        <v>16780.524138362438</v>
      </c>
      <c r="BB7" s="192">
        <f>BA7</f>
        <v>16780.524138362438</v>
      </c>
      <c r="BC7" s="192">
        <f>SUM(AY4:BA4,BC4)</f>
        <v>16340.061622144167</v>
      </c>
      <c r="BD7" s="192">
        <f>SUM(AZ4:BA4,BC4:BD4)</f>
        <v>16758.770220811166</v>
      </c>
      <c r="BE7" s="192">
        <f>SUM(BC4:BE4,BA4)</f>
        <v>17398.771244603187</v>
      </c>
      <c r="BF7" s="192">
        <f t="shared" ref="BF7:BN7" si="67">SUM(BC4:BF4)</f>
        <v>17452.680960012091</v>
      </c>
      <c r="BG7" s="192">
        <f t="shared" si="67"/>
        <v>17504.874048931313</v>
      </c>
      <c r="BH7" s="192">
        <f t="shared" si="67"/>
        <v>17583.795786059232</v>
      </c>
      <c r="BI7" s="192">
        <f t="shared" si="67"/>
        <v>17245.886798507636</v>
      </c>
      <c r="BJ7" s="192">
        <f t="shared" si="67"/>
        <v>17325.000340852301</v>
      </c>
      <c r="BK7" s="192">
        <f t="shared" si="67"/>
        <v>17790.887406587492</v>
      </c>
      <c r="BL7" s="192">
        <f t="shared" si="67"/>
        <v>17835.44854766133</v>
      </c>
      <c r="BM7" s="192">
        <f t="shared" si="67"/>
        <v>17896.102263458903</v>
      </c>
      <c r="BN7" s="192">
        <f t="shared" si="67"/>
        <v>17963.364618265718</v>
      </c>
      <c r="BO7" s="192">
        <f>BN7</f>
        <v>17963.364618265718</v>
      </c>
    </row>
    <row r="8" spans="1:67">
      <c r="B8" t="s">
        <v>59</v>
      </c>
      <c r="C8">
        <v>0</v>
      </c>
      <c r="D8">
        <v>0</v>
      </c>
      <c r="E8">
        <v>0</v>
      </c>
      <c r="F8">
        <v>0</v>
      </c>
      <c r="G8">
        <v>0</v>
      </c>
      <c r="H8">
        <v>0</v>
      </c>
      <c r="I8" s="192">
        <f>SUM(H4:I4)</f>
        <v>8.2698661430753457</v>
      </c>
      <c r="J8" s="192">
        <f t="shared" ref="J8:N8" si="68">SUM(I4:J4)</f>
        <v>21.501651971995898</v>
      </c>
      <c r="K8" s="192">
        <f t="shared" si="68"/>
        <v>36.387411029531521</v>
      </c>
      <c r="L8" s="192">
        <f t="shared" si="68"/>
        <v>54.581116544297274</v>
      </c>
      <c r="M8" s="192">
        <f t="shared" si="68"/>
        <v>69.466875601832896</v>
      </c>
      <c r="N8" s="192">
        <f t="shared" si="68"/>
        <v>89.314554345213722</v>
      </c>
      <c r="O8" s="192">
        <f>N8</f>
        <v>89.314554345213722</v>
      </c>
      <c r="P8" s="192">
        <f>SUM(P4,N4)</f>
        <v>1267.8652296555422</v>
      </c>
      <c r="Q8" s="192">
        <f>SUM(P4:Q4)</f>
        <v>2538.6688657042405</v>
      </c>
      <c r="R8" s="192">
        <f t="shared" ref="R8:AA8" si="69">SUM(Q4:R4)</f>
        <v>3127.9772726126571</v>
      </c>
      <c r="S8" s="192">
        <f t="shared" si="69"/>
        <v>3388.1731417740302</v>
      </c>
      <c r="T8" s="192">
        <f t="shared" si="69"/>
        <v>3175.0921773433897</v>
      </c>
      <c r="U8" s="192">
        <f t="shared" si="69"/>
        <v>3196.1891219686331</v>
      </c>
      <c r="V8" s="192">
        <f t="shared" si="69"/>
        <v>3347.3856936202228</v>
      </c>
      <c r="W8" s="192">
        <f t="shared" si="69"/>
        <v>3530.2260366461674</v>
      </c>
      <c r="X8" s="192">
        <f t="shared" si="69"/>
        <v>4123.7540246964509</v>
      </c>
      <c r="Y8" s="192">
        <f t="shared" si="69"/>
        <v>4326.9859399085572</v>
      </c>
      <c r="Z8" s="192">
        <f t="shared" si="69"/>
        <v>3991.309736897796</v>
      </c>
      <c r="AA8" s="192">
        <f t="shared" si="69"/>
        <v>4116.2528804950944</v>
      </c>
      <c r="AB8" s="192">
        <f>AA8</f>
        <v>4116.2528804950944</v>
      </c>
      <c r="AC8" s="192">
        <f>SUM(AC4,AA4)</f>
        <v>4240.9570399822433</v>
      </c>
      <c r="AD8" s="192">
        <f>SUM(AC4:AD4)</f>
        <v>4262.6376615303852</v>
      </c>
      <c r="AE8" s="192">
        <f t="shared" ref="AE8:AN8" si="70">SUM(AD4:AE4)</f>
        <v>5034.1938047423973</v>
      </c>
      <c r="AF8" s="192">
        <f t="shared" si="70"/>
        <v>5291.5924713232107</v>
      </c>
      <c r="AG8" s="192">
        <f t="shared" si="70"/>
        <v>4893.4522479780035</v>
      </c>
      <c r="AH8" s="192">
        <f t="shared" si="70"/>
        <v>5123.3930022403074</v>
      </c>
      <c r="AI8" s="192">
        <f t="shared" si="70"/>
        <v>5313.3829701516006</v>
      </c>
      <c r="AJ8" s="192">
        <f t="shared" si="70"/>
        <v>5398.7504174620099</v>
      </c>
      <c r="AK8" s="192">
        <f t="shared" si="70"/>
        <v>6088.9823028625069</v>
      </c>
      <c r="AL8" s="192">
        <f t="shared" si="70"/>
        <v>6025.6914689867754</v>
      </c>
      <c r="AM8" s="192">
        <f t="shared" si="70"/>
        <v>5354.2541890430657</v>
      </c>
      <c r="AN8" s="192">
        <f t="shared" si="70"/>
        <v>5544.3964715559287</v>
      </c>
      <c r="AO8" s="192">
        <f>AN8</f>
        <v>5544.3964715559287</v>
      </c>
      <c r="AP8" s="192">
        <f>SUM(AP4,AN4)</f>
        <v>5679.4920955793132</v>
      </c>
      <c r="AQ8" s="192">
        <f>SUM(AP4:AQ4)</f>
        <v>5698.991194006745</v>
      </c>
      <c r="AR8" s="192">
        <f t="shared" ref="AR8:BA8" si="71">SUM(AQ4:AR4)</f>
        <v>6466.9239914777463</v>
      </c>
      <c r="AS8" s="192">
        <f t="shared" si="71"/>
        <v>6480.9854019868562</v>
      </c>
      <c r="AT8" s="192">
        <f t="shared" si="71"/>
        <v>5864.954262625406</v>
      </c>
      <c r="AU8" s="192">
        <f t="shared" si="71"/>
        <v>6033.7334764351508</v>
      </c>
      <c r="AV8" s="192">
        <f t="shared" si="71"/>
        <v>6610.383608739472</v>
      </c>
      <c r="AW8" s="192">
        <f t="shared" si="71"/>
        <v>7201.0944014384813</v>
      </c>
      <c r="AX8" s="192">
        <f t="shared" si="71"/>
        <v>8303.7625990380766</v>
      </c>
      <c r="AY8" s="192">
        <f t="shared" si="71"/>
        <v>8510.5126563654594</v>
      </c>
      <c r="AZ8" s="192">
        <f t="shared" si="71"/>
        <v>7876.665971350727</v>
      </c>
      <c r="BA8" s="192">
        <f t="shared" si="71"/>
        <v>8270.0114819969767</v>
      </c>
      <c r="BB8" s="192">
        <f>BA8</f>
        <v>8270.0114819969767</v>
      </c>
      <c r="BC8" s="192">
        <f>SUM(BC4,BA4)</f>
        <v>8463.3956507934417</v>
      </c>
      <c r="BD8" s="192">
        <f>SUM(BC4:BD4)</f>
        <v>8488.7587388141874</v>
      </c>
      <c r="BE8" s="192">
        <f t="shared" ref="BE8:BN8" si="72">SUM(BD4:BE4)</f>
        <v>8935.375593809742</v>
      </c>
      <c r="BF8" s="192">
        <f t="shared" si="72"/>
        <v>8963.9222211979031</v>
      </c>
      <c r="BG8" s="192">
        <f t="shared" si="72"/>
        <v>8569.4984551215712</v>
      </c>
      <c r="BH8" s="192">
        <f t="shared" si="72"/>
        <v>8619.8735648613292</v>
      </c>
      <c r="BI8" s="192">
        <f t="shared" si="72"/>
        <v>8676.3883433860665</v>
      </c>
      <c r="BJ8" s="192">
        <f t="shared" si="72"/>
        <v>8705.1267759909715</v>
      </c>
      <c r="BK8" s="192">
        <f t="shared" si="72"/>
        <v>9114.4990632014233</v>
      </c>
      <c r="BL8" s="192">
        <f t="shared" si="72"/>
        <v>9130.3217716703584</v>
      </c>
      <c r="BM8" s="192">
        <f t="shared" si="72"/>
        <v>8781.6032002574793</v>
      </c>
      <c r="BN8" s="192">
        <f t="shared" si="72"/>
        <v>8833.042846595361</v>
      </c>
      <c r="BO8" s="192">
        <f>BN8</f>
        <v>8833.042846595361</v>
      </c>
    </row>
    <row r="10" spans="1:67">
      <c r="O10" s="263"/>
      <c r="AB10" s="263"/>
      <c r="AO10" s="263"/>
      <c r="BB10" s="263"/>
      <c r="BO10" s="263"/>
    </row>
    <row r="12" spans="1:67">
      <c r="B12">
        <v>2021</v>
      </c>
    </row>
    <row r="13" spans="1:67">
      <c r="A13" t="s">
        <v>515</v>
      </c>
      <c r="B13">
        <v>4725</v>
      </c>
    </row>
    <row r="14" spans="1:67">
      <c r="A14" t="s">
        <v>516</v>
      </c>
      <c r="B14">
        <v>13720</v>
      </c>
    </row>
    <row r="15" spans="1:67">
      <c r="A15" t="s">
        <v>59</v>
      </c>
      <c r="B15">
        <v>5983</v>
      </c>
    </row>
    <row r="16" spans="1:67">
      <c r="A16" t="s">
        <v>517</v>
      </c>
      <c r="B16">
        <v>76118</v>
      </c>
    </row>
    <row r="17" spans="1:2">
      <c r="A17" t="s">
        <v>278</v>
      </c>
      <c r="B17">
        <v>37108</v>
      </c>
    </row>
    <row r="19" spans="1:2">
      <c r="A19" t="s">
        <v>518</v>
      </c>
      <c r="B19" s="192">
        <f>B13/B16*365</f>
        <v>22.657255839617434</v>
      </c>
    </row>
    <row r="20" spans="1:2">
      <c r="A20" t="s">
        <v>519</v>
      </c>
      <c r="B20" s="192">
        <f>B14/B17*365</f>
        <v>134.95203190686647</v>
      </c>
    </row>
    <row r="21" spans="1:2">
      <c r="A21" t="s">
        <v>59</v>
      </c>
      <c r="B21" s="192">
        <f>B15/B17*365</f>
        <v>58.849708957637162</v>
      </c>
    </row>
    <row r="23" spans="1:2">
      <c r="A23" t="s">
        <v>525</v>
      </c>
      <c r="B23">
        <v>1</v>
      </c>
    </row>
    <row r="24" spans="1:2">
      <c r="A24" t="s">
        <v>526</v>
      </c>
      <c r="B24">
        <v>4</v>
      </c>
    </row>
    <row r="25" spans="1:2">
      <c r="A25" t="s">
        <v>527</v>
      </c>
      <c r="B25">
        <v>2</v>
      </c>
    </row>
  </sheetData>
  <mergeCells count="5">
    <mergeCell ref="C1:N1"/>
    <mergeCell ref="P1:AA1"/>
    <mergeCell ref="AC1:AN1"/>
    <mergeCell ref="AP1:BA1"/>
    <mergeCell ref="BC1:BN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BB8B2-4BAE-9843-8A90-88FF0ED1087A}">
  <sheetPr>
    <pageSetUpPr fitToPage="1"/>
  </sheetPr>
  <dimension ref="A1:AH140"/>
  <sheetViews>
    <sheetView showGridLines="0" topLeftCell="A3" zoomScale="85" zoomScaleNormal="85" workbookViewId="0">
      <selection activeCell="F18" sqref="F18"/>
    </sheetView>
  </sheetViews>
  <sheetFormatPr defaultColWidth="11.25" defaultRowHeight="15.75"/>
  <cols>
    <col min="1" max="1" width="43.75" customWidth="1"/>
    <col min="2" max="2" width="15.25" style="50" customWidth="1"/>
    <col min="3" max="3" width="15.625" style="50" customWidth="1"/>
    <col min="4" max="4" width="16.75" style="50" customWidth="1"/>
    <col min="5" max="5" width="13.5" style="65" customWidth="1"/>
    <col min="6" max="6" width="13" style="50" bestFit="1" customWidth="1"/>
    <col min="7" max="7" width="15.25" style="50" bestFit="1" customWidth="1"/>
    <col min="8" max="8" width="11.875" style="50" customWidth="1"/>
    <col min="9" max="9" width="19.25" style="65" customWidth="1"/>
    <col min="10" max="10" width="32.375" style="50" bestFit="1" customWidth="1"/>
    <col min="11" max="11" width="10.75" style="52" customWidth="1"/>
    <col min="12" max="12" width="10.75" style="50" customWidth="1"/>
    <col min="13" max="13" width="10.75" style="58" customWidth="1"/>
    <col min="14" max="14" width="13" style="58" bestFit="1" customWidth="1"/>
    <col min="15" max="17" width="10.75" style="58" customWidth="1"/>
    <col min="18" max="18" width="17.25" style="58" bestFit="1" customWidth="1"/>
    <col min="19" max="21" width="10.75" style="58" customWidth="1"/>
    <col min="22" max="22" width="13.75" style="8" customWidth="1"/>
    <col min="23" max="23" width="8.5" customWidth="1"/>
    <col min="24" max="25" width="13.75" style="4" customWidth="1"/>
    <col min="26" max="28" width="12" style="73" customWidth="1"/>
    <col min="29" max="29" width="15.75" style="38" customWidth="1"/>
    <col min="30" max="30" width="7.75" style="38" customWidth="1"/>
    <col min="31" max="31" width="3.75" style="69" customWidth="1"/>
    <col min="32" max="32" width="14.75" style="38" customWidth="1"/>
    <col min="33" max="33" width="10.75" style="38"/>
    <col min="34" max="34" width="3.5" style="38" customWidth="1"/>
  </cols>
  <sheetData>
    <row r="1" spans="1:34" ht="19.5" thickBot="1">
      <c r="A1" s="182" t="s">
        <v>160</v>
      </c>
    </row>
    <row r="2" spans="1:34">
      <c r="A2" t="s">
        <v>161</v>
      </c>
    </row>
    <row r="3" spans="1:34">
      <c r="A3" t="s">
        <v>166</v>
      </c>
    </row>
    <row r="5" spans="1:34">
      <c r="A5" s="165" t="s">
        <v>209</v>
      </c>
      <c r="B5" s="9" t="s">
        <v>83</v>
      </c>
      <c r="C5" s="9"/>
      <c r="D5" s="166" t="s">
        <v>91</v>
      </c>
      <c r="E5" s="66"/>
      <c r="F5" s="9" t="s">
        <v>83</v>
      </c>
      <c r="G5" s="9"/>
      <c r="H5" s="166" t="s">
        <v>91</v>
      </c>
      <c r="I5" s="59"/>
      <c r="J5" s="9" t="s">
        <v>83</v>
      </c>
      <c r="K5" s="53"/>
      <c r="L5" s="166" t="s">
        <v>91</v>
      </c>
      <c r="M5" s="55"/>
      <c r="N5" s="9" t="s">
        <v>83</v>
      </c>
      <c r="O5" s="9"/>
      <c r="P5" s="166" t="s">
        <v>91</v>
      </c>
      <c r="Q5" s="59"/>
      <c r="R5" s="9" t="s">
        <v>83</v>
      </c>
      <c r="S5" s="53"/>
      <c r="T5" s="166" t="s">
        <v>91</v>
      </c>
      <c r="U5" s="55"/>
      <c r="V5" s="96" t="s">
        <v>11</v>
      </c>
      <c r="W5" s="72"/>
      <c r="X5" s="96" t="s">
        <v>11</v>
      </c>
      <c r="Y5" s="96" t="s">
        <v>11</v>
      </c>
      <c r="Z5" s="96" t="s">
        <v>11</v>
      </c>
      <c r="AA5" s="96" t="s">
        <v>11</v>
      </c>
      <c r="AB5" s="96" t="s">
        <v>11</v>
      </c>
      <c r="AC5" s="80" t="s">
        <v>12</v>
      </c>
      <c r="AD5" s="32"/>
      <c r="AE5" s="70"/>
      <c r="AF5" s="80" t="s">
        <v>12</v>
      </c>
      <c r="AG5" s="32"/>
      <c r="AH5" s="167"/>
    </row>
    <row r="6" spans="1:34">
      <c r="A6" s="168"/>
      <c r="B6" s="10" t="s">
        <v>0</v>
      </c>
      <c r="C6" s="169"/>
      <c r="D6" s="170" t="s">
        <v>97</v>
      </c>
      <c r="E6" s="171"/>
      <c r="F6" s="10" t="s">
        <v>0</v>
      </c>
      <c r="G6" s="169"/>
      <c r="H6" s="170" t="s">
        <v>97</v>
      </c>
      <c r="I6" s="60"/>
      <c r="J6" s="169" t="s">
        <v>0</v>
      </c>
      <c r="K6" s="172"/>
      <c r="L6" s="170" t="s">
        <v>97</v>
      </c>
      <c r="M6" s="173"/>
      <c r="N6" s="10" t="s">
        <v>0</v>
      </c>
      <c r="O6" s="169"/>
      <c r="P6" s="170" t="s">
        <v>97</v>
      </c>
      <c r="Q6" s="60"/>
      <c r="R6" s="169" t="s">
        <v>0</v>
      </c>
      <c r="S6" s="172"/>
      <c r="T6" s="170" t="s">
        <v>97</v>
      </c>
      <c r="U6" s="173"/>
      <c r="V6" s="3" t="s">
        <v>81</v>
      </c>
      <c r="W6" s="4"/>
      <c r="X6" s="3" t="s">
        <v>100</v>
      </c>
      <c r="Y6" s="3" t="s">
        <v>100</v>
      </c>
      <c r="Z6" s="3" t="s">
        <v>100</v>
      </c>
      <c r="AA6" s="3" t="s">
        <v>100</v>
      </c>
      <c r="AB6" s="3" t="s">
        <v>100</v>
      </c>
      <c r="AC6" s="74" t="s">
        <v>102</v>
      </c>
      <c r="AD6" s="174"/>
      <c r="AE6" s="71"/>
      <c r="AF6" s="175" t="s">
        <v>103</v>
      </c>
      <c r="AG6" s="174"/>
      <c r="AH6" s="176"/>
    </row>
    <row r="7" spans="1:34">
      <c r="A7" s="168"/>
      <c r="B7" s="10" t="s">
        <v>4</v>
      </c>
      <c r="C7" s="169"/>
      <c r="D7" s="177" t="s">
        <v>98</v>
      </c>
      <c r="E7" s="171"/>
      <c r="F7" s="10" t="s">
        <v>5</v>
      </c>
      <c r="G7" s="169"/>
      <c r="H7" s="177" t="s">
        <v>98</v>
      </c>
      <c r="I7" s="60"/>
      <c r="J7" s="169" t="s">
        <v>6</v>
      </c>
      <c r="K7" s="172"/>
      <c r="L7" s="177" t="s">
        <v>98</v>
      </c>
      <c r="M7" s="173"/>
      <c r="N7" s="10" t="s">
        <v>374</v>
      </c>
      <c r="O7" s="169"/>
      <c r="P7" s="177" t="s">
        <v>98</v>
      </c>
      <c r="Q7" s="60"/>
      <c r="R7" s="169" t="s">
        <v>375</v>
      </c>
      <c r="S7" s="172"/>
      <c r="T7" s="177" t="s">
        <v>98</v>
      </c>
      <c r="U7" s="173"/>
      <c r="V7" s="97" t="s">
        <v>99</v>
      </c>
      <c r="W7" s="4"/>
      <c r="X7" s="3" t="s">
        <v>101</v>
      </c>
      <c r="Y7" s="3" t="s">
        <v>101</v>
      </c>
      <c r="Z7" s="3" t="s">
        <v>101</v>
      </c>
      <c r="AA7" s="3" t="s">
        <v>101</v>
      </c>
      <c r="AB7" s="3" t="s">
        <v>101</v>
      </c>
      <c r="AC7" s="74" t="s">
        <v>112</v>
      </c>
      <c r="AD7" s="174"/>
      <c r="AE7" s="171"/>
      <c r="AF7" s="74" t="s">
        <v>112</v>
      </c>
      <c r="AG7" s="174"/>
      <c r="AH7" s="176"/>
    </row>
    <row r="8" spans="1:34" ht="24.75">
      <c r="A8" s="178"/>
      <c r="B8" s="11" t="s">
        <v>7</v>
      </c>
      <c r="C8" s="12"/>
      <c r="D8" s="51" t="s">
        <v>89</v>
      </c>
      <c r="E8" s="56" t="s">
        <v>10</v>
      </c>
      <c r="F8" s="11" t="s">
        <v>8</v>
      </c>
      <c r="G8" s="12"/>
      <c r="H8" s="51" t="s">
        <v>89</v>
      </c>
      <c r="I8" s="61" t="s">
        <v>10</v>
      </c>
      <c r="J8" s="12" t="s">
        <v>9</v>
      </c>
      <c r="K8" s="54"/>
      <c r="L8" s="51" t="s">
        <v>89</v>
      </c>
      <c r="M8" s="56" t="s">
        <v>10</v>
      </c>
      <c r="N8" s="11" t="s">
        <v>8</v>
      </c>
      <c r="O8" s="12"/>
      <c r="P8" s="51" t="s">
        <v>89</v>
      </c>
      <c r="Q8" s="61" t="s">
        <v>10</v>
      </c>
      <c r="R8" s="12" t="s">
        <v>9</v>
      </c>
      <c r="S8" s="54"/>
      <c r="T8" s="51" t="s">
        <v>89</v>
      </c>
      <c r="U8" s="56" t="s">
        <v>10</v>
      </c>
      <c r="V8" s="98" t="s">
        <v>82</v>
      </c>
      <c r="W8" s="99"/>
      <c r="X8" s="98" t="s">
        <v>82</v>
      </c>
      <c r="Y8" s="98" t="s">
        <v>117</v>
      </c>
      <c r="Z8" s="98" t="s">
        <v>118</v>
      </c>
      <c r="AA8" s="98" t="s">
        <v>119</v>
      </c>
      <c r="AB8" s="98" t="s">
        <v>120</v>
      </c>
      <c r="AC8" s="75"/>
      <c r="AD8" s="33"/>
      <c r="AE8" s="56" t="s">
        <v>10</v>
      </c>
      <c r="AF8" s="75"/>
      <c r="AG8" s="33"/>
      <c r="AH8" s="179" t="s">
        <v>10</v>
      </c>
    </row>
    <row r="9" spans="1:34" s="1" customFormat="1">
      <c r="A9" s="150" t="s">
        <v>79</v>
      </c>
      <c r="B9" s="151">
        <f>+C56</f>
        <v>411.59322378081174</v>
      </c>
      <c r="C9" s="152">
        <v>1</v>
      </c>
      <c r="D9" s="152" t="s">
        <v>90</v>
      </c>
      <c r="E9" s="153"/>
      <c r="F9" s="151">
        <f>+D56</f>
        <v>52500</v>
      </c>
      <c r="G9" s="152">
        <v>1</v>
      </c>
      <c r="H9" s="152" t="s">
        <v>90</v>
      </c>
      <c r="I9" s="154"/>
      <c r="J9" s="151">
        <f>+E56</f>
        <v>78749.999999999985</v>
      </c>
      <c r="K9" s="152">
        <v>1</v>
      </c>
      <c r="L9" s="152" t="s">
        <v>90</v>
      </c>
      <c r="M9" s="155"/>
      <c r="N9" s="151">
        <f>F56</f>
        <v>105000</v>
      </c>
      <c r="O9" s="152">
        <v>1</v>
      </c>
      <c r="P9" s="152" t="s">
        <v>90</v>
      </c>
      <c r="Q9" s="154"/>
      <c r="R9" s="151">
        <f>G56</f>
        <v>131250</v>
      </c>
      <c r="S9" s="152">
        <v>1</v>
      </c>
      <c r="T9" s="152" t="s">
        <v>90</v>
      </c>
      <c r="U9" s="155"/>
      <c r="V9" s="156"/>
      <c r="W9" s="157">
        <v>1</v>
      </c>
      <c r="X9" s="158">
        <v>1</v>
      </c>
      <c r="Y9" s="159">
        <v>1</v>
      </c>
      <c r="Z9" s="160">
        <v>1</v>
      </c>
      <c r="AA9" s="160">
        <v>1</v>
      </c>
      <c r="AB9" s="160">
        <v>1</v>
      </c>
      <c r="AC9" s="161"/>
      <c r="AD9" s="162">
        <v>1</v>
      </c>
      <c r="AE9" s="155"/>
      <c r="AF9" s="161"/>
      <c r="AG9" s="163">
        <v>1</v>
      </c>
      <c r="AH9" s="164"/>
    </row>
    <row r="10" spans="1:34" s="1" customFormat="1" ht="16.5" thickBot="1">
      <c r="A10" s="22" t="s">
        <v>80</v>
      </c>
      <c r="B10" s="141">
        <f>+E44</f>
        <v>165.39732286150689</v>
      </c>
      <c r="C10" s="148">
        <f>+B10*C9/B9</f>
        <v>0.40184656429034638</v>
      </c>
      <c r="D10" s="14"/>
      <c r="E10" s="67"/>
      <c r="F10" s="141">
        <f>+F44</f>
        <v>21096.944625243188</v>
      </c>
      <c r="G10" s="148">
        <f>+F10*G9/F9</f>
        <v>0.40184656429034643</v>
      </c>
      <c r="H10" s="14"/>
      <c r="I10" s="62"/>
      <c r="J10" s="141">
        <f>+G44</f>
        <v>31645.416937864775</v>
      </c>
      <c r="K10" s="148">
        <f>+J10*K9/J9</f>
        <v>0.40184656429034643</v>
      </c>
      <c r="L10" s="14"/>
      <c r="M10" s="57"/>
      <c r="N10" s="141">
        <f>H44</f>
        <v>42193.889250486376</v>
      </c>
      <c r="O10" s="148">
        <f>+N10*O9/N9</f>
        <v>0.40184656429034643</v>
      </c>
      <c r="P10" s="14"/>
      <c r="Q10" s="62"/>
      <c r="R10" s="141">
        <f>I44</f>
        <v>52742.361563107974</v>
      </c>
      <c r="S10" s="148">
        <f>+R10*S9/R9</f>
        <v>0.40184656429034649</v>
      </c>
      <c r="T10" s="14"/>
      <c r="U10" s="57"/>
      <c r="V10" s="7"/>
      <c r="W10" s="100" t="s">
        <v>3</v>
      </c>
      <c r="X10" s="101">
        <v>-0.52600000000000002</v>
      </c>
      <c r="Y10" s="102">
        <v>-0.48799999999999999</v>
      </c>
      <c r="Z10" s="103">
        <v>-0.497</v>
      </c>
      <c r="AA10" s="103">
        <v>-0.51400000000000001</v>
      </c>
      <c r="AB10" s="103">
        <v>-0.51300000000000001</v>
      </c>
      <c r="AC10" s="86"/>
      <c r="AD10" s="34" t="s">
        <v>3</v>
      </c>
      <c r="AE10" s="57"/>
      <c r="AF10" s="86"/>
      <c r="AG10" s="78" t="s">
        <v>3</v>
      </c>
      <c r="AH10" s="79"/>
    </row>
    <row r="11" spans="1:34" s="1" customFormat="1" ht="16.5" thickBot="1">
      <c r="A11" s="22" t="s">
        <v>1</v>
      </c>
      <c r="B11" s="142">
        <f>B9-B10</f>
        <v>246.19590091930485</v>
      </c>
      <c r="C11" s="149">
        <f>+B11*C9/B9</f>
        <v>0.59815343570965362</v>
      </c>
      <c r="D11" s="14"/>
      <c r="E11" s="67"/>
      <c r="F11" s="142">
        <f>F9-F10</f>
        <v>31403.055374756812</v>
      </c>
      <c r="G11" s="149">
        <f>+F11*G9/F9</f>
        <v>0.59815343570965351</v>
      </c>
      <c r="H11" s="14"/>
      <c r="I11" s="62"/>
      <c r="J11" s="142">
        <f>J9-J10</f>
        <v>47104.583062135207</v>
      </c>
      <c r="K11" s="149">
        <f>+J11*K9/J9</f>
        <v>0.59815343570965351</v>
      </c>
      <c r="L11" s="14"/>
      <c r="M11" s="57"/>
      <c r="N11" s="142">
        <f>N9-N10</f>
        <v>62806.110749513624</v>
      </c>
      <c r="O11" s="149">
        <f>+N11*O9/N9</f>
        <v>0.59815343570965351</v>
      </c>
      <c r="P11" s="14"/>
      <c r="Q11" s="62"/>
      <c r="R11" s="142">
        <f>R9-R10</f>
        <v>78507.638436892026</v>
      </c>
      <c r="S11" s="149">
        <f>+R11*S9/R9</f>
        <v>0.59815343570965351</v>
      </c>
      <c r="T11" s="14"/>
      <c r="U11" s="57"/>
      <c r="V11" s="7">
        <f>V9-V10</f>
        <v>0</v>
      </c>
      <c r="W11" s="100" t="s">
        <v>3</v>
      </c>
      <c r="X11" s="101">
        <f>SUM(X9:X10)</f>
        <v>0.47399999999999998</v>
      </c>
      <c r="Y11" s="101">
        <f>SUM(Y9:Y10)</f>
        <v>0.51200000000000001</v>
      </c>
      <c r="Z11" s="101">
        <f>SUM(Z9:Z10)</f>
        <v>0.503</v>
      </c>
      <c r="AA11" s="101">
        <f>SUM(AA9:AA10)</f>
        <v>0.48599999999999999</v>
      </c>
      <c r="AB11" s="101">
        <f>SUM(AB9:AB10)</f>
        <v>0.48699999999999999</v>
      </c>
      <c r="AC11" s="86">
        <f>AC9-AC10</f>
        <v>0</v>
      </c>
      <c r="AD11" s="34" t="s">
        <v>3</v>
      </c>
      <c r="AE11" s="57"/>
      <c r="AF11" s="86">
        <f>AF9-AF10</f>
        <v>0</v>
      </c>
      <c r="AG11" s="78" t="s">
        <v>3</v>
      </c>
      <c r="AH11" s="79"/>
    </row>
    <row r="12" spans="1:34">
      <c r="A12" s="23"/>
      <c r="B12" s="13"/>
      <c r="C12" s="15"/>
      <c r="D12" s="16"/>
      <c r="E12" s="63"/>
      <c r="F12" s="13"/>
      <c r="G12" s="15"/>
      <c r="H12" s="16"/>
      <c r="I12" s="63"/>
      <c r="J12" s="13"/>
      <c r="K12" s="16"/>
      <c r="L12" s="16"/>
      <c r="N12" s="13"/>
      <c r="O12" s="15"/>
      <c r="P12" s="16"/>
      <c r="Q12" s="63"/>
      <c r="R12" s="13"/>
      <c r="S12" s="16"/>
      <c r="T12" s="16"/>
      <c r="V12" s="3"/>
      <c r="W12" s="6"/>
      <c r="X12" s="95"/>
      <c r="Y12" s="93"/>
      <c r="Z12" s="94"/>
      <c r="AA12" s="94"/>
      <c r="AB12" s="94"/>
      <c r="AC12" s="87"/>
      <c r="AD12" s="36"/>
      <c r="AE12" s="58"/>
      <c r="AF12" s="87"/>
      <c r="AG12" s="35"/>
      <c r="AH12" s="76"/>
    </row>
    <row r="13" spans="1:34">
      <c r="A13" s="24" t="s">
        <v>116</v>
      </c>
      <c r="B13" s="13"/>
      <c r="C13" s="15"/>
      <c r="D13" s="16"/>
      <c r="E13" s="63"/>
      <c r="F13" s="13"/>
      <c r="G13" s="15"/>
      <c r="H13" s="16"/>
      <c r="I13" s="63"/>
      <c r="J13" s="13"/>
      <c r="K13" s="16"/>
      <c r="L13" s="16"/>
      <c r="N13" s="13"/>
      <c r="O13" s="15"/>
      <c r="P13" s="16"/>
      <c r="Q13" s="63"/>
      <c r="R13" s="13"/>
      <c r="S13" s="16"/>
      <c r="T13" s="16"/>
      <c r="V13" s="3"/>
      <c r="W13" s="6"/>
      <c r="X13" s="95"/>
      <c r="Y13" s="93"/>
      <c r="Z13" s="94"/>
      <c r="AA13" s="94"/>
      <c r="AB13" s="94"/>
      <c r="AC13" s="87"/>
      <c r="AD13" s="36"/>
      <c r="AE13" s="58"/>
      <c r="AF13" s="87"/>
      <c r="AG13" s="35"/>
      <c r="AH13" s="76"/>
    </row>
    <row r="14" spans="1:34">
      <c r="A14" s="23" t="s">
        <v>113</v>
      </c>
      <c r="B14" s="180">
        <f>+B61</f>
        <v>4921.875</v>
      </c>
      <c r="C14" s="15">
        <f>B14/B9</f>
        <v>11.958105030954242</v>
      </c>
      <c r="D14" s="16"/>
      <c r="E14" s="63"/>
      <c r="F14" s="180">
        <f>+C61</f>
        <v>4429.6875</v>
      </c>
      <c r="G14" s="15">
        <f>F14/$F$9</f>
        <v>8.4375000000000006E-2</v>
      </c>
      <c r="H14" s="16"/>
      <c r="I14" s="63"/>
      <c r="J14" s="180">
        <f>+D61</f>
        <v>3937.5</v>
      </c>
      <c r="K14" s="15">
        <f>J14/$J$9</f>
        <v>5.000000000000001E-2</v>
      </c>
      <c r="L14" s="16"/>
      <c r="N14" s="180">
        <f>E61</f>
        <v>3609.3750000000005</v>
      </c>
      <c r="O14" s="15">
        <f>N14/N9</f>
        <v>3.4375000000000003E-2</v>
      </c>
      <c r="P14" s="16"/>
      <c r="Q14" s="63"/>
      <c r="R14" s="180">
        <f>F61</f>
        <v>3281.25</v>
      </c>
      <c r="S14" s="15">
        <f>R14/R9</f>
        <v>2.5000000000000001E-2</v>
      </c>
      <c r="T14" s="16"/>
      <c r="V14" s="3"/>
      <c r="W14" s="6"/>
      <c r="X14" s="95">
        <v>-2.5000000000000001E-2</v>
      </c>
      <c r="Y14" s="93">
        <v>-2.5000000000000001E-2</v>
      </c>
      <c r="Z14" s="94">
        <v>-2.5000000000000001E-2</v>
      </c>
      <c r="AA14" s="94">
        <v>-2.8000000000000001E-2</v>
      </c>
      <c r="AB14" s="94">
        <v>-2.8000000000000001E-2</v>
      </c>
      <c r="AC14" s="87"/>
      <c r="AD14" s="36"/>
      <c r="AE14" s="58"/>
      <c r="AF14" s="87"/>
      <c r="AG14" s="35"/>
      <c r="AH14" s="76"/>
    </row>
    <row r="15" spans="1:34">
      <c r="A15" s="23" t="s">
        <v>114</v>
      </c>
      <c r="B15" s="180">
        <f>+B62</f>
        <v>945</v>
      </c>
      <c r="C15" s="15">
        <f>B15/B9</f>
        <v>2.2959561659432146</v>
      </c>
      <c r="D15" s="16"/>
      <c r="E15" s="63"/>
      <c r="F15" s="180">
        <f>+C62</f>
        <v>23625</v>
      </c>
      <c r="G15" s="15">
        <f t="shared" ref="G15:G16" si="0">F15/$F$9</f>
        <v>0.45</v>
      </c>
      <c r="H15" s="16"/>
      <c r="I15" s="63"/>
      <c r="J15" s="180">
        <f t="shared" ref="J15:J16" si="1">+D62</f>
        <v>18900</v>
      </c>
      <c r="K15" s="15">
        <f t="shared" ref="K15:K16" si="2">J15/$J$9</f>
        <v>0.24000000000000005</v>
      </c>
      <c r="L15" s="16"/>
      <c r="N15" s="180">
        <f t="shared" ref="N15:N16" si="3">E62</f>
        <v>17325</v>
      </c>
      <c r="O15" s="15">
        <f>N15/N9</f>
        <v>0.16500000000000001</v>
      </c>
      <c r="P15" s="16"/>
      <c r="Q15" s="63"/>
      <c r="R15" s="180">
        <f t="shared" ref="R15:R16" si="4">F62</f>
        <v>15750</v>
      </c>
      <c r="S15" s="15">
        <f>R15/R9</f>
        <v>0.12</v>
      </c>
      <c r="T15" s="16"/>
      <c r="V15" s="3"/>
      <c r="W15" s="6"/>
      <c r="X15" s="95">
        <v>-9.9000000000000005E-2</v>
      </c>
      <c r="Y15" s="93">
        <v>-0.108</v>
      </c>
      <c r="Z15" s="94">
        <v>-0.10299999999999999</v>
      </c>
      <c r="AA15" s="94">
        <v>-0.1</v>
      </c>
      <c r="AB15" s="94">
        <v>-0.106</v>
      </c>
      <c r="AC15" s="87"/>
      <c r="AD15" s="36"/>
      <c r="AE15" s="58"/>
      <c r="AF15" s="87"/>
      <c r="AG15" s="35"/>
      <c r="AH15" s="76"/>
    </row>
    <row r="16" spans="1:34">
      <c r="A16" s="23" t="s">
        <v>115</v>
      </c>
      <c r="B16" s="180">
        <f>+B63</f>
        <v>1917</v>
      </c>
      <c r="C16" s="15">
        <f>B16/B9</f>
        <v>4.6575110794848067</v>
      </c>
      <c r="D16" s="16"/>
      <c r="E16" s="63"/>
      <c r="F16" s="180">
        <f>+C63</f>
        <v>8775</v>
      </c>
      <c r="G16" s="15">
        <f t="shared" si="0"/>
        <v>0.16714285714285715</v>
      </c>
      <c r="H16" s="16"/>
      <c r="I16" s="63"/>
      <c r="J16" s="180">
        <f t="shared" si="1"/>
        <v>12712.499999999998</v>
      </c>
      <c r="K16" s="15">
        <f t="shared" si="2"/>
        <v>0.16142857142857145</v>
      </c>
      <c r="L16" s="16"/>
      <c r="N16" s="180">
        <f t="shared" si="3"/>
        <v>16650</v>
      </c>
      <c r="O16" s="15">
        <f>N16/N9</f>
        <v>0.15857142857142856</v>
      </c>
      <c r="P16" s="16"/>
      <c r="Q16" s="63"/>
      <c r="R16" s="180">
        <f t="shared" si="4"/>
        <v>20587.5</v>
      </c>
      <c r="S16" s="15">
        <f>R16/R9</f>
        <v>0.15685714285714286</v>
      </c>
      <c r="T16" s="16"/>
      <c r="V16" s="3"/>
      <c r="W16" s="6"/>
      <c r="X16" s="95">
        <v>-0.128</v>
      </c>
      <c r="Y16" s="93">
        <v>-0.14299999999999999</v>
      </c>
      <c r="Z16" s="94">
        <v>-0.154</v>
      </c>
      <c r="AA16" s="94">
        <v>-0.27700000000000002</v>
      </c>
      <c r="AB16" s="94">
        <v>-0.14799999999999999</v>
      </c>
      <c r="AC16" s="87"/>
      <c r="AD16" s="36"/>
      <c r="AE16" s="58"/>
      <c r="AF16" s="87"/>
      <c r="AG16" s="35"/>
      <c r="AH16" s="76"/>
    </row>
    <row r="17" spans="1:34">
      <c r="A17" s="22" t="s">
        <v>116</v>
      </c>
      <c r="B17" s="181">
        <f>SUM(B14:B16)</f>
        <v>7783.875</v>
      </c>
      <c r="C17" s="14">
        <f>+B17*C9/B9</f>
        <v>18.911572276382262</v>
      </c>
      <c r="D17" s="14"/>
      <c r="E17" s="68"/>
      <c r="F17" s="181">
        <f>SUM(F14:F16)</f>
        <v>36829.6875</v>
      </c>
      <c r="G17" s="14">
        <f>+F17*G9/F9</f>
        <v>0.70151785714285719</v>
      </c>
      <c r="H17" s="14"/>
      <c r="I17" s="64"/>
      <c r="J17" s="181">
        <f>SUM(J14:J16)</f>
        <v>35550</v>
      </c>
      <c r="K17" s="14">
        <f>+J17*K9/J9</f>
        <v>0.45142857142857151</v>
      </c>
      <c r="L17" s="14"/>
      <c r="M17" s="57"/>
      <c r="N17" s="181">
        <f>SUM(N14:N16)</f>
        <v>37584.375</v>
      </c>
      <c r="O17" s="14">
        <f>+N17*O9/N9</f>
        <v>0.35794642857142855</v>
      </c>
      <c r="P17" s="14"/>
      <c r="Q17" s="64"/>
      <c r="R17" s="181">
        <f>SUM(R14:R16)</f>
        <v>39618.75</v>
      </c>
      <c r="S17" s="14">
        <f>+R17*S9/R9</f>
        <v>0.30185714285714288</v>
      </c>
      <c r="T17" s="14"/>
      <c r="U17" s="57"/>
      <c r="V17" s="7">
        <f>SUM(V14:V16)</f>
        <v>0</v>
      </c>
      <c r="W17" s="100" t="s">
        <v>3</v>
      </c>
      <c r="X17" s="101">
        <f t="shared" ref="X17:AC17" si="5">SUM(X14:X16)</f>
        <v>-0.252</v>
      </c>
      <c r="Y17" s="101">
        <f t="shared" si="5"/>
        <v>-0.27600000000000002</v>
      </c>
      <c r="Z17" s="101">
        <f t="shared" si="5"/>
        <v>-0.28200000000000003</v>
      </c>
      <c r="AA17" s="101">
        <f t="shared" si="5"/>
        <v>-0.40500000000000003</v>
      </c>
      <c r="AB17" s="101">
        <f t="shared" si="5"/>
        <v>-0.28200000000000003</v>
      </c>
      <c r="AC17" s="88">
        <f t="shared" si="5"/>
        <v>0</v>
      </c>
      <c r="AD17" s="34" t="s">
        <v>3</v>
      </c>
      <c r="AE17" s="57"/>
      <c r="AF17" s="88">
        <f>SUM(AF14:AF16)</f>
        <v>0</v>
      </c>
      <c r="AG17" s="78" t="s">
        <v>3</v>
      </c>
      <c r="AH17" s="79"/>
    </row>
    <row r="18" spans="1:34" s="1" customFormat="1">
      <c r="A18" s="22" t="s">
        <v>2</v>
      </c>
      <c r="B18" s="140">
        <f>B11-B17</f>
        <v>-7537.6790990806949</v>
      </c>
      <c r="C18" s="14">
        <f>+B18*C9/B9</f>
        <v>-18.313418840672608</v>
      </c>
      <c r="D18" s="14"/>
      <c r="E18" s="67"/>
      <c r="F18" s="140">
        <f>F11-F17</f>
        <v>-5426.6321252431881</v>
      </c>
      <c r="G18" s="14">
        <f>+F18*G9/F9</f>
        <v>-0.10336442143320358</v>
      </c>
      <c r="H18" s="14"/>
      <c r="I18" s="62"/>
      <c r="J18" s="140">
        <f>J11-J17</f>
        <v>11554.583062135207</v>
      </c>
      <c r="K18" s="14">
        <f>+J18*K9/J9</f>
        <v>0.14672486428108203</v>
      </c>
      <c r="L18" s="14"/>
      <c r="M18" s="57"/>
      <c r="N18" s="140">
        <f>N11-N17</f>
        <v>25221.735749513624</v>
      </c>
      <c r="O18" s="14">
        <f>+N18*O9/N9</f>
        <v>0.24020700713822499</v>
      </c>
      <c r="P18" s="14"/>
      <c r="Q18" s="62"/>
      <c r="R18" s="140">
        <f>R11-R17</f>
        <v>38888.888436892026</v>
      </c>
      <c r="S18" s="14">
        <f>+R18*S9/R9</f>
        <v>0.29629629285251069</v>
      </c>
      <c r="T18" s="14"/>
      <c r="U18" s="57"/>
      <c r="V18" s="7">
        <f>V11-V17</f>
        <v>0</v>
      </c>
      <c r="W18" s="100" t="s">
        <v>3</v>
      </c>
      <c r="X18" s="101">
        <f>X11+X17</f>
        <v>0.22199999999999998</v>
      </c>
      <c r="Y18" s="101">
        <f>Y11+Y17</f>
        <v>0.23599999999999999</v>
      </c>
      <c r="Z18" s="101">
        <f>Z11+Z17</f>
        <v>0.22099999999999997</v>
      </c>
      <c r="AA18" s="101">
        <f>AA11+AA17</f>
        <v>8.0999999999999961E-2</v>
      </c>
      <c r="AB18" s="101">
        <f>AB11+AB17</f>
        <v>0.20499999999999996</v>
      </c>
      <c r="AC18" s="86">
        <f>AC11-AC17</f>
        <v>0</v>
      </c>
      <c r="AD18" s="34" t="s">
        <v>3</v>
      </c>
      <c r="AE18" s="57"/>
      <c r="AF18" s="86">
        <f>AF11-AF17</f>
        <v>0</v>
      </c>
      <c r="AG18" s="78" t="s">
        <v>3</v>
      </c>
      <c r="AH18" s="79"/>
    </row>
    <row r="19" spans="1:34">
      <c r="C19" s="52"/>
      <c r="D19" s="52"/>
      <c r="G19" s="52"/>
      <c r="H19" s="52"/>
      <c r="L19" s="52"/>
      <c r="W19" s="104"/>
      <c r="X19" s="8"/>
      <c r="Y19" s="8"/>
      <c r="Z19" s="5"/>
      <c r="AA19" s="5"/>
      <c r="AB19" s="5"/>
      <c r="AC19" s="89"/>
      <c r="AD19" s="37"/>
      <c r="AE19" s="85"/>
      <c r="AF19" s="89"/>
      <c r="AG19" s="77"/>
      <c r="AH19" s="85"/>
    </row>
    <row r="20" spans="1:34">
      <c r="A20" t="s">
        <v>383</v>
      </c>
      <c r="B20" s="265">
        <f>NPV(0.12,B18,F18,J18,N18,R18)-28000</f>
        <v>7263.644190904859</v>
      </c>
      <c r="AC20" s="90"/>
    </row>
    <row r="21" spans="1:34">
      <c r="Z21" s="38"/>
      <c r="AA21" s="69"/>
      <c r="AB21" s="38"/>
      <c r="AE21"/>
      <c r="AF21"/>
      <c r="AG21"/>
      <c r="AH21"/>
    </row>
    <row r="22" spans="1:34">
      <c r="A22" s="1" t="s">
        <v>126</v>
      </c>
      <c r="K22" s="81"/>
      <c r="M22" s="82"/>
      <c r="N22" s="82"/>
      <c r="O22" s="82"/>
      <c r="P22" s="82"/>
      <c r="Q22" s="82"/>
      <c r="R22" s="82"/>
      <c r="S22" s="82"/>
      <c r="T22" s="82"/>
      <c r="U22" s="82"/>
      <c r="Z22" s="38"/>
      <c r="AA22" s="69"/>
      <c r="AB22" s="38"/>
      <c r="AE22"/>
      <c r="AF22"/>
      <c r="AG22"/>
      <c r="AH22"/>
    </row>
    <row r="23" spans="1:34">
      <c r="A23" s="126" t="s">
        <v>140</v>
      </c>
      <c r="B23" s="127"/>
      <c r="C23" s="127"/>
      <c r="D23" s="127"/>
      <c r="E23" s="128"/>
      <c r="F23" s="127"/>
      <c r="G23" s="127"/>
      <c r="H23" s="127"/>
      <c r="I23" s="128"/>
      <c r="J23" s="127"/>
      <c r="K23" s="129"/>
      <c r="L23" s="127"/>
      <c r="M23" s="130"/>
      <c r="N23" s="130"/>
      <c r="O23" s="130"/>
      <c r="P23" s="130"/>
      <c r="Q23" s="130"/>
      <c r="R23" s="130"/>
      <c r="S23" s="130"/>
      <c r="T23" s="130"/>
      <c r="U23" s="130"/>
      <c r="V23" s="131"/>
      <c r="W23" s="125"/>
      <c r="X23" s="132"/>
      <c r="Y23" s="132"/>
      <c r="Z23" s="133"/>
      <c r="AA23" s="134"/>
      <c r="AB23" s="133"/>
      <c r="AC23" s="133"/>
      <c r="AD23" s="133"/>
      <c r="AE23" s="125"/>
      <c r="AF23" s="125"/>
      <c r="AG23" s="125"/>
      <c r="AH23" s="125"/>
    </row>
    <row r="24" spans="1:34">
      <c r="A24" s="1" t="s">
        <v>141</v>
      </c>
      <c r="X24"/>
      <c r="Y24"/>
      <c r="Z24" s="38"/>
      <c r="AA24" s="69"/>
      <c r="AB24" s="38"/>
      <c r="AE24"/>
      <c r="AF24"/>
      <c r="AG24"/>
      <c r="AH24"/>
    </row>
    <row r="25" spans="1:34">
      <c r="B25" s="112" t="s">
        <v>128</v>
      </c>
      <c r="C25" s="112" t="s">
        <v>127</v>
      </c>
      <c r="D25" s="65"/>
      <c r="E25" s="50"/>
      <c r="H25" s="65"/>
      <c r="I25" s="50"/>
      <c r="J25" s="52"/>
      <c r="K25" s="50"/>
      <c r="L25" s="58"/>
      <c r="M25" s="8"/>
      <c r="N25" s="8"/>
      <c r="O25" s="8"/>
      <c r="P25" s="8"/>
      <c r="Q25" s="8"/>
      <c r="R25" s="8"/>
      <c r="S25" s="8"/>
      <c r="T25" s="8"/>
      <c r="U25" s="8"/>
      <c r="V25"/>
      <c r="X25"/>
      <c r="Y25" s="38"/>
      <c r="Z25" s="69"/>
      <c r="AA25" s="38"/>
      <c r="AB25" s="38"/>
      <c r="AD25"/>
      <c r="AE25"/>
      <c r="AF25"/>
      <c r="AG25"/>
      <c r="AH25"/>
    </row>
    <row r="26" spans="1:34">
      <c r="A26" s="110" t="s">
        <v>324</v>
      </c>
      <c r="B26" s="109">
        <v>1</v>
      </c>
      <c r="C26" s="113">
        <f>'Cost Estimation'!B2</f>
        <v>1.6175808000000003</v>
      </c>
      <c r="D26" s="367"/>
      <c r="E26" s="50"/>
      <c r="G26" s="485" t="s">
        <v>327</v>
      </c>
      <c r="H26" s="486"/>
      <c r="I26" s="50"/>
      <c r="J26" s="52"/>
      <c r="K26" s="50"/>
      <c r="L26" s="58"/>
      <c r="M26" s="8"/>
      <c r="N26" s="8"/>
      <c r="O26" s="8"/>
      <c r="P26" s="8"/>
      <c r="Q26" s="8"/>
      <c r="R26" s="8"/>
      <c r="S26" s="8"/>
      <c r="T26" s="8"/>
      <c r="U26" s="8"/>
      <c r="V26"/>
      <c r="X26"/>
      <c r="Y26" s="38"/>
      <c r="Z26" s="69"/>
      <c r="AA26" s="38"/>
      <c r="AB26" s="38"/>
      <c r="AD26"/>
      <c r="AE26"/>
      <c r="AF26"/>
      <c r="AG26"/>
      <c r="AH26"/>
    </row>
    <row r="27" spans="1:34">
      <c r="A27" s="110" t="s">
        <v>552</v>
      </c>
      <c r="B27" s="109">
        <v>1</v>
      </c>
      <c r="C27" s="113">
        <f>'Cost Estimation'!B3</f>
        <v>0.27957247508106159</v>
      </c>
      <c r="D27" s="367"/>
      <c r="E27" s="50"/>
      <c r="G27" s="109" t="s">
        <v>325</v>
      </c>
      <c r="H27" s="146">
        <v>0.5</v>
      </c>
      <c r="I27" s="50"/>
      <c r="J27" s="52"/>
      <c r="K27" s="50"/>
      <c r="L27" s="58"/>
      <c r="M27" s="8"/>
      <c r="N27" s="8"/>
      <c r="O27" s="8"/>
      <c r="P27" s="8"/>
      <c r="Q27" s="8"/>
      <c r="R27" s="8"/>
      <c r="S27" s="8"/>
      <c r="T27" s="8"/>
      <c r="U27" s="8"/>
      <c r="V27"/>
      <c r="X27"/>
      <c r="Y27" s="38"/>
      <c r="Z27" s="69"/>
      <c r="AA27" s="38"/>
      <c r="AB27" s="38"/>
      <c r="AD27"/>
      <c r="AE27"/>
      <c r="AF27"/>
      <c r="AG27"/>
      <c r="AH27"/>
    </row>
    <row r="28" spans="1:34">
      <c r="A28" s="110" t="s">
        <v>129</v>
      </c>
      <c r="B28" s="109">
        <v>1</v>
      </c>
      <c r="C28" s="113">
        <f>'Cost Estimation'!B4</f>
        <v>0.9</v>
      </c>
      <c r="D28" s="111" t="s">
        <v>291</v>
      </c>
      <c r="E28" s="50"/>
      <c r="G28" s="109" t="s">
        <v>326</v>
      </c>
      <c r="H28" s="146">
        <v>0.5</v>
      </c>
      <c r="I28" s="50"/>
      <c r="J28" s="52"/>
      <c r="K28" s="50"/>
      <c r="L28" s="58"/>
      <c r="M28" s="8"/>
      <c r="N28" s="8"/>
      <c r="O28" s="8"/>
      <c r="P28" s="8"/>
      <c r="Q28" s="8"/>
      <c r="R28" s="8"/>
      <c r="S28" s="8"/>
      <c r="T28" s="8"/>
      <c r="U28" s="8"/>
      <c r="V28"/>
      <c r="X28"/>
      <c r="Y28" s="38"/>
      <c r="Z28" s="69"/>
      <c r="AA28" s="38"/>
      <c r="AB28" s="38"/>
      <c r="AD28"/>
      <c r="AE28"/>
      <c r="AF28"/>
      <c r="AG28"/>
      <c r="AH28"/>
    </row>
    <row r="29" spans="1:34">
      <c r="A29" s="110" t="s">
        <v>202</v>
      </c>
      <c r="B29" s="109">
        <v>1</v>
      </c>
      <c r="C29" s="113">
        <f>'Cost Estimation'!B5</f>
        <v>0.2</v>
      </c>
      <c r="D29" s="111"/>
      <c r="E29" s="50"/>
      <c r="H29" s="236"/>
      <c r="I29" s="50"/>
      <c r="J29" s="52"/>
      <c r="K29" s="50"/>
      <c r="L29" s="58"/>
      <c r="M29" s="8"/>
      <c r="N29" s="8"/>
      <c r="O29" s="8"/>
      <c r="P29" s="8"/>
      <c r="Q29" s="8"/>
      <c r="R29" s="8"/>
      <c r="S29" s="8"/>
      <c r="T29" s="8"/>
      <c r="U29" s="8"/>
      <c r="V29"/>
      <c r="X29"/>
      <c r="Y29" s="38"/>
      <c r="Z29" s="69"/>
      <c r="AA29" s="38"/>
      <c r="AB29" s="38"/>
      <c r="AD29"/>
      <c r="AE29"/>
      <c r="AF29"/>
      <c r="AG29"/>
      <c r="AH29"/>
    </row>
    <row r="30" spans="1:34">
      <c r="A30" s="110" t="s">
        <v>267</v>
      </c>
      <c r="B30" s="109">
        <v>1</v>
      </c>
      <c r="C30" s="113">
        <f>+'Cost Estimation'!B6</f>
        <v>0.04</v>
      </c>
      <c r="D30"/>
      <c r="E30"/>
      <c r="F30"/>
      <c r="G30"/>
      <c r="H30"/>
      <c r="I30"/>
      <c r="J30"/>
      <c r="K30"/>
      <c r="L30"/>
      <c r="M30"/>
      <c r="N30"/>
      <c r="O30"/>
      <c r="P30"/>
      <c r="Q30"/>
      <c r="R30"/>
      <c r="S30"/>
      <c r="T30"/>
      <c r="U30"/>
      <c r="V30"/>
      <c r="X30"/>
      <c r="Y30"/>
      <c r="Z30"/>
      <c r="AA30"/>
      <c r="AB30"/>
      <c r="AC30"/>
      <c r="AD30"/>
      <c r="AE30"/>
      <c r="AF30"/>
      <c r="AG30"/>
      <c r="AH30"/>
    </row>
    <row r="31" spans="1:34">
      <c r="A31" s="110" t="s">
        <v>553</v>
      </c>
      <c r="B31" s="109"/>
      <c r="C31" s="113">
        <f>SUM(C26:C30)</f>
        <v>3.0371532750810619</v>
      </c>
      <c r="D31" s="116"/>
      <c r="E31" s="111"/>
      <c r="X31"/>
      <c r="Y31"/>
      <c r="Z31" s="38"/>
      <c r="AA31" s="69"/>
      <c r="AB31" s="38"/>
      <c r="AE31"/>
      <c r="AF31"/>
      <c r="AG31"/>
      <c r="AH31"/>
    </row>
    <row r="32" spans="1:34">
      <c r="A32" s="1" t="s">
        <v>142</v>
      </c>
      <c r="C32" s="115"/>
      <c r="D32" s="116"/>
      <c r="E32" s="111"/>
      <c r="X32"/>
      <c r="Y32"/>
      <c r="Z32" s="38"/>
      <c r="AA32" s="69"/>
      <c r="AB32" s="38"/>
      <c r="AE32"/>
      <c r="AF32"/>
      <c r="AG32"/>
      <c r="AH32"/>
    </row>
    <row r="33" spans="1:34">
      <c r="B33" s="117" t="s">
        <v>16</v>
      </c>
      <c r="C33" s="117" t="s">
        <v>17</v>
      </c>
      <c r="D33" s="117" t="s">
        <v>18</v>
      </c>
      <c r="E33" s="117" t="s">
        <v>19</v>
      </c>
      <c r="F33" s="117" t="s">
        <v>20</v>
      </c>
      <c r="G33" s="117" t="s">
        <v>21</v>
      </c>
      <c r="H33" s="117" t="s">
        <v>22</v>
      </c>
      <c r="I33" s="117" t="s">
        <v>23</v>
      </c>
      <c r="J33" s="117" t="s">
        <v>24</v>
      </c>
      <c r="K33" s="117" t="s">
        <v>25</v>
      </c>
      <c r="L33" s="117" t="s">
        <v>26</v>
      </c>
      <c r="M33" s="117" t="s">
        <v>27</v>
      </c>
      <c r="N33" s="112" t="s">
        <v>138</v>
      </c>
      <c r="O33"/>
      <c r="P33"/>
      <c r="Q33"/>
      <c r="R33" s="38"/>
      <c r="S33" s="69"/>
      <c r="T33" s="38"/>
      <c r="U33" s="38"/>
      <c r="V33" s="38"/>
      <c r="X33"/>
      <c r="Y33"/>
      <c r="Z33"/>
      <c r="AA33"/>
      <c r="AB33"/>
      <c r="AC33"/>
      <c r="AD33"/>
      <c r="AE33"/>
      <c r="AF33"/>
      <c r="AG33"/>
      <c r="AH33"/>
    </row>
    <row r="34" spans="1:34">
      <c r="A34" s="110" t="s">
        <v>130</v>
      </c>
      <c r="B34" s="113">
        <f>$C$27+$H$27*$C$28+$C$30</f>
        <v>0.76957247508106164</v>
      </c>
      <c r="C34" s="138"/>
      <c r="D34" s="139"/>
      <c r="E34" s="113">
        <f>$C$27+$H$27*$C$28+$C$30</f>
        <v>0.76957247508106164</v>
      </c>
      <c r="F34" s="138"/>
      <c r="G34" s="139"/>
      <c r="H34" s="113">
        <f>$C$27+$H$27*$C$28+$C$30</f>
        <v>0.76957247508106164</v>
      </c>
      <c r="I34" s="138"/>
      <c r="J34" s="139"/>
      <c r="K34" s="113">
        <f>$C$27+$H$27*$C$28+$C$30</f>
        <v>0.76957247508106164</v>
      </c>
      <c r="L34" s="138"/>
      <c r="M34" s="139"/>
      <c r="N34" s="120">
        <f>+SUM(B34:M34)</f>
        <v>3.0782899003242465</v>
      </c>
      <c r="O34" s="121">
        <f>+N34*W36/V36</f>
        <v>0.1148133625016368</v>
      </c>
      <c r="P34"/>
      <c r="Q34"/>
      <c r="R34" s="38"/>
      <c r="S34" s="69"/>
      <c r="T34" s="38"/>
      <c r="U34" s="38"/>
      <c r="V34" s="38"/>
      <c r="X34"/>
      <c r="Y34"/>
      <c r="Z34"/>
      <c r="AA34"/>
      <c r="AB34"/>
      <c r="AC34"/>
      <c r="AD34"/>
      <c r="AE34"/>
      <c r="AF34"/>
      <c r="AG34"/>
      <c r="AH34"/>
    </row>
    <row r="35" spans="1:34">
      <c r="A35" s="110" t="s">
        <v>131</v>
      </c>
      <c r="B35" s="113">
        <f>$C$26+$H$28*$C$28+$H$28*$C$30</f>
        <v>2.0875808000000005</v>
      </c>
      <c r="C35" s="113">
        <f t="shared" ref="C35:M35" si="6">$C$26+$H$28*$C$28+$H$28*$C$30</f>
        <v>2.0875808000000005</v>
      </c>
      <c r="D35" s="113">
        <f t="shared" si="6"/>
        <v>2.0875808000000005</v>
      </c>
      <c r="E35" s="113">
        <f t="shared" si="6"/>
        <v>2.0875808000000005</v>
      </c>
      <c r="F35" s="113">
        <f t="shared" si="6"/>
        <v>2.0875808000000005</v>
      </c>
      <c r="G35" s="113">
        <f t="shared" si="6"/>
        <v>2.0875808000000005</v>
      </c>
      <c r="H35" s="113">
        <f>$C$27+$H$27*$C$28+$C$30</f>
        <v>0.76957247508106164</v>
      </c>
      <c r="I35" s="113">
        <f t="shared" si="6"/>
        <v>2.0875808000000005</v>
      </c>
      <c r="J35" s="113">
        <f t="shared" si="6"/>
        <v>2.0875808000000005</v>
      </c>
      <c r="K35" s="113">
        <f t="shared" si="6"/>
        <v>2.0875808000000005</v>
      </c>
      <c r="L35" s="113">
        <f t="shared" si="6"/>
        <v>2.0875808000000005</v>
      </c>
      <c r="M35" s="113">
        <f t="shared" si="6"/>
        <v>2.0875808000000005</v>
      </c>
      <c r="N35" s="120">
        <f>+SUM(B35:M35)</f>
        <v>23.73296127508107</v>
      </c>
      <c r="O35" s="121">
        <f>+N35*W36/V36</f>
        <v>0.88518663749836313</v>
      </c>
      <c r="P35"/>
      <c r="Q35"/>
      <c r="R35" s="38"/>
      <c r="S35" s="69"/>
      <c r="T35" s="38"/>
      <c r="U35" s="38"/>
      <c r="V35" s="38"/>
      <c r="X35"/>
      <c r="Y35"/>
      <c r="Z35"/>
      <c r="AA35"/>
      <c r="AB35"/>
      <c r="AC35"/>
      <c r="AD35"/>
      <c r="AE35"/>
      <c r="AF35"/>
      <c r="AG35"/>
      <c r="AH35"/>
    </row>
    <row r="36" spans="1:34">
      <c r="C36" s="115"/>
      <c r="D36" s="116"/>
      <c r="E36" s="111"/>
      <c r="V36" s="120">
        <f>SUM(N34:N35)</f>
        <v>26.811251175405317</v>
      </c>
      <c r="W36" s="122">
        <v>1</v>
      </c>
      <c r="X36"/>
      <c r="Y36"/>
      <c r="Z36" s="38"/>
      <c r="AA36" s="69"/>
      <c r="AB36" s="38"/>
      <c r="AE36"/>
      <c r="AF36"/>
      <c r="AG36"/>
      <c r="AH36"/>
    </row>
    <row r="37" spans="1:34">
      <c r="A37" s="1" t="s">
        <v>143</v>
      </c>
      <c r="B37" s="112" t="s">
        <v>127</v>
      </c>
      <c r="D37" s="111" t="s">
        <v>203</v>
      </c>
      <c r="X37"/>
      <c r="Y37"/>
      <c r="Z37" s="38"/>
      <c r="AA37" s="69"/>
      <c r="AB37" s="38"/>
      <c r="AE37"/>
      <c r="AF37"/>
      <c r="AG37"/>
      <c r="AH37"/>
    </row>
    <row r="38" spans="1:34">
      <c r="A38" s="110" t="s">
        <v>133</v>
      </c>
      <c r="B38" s="113">
        <f>+SUM(B34:M35)</f>
        <v>26.811251175405321</v>
      </c>
      <c r="C38" s="115"/>
      <c r="D38" s="116"/>
      <c r="E38" s="112" t="s">
        <v>132</v>
      </c>
      <c r="F38" s="112" t="s">
        <v>135</v>
      </c>
      <c r="G38" s="112" t="s">
        <v>136</v>
      </c>
      <c r="H38" s="112" t="s">
        <v>376</v>
      </c>
      <c r="I38" s="112" t="s">
        <v>377</v>
      </c>
      <c r="X38"/>
      <c r="Y38"/>
      <c r="Z38" s="38"/>
      <c r="AA38" s="69"/>
      <c r="AB38" s="38"/>
      <c r="AE38"/>
      <c r="AF38"/>
      <c r="AG38"/>
      <c r="AH38"/>
    </row>
    <row r="39" spans="1:34">
      <c r="C39" s="115" t="s">
        <v>152</v>
      </c>
      <c r="D39" s="119" t="s">
        <v>137</v>
      </c>
      <c r="E39" s="196">
        <f>SUM(E40:E41)</f>
        <v>94.07845114989982</v>
      </c>
      <c r="F39" s="196">
        <f>SUM(F40:F41)</f>
        <v>12000</v>
      </c>
      <c r="G39" s="196">
        <f>SUM(G40:G41)</f>
        <v>17999.999999999993</v>
      </c>
      <c r="H39" s="196">
        <f>SUM(H40:H41)</f>
        <v>24000</v>
      </c>
      <c r="I39" s="196">
        <f>SUM(I40:I41)</f>
        <v>30000</v>
      </c>
      <c r="X39"/>
      <c r="Y39"/>
      <c r="Z39" s="38"/>
      <c r="AA39" s="69"/>
      <c r="AB39" s="38"/>
      <c r="AE39"/>
      <c r="AF39"/>
      <c r="AG39"/>
      <c r="AH39"/>
    </row>
    <row r="40" spans="1:34">
      <c r="C40" s="137" t="s">
        <v>148</v>
      </c>
      <c r="D40" s="136" t="s">
        <v>144</v>
      </c>
      <c r="E40" s="188">
        <f>'Revenue Bottom-up'!M2</f>
        <v>70.558838362424865</v>
      </c>
      <c r="F40" s="188">
        <f>'Revenue Bottom-up'!M3</f>
        <v>9000</v>
      </c>
      <c r="G40" s="188">
        <f>'Revenue Bottom-up'!M4</f>
        <v>13499.999999999996</v>
      </c>
      <c r="H40" s="188">
        <f>'Revenue Bottom-up'!M5</f>
        <v>18000</v>
      </c>
      <c r="I40" s="188">
        <f>'Revenue Bottom-up'!M6</f>
        <v>22500</v>
      </c>
      <c r="X40"/>
      <c r="Y40"/>
      <c r="Z40" s="38"/>
      <c r="AA40" s="69"/>
      <c r="AB40" s="38"/>
      <c r="AE40"/>
      <c r="AF40"/>
      <c r="AG40"/>
      <c r="AH40"/>
    </row>
    <row r="41" spans="1:34">
      <c r="C41" s="137" t="s">
        <v>149</v>
      </c>
      <c r="D41" s="135" t="s">
        <v>145</v>
      </c>
      <c r="E41" s="188">
        <f>'Revenue Bottom-up'!N2</f>
        <v>23.519612787474955</v>
      </c>
      <c r="F41" s="188">
        <f>'Revenue Bottom-up'!N3</f>
        <v>3000</v>
      </c>
      <c r="G41" s="188">
        <f>'Revenue Bottom-up'!N4</f>
        <v>4499.9999999999982</v>
      </c>
      <c r="H41" s="188">
        <f>'Revenue Bottom-up'!N5</f>
        <v>6000</v>
      </c>
      <c r="I41" s="188">
        <f>'Revenue Bottom-up'!N6</f>
        <v>7500</v>
      </c>
      <c r="X41"/>
      <c r="Y41"/>
      <c r="Z41" s="38"/>
      <c r="AA41" s="69"/>
      <c r="AB41" s="38"/>
      <c r="AE41"/>
      <c r="AF41"/>
      <c r="AG41"/>
      <c r="AH41"/>
    </row>
    <row r="42" spans="1:34">
      <c r="C42" s="137" t="s">
        <v>150</v>
      </c>
      <c r="D42" s="119" t="s">
        <v>146</v>
      </c>
      <c r="E42" s="123">
        <f>+E40*$E$35</f>
        <v>147.29727623570162</v>
      </c>
      <c r="F42" s="123">
        <f t="shared" ref="F42:H42" si="7">+F40*$E$35</f>
        <v>18788.227200000005</v>
      </c>
      <c r="G42" s="123">
        <f>+G40*$E$35</f>
        <v>28182.340799999998</v>
      </c>
      <c r="H42" s="123">
        <f t="shared" si="7"/>
        <v>37576.45440000001</v>
      </c>
      <c r="I42" s="123">
        <f>+I40*$E$35</f>
        <v>46970.568000000014</v>
      </c>
      <c r="X42"/>
      <c r="Y42"/>
      <c r="Z42" s="38"/>
      <c r="AA42" s="69"/>
      <c r="AB42" s="38"/>
      <c r="AE42"/>
      <c r="AF42"/>
      <c r="AG42"/>
      <c r="AH42"/>
    </row>
    <row r="43" spans="1:34">
      <c r="C43" s="137" t="s">
        <v>151</v>
      </c>
      <c r="D43" s="119" t="s">
        <v>147</v>
      </c>
      <c r="E43" s="123">
        <f>+E41*$E$34</f>
        <v>18.100046625805287</v>
      </c>
      <c r="F43" s="123">
        <f>+F41*$E$34</f>
        <v>2308.7174252431851</v>
      </c>
      <c r="G43" s="123">
        <f t="shared" ref="G43:I43" si="8">+G41*$E$34</f>
        <v>3463.0761378647758</v>
      </c>
      <c r="H43" s="123">
        <f>+H41*$E$34</f>
        <v>4617.4348504863701</v>
      </c>
      <c r="I43" s="123">
        <f t="shared" si="8"/>
        <v>5771.7935631079627</v>
      </c>
      <c r="K43" s="58"/>
      <c r="L43" s="8"/>
      <c r="M43"/>
      <c r="N43"/>
      <c r="O43"/>
      <c r="P43"/>
      <c r="Q43"/>
      <c r="R43"/>
      <c r="S43"/>
      <c r="T43"/>
      <c r="U43"/>
      <c r="V43"/>
      <c r="X43" s="38"/>
      <c r="Y43" s="69"/>
      <c r="Z43" s="38"/>
      <c r="AA43" s="38"/>
      <c r="AB43" s="38"/>
      <c r="AC43"/>
      <c r="AD43"/>
      <c r="AE43"/>
      <c r="AF43"/>
      <c r="AG43"/>
      <c r="AH43"/>
    </row>
    <row r="44" spans="1:34">
      <c r="C44" s="115"/>
      <c r="D44" s="124" t="s">
        <v>139</v>
      </c>
      <c r="E44" s="123">
        <f>+E42+E43</f>
        <v>165.39732286150689</v>
      </c>
      <c r="F44" s="123">
        <f t="shared" ref="F44:G44" si="9">+F42+F43</f>
        <v>21096.944625243188</v>
      </c>
      <c r="G44" s="123">
        <f t="shared" si="9"/>
        <v>31645.416937864775</v>
      </c>
      <c r="H44" s="123">
        <f t="shared" ref="H44:I44" si="10">+H42+H43</f>
        <v>42193.889250486376</v>
      </c>
      <c r="I44" s="123">
        <f t="shared" si="10"/>
        <v>52742.361563107974</v>
      </c>
      <c r="K44" s="58"/>
      <c r="L44" s="8"/>
      <c r="M44"/>
      <c r="N44"/>
      <c r="O44"/>
      <c r="P44"/>
      <c r="Q44"/>
      <c r="R44"/>
      <c r="S44"/>
      <c r="T44"/>
      <c r="U44"/>
      <c r="V44"/>
      <c r="X44" s="38"/>
      <c r="Y44" s="69"/>
      <c r="Z44" s="38"/>
      <c r="AA44" s="38"/>
      <c r="AB44" s="38"/>
      <c r="AC44"/>
      <c r="AD44"/>
      <c r="AE44"/>
      <c r="AF44"/>
      <c r="AG44"/>
      <c r="AH44"/>
    </row>
    <row r="45" spans="1:34">
      <c r="C45" s="115"/>
      <c r="D45" s="116"/>
      <c r="E45" s="111"/>
      <c r="I45" s="118"/>
      <c r="X45"/>
      <c r="Y45"/>
      <c r="Z45" s="38"/>
      <c r="AA45" s="69"/>
      <c r="AB45" s="38"/>
      <c r="AE45"/>
      <c r="AF45"/>
      <c r="AG45"/>
      <c r="AH45"/>
    </row>
    <row r="46" spans="1:34">
      <c r="C46" s="115"/>
      <c r="D46" s="116"/>
      <c r="E46" s="111"/>
      <c r="I46" s="118"/>
      <c r="X46"/>
      <c r="Y46"/>
      <c r="Z46" s="38"/>
      <c r="AA46" s="69"/>
      <c r="AB46" s="38"/>
      <c r="AE46"/>
      <c r="AF46"/>
      <c r="AG46"/>
      <c r="AH46"/>
    </row>
    <row r="47" spans="1:34">
      <c r="A47" s="126" t="s">
        <v>156</v>
      </c>
      <c r="B47" s="127"/>
      <c r="C47" s="127"/>
      <c r="D47" s="127"/>
      <c r="E47" s="128"/>
      <c r="F47" s="127"/>
      <c r="G47" s="127"/>
      <c r="H47" s="127"/>
      <c r="I47" s="128"/>
      <c r="J47" s="127"/>
      <c r="K47" s="129"/>
      <c r="L47" s="127"/>
      <c r="M47" s="130"/>
      <c r="N47" s="130"/>
      <c r="O47" s="130"/>
      <c r="P47" s="130"/>
      <c r="Q47" s="130"/>
      <c r="R47" s="130"/>
      <c r="S47" s="130"/>
      <c r="T47" s="130"/>
      <c r="U47" s="130"/>
      <c r="V47" s="131"/>
      <c r="W47" s="125"/>
      <c r="X47" s="132"/>
      <c r="Y47" s="132"/>
      <c r="Z47" s="133"/>
      <c r="AA47" s="134"/>
      <c r="AB47" s="133"/>
      <c r="AC47" s="133"/>
      <c r="AD47" s="133"/>
      <c r="AE47" s="125"/>
      <c r="AF47" s="125"/>
      <c r="AG47" s="125"/>
      <c r="AH47" s="125"/>
    </row>
    <row r="48" spans="1:34">
      <c r="E48" s="111"/>
      <c r="H48" s="114"/>
      <c r="X48"/>
      <c r="Y48"/>
      <c r="Z48" s="38"/>
      <c r="AA48" s="69"/>
      <c r="AB48" s="38"/>
      <c r="AE48"/>
      <c r="AF48"/>
      <c r="AG48"/>
      <c r="AH48"/>
    </row>
    <row r="49" spans="1:34" ht="16.5" thickBot="1">
      <c r="A49" s="50"/>
      <c r="B49" s="116"/>
      <c r="C49" s="111" t="s">
        <v>134</v>
      </c>
      <c r="E49" s="50"/>
      <c r="X49"/>
      <c r="Y49"/>
      <c r="Z49" s="38"/>
      <c r="AA49" s="69"/>
      <c r="AB49" s="38"/>
      <c r="AE49"/>
      <c r="AF49"/>
      <c r="AG49"/>
      <c r="AH49"/>
    </row>
    <row r="50" spans="1:34">
      <c r="A50" s="50"/>
      <c r="B50" s="116"/>
      <c r="C50" s="112" t="s">
        <v>132</v>
      </c>
      <c r="D50" s="112" t="s">
        <v>135</v>
      </c>
      <c r="E50" s="112" t="s">
        <v>136</v>
      </c>
      <c r="F50" s="112" t="s">
        <v>376</v>
      </c>
      <c r="G50" s="112" t="s">
        <v>377</v>
      </c>
      <c r="J50" s="240"/>
      <c r="K50" s="241" t="s">
        <v>325</v>
      </c>
      <c r="L50" s="242" t="s">
        <v>326</v>
      </c>
      <c r="X50"/>
      <c r="Y50"/>
      <c r="Z50" s="38"/>
      <c r="AA50" s="69"/>
      <c r="AB50" s="38"/>
      <c r="AE50"/>
      <c r="AF50"/>
      <c r="AG50"/>
      <c r="AH50"/>
    </row>
    <row r="51" spans="1:34" ht="16.5" thickBot="1">
      <c r="A51" s="50"/>
      <c r="B51" s="119" t="s">
        <v>137</v>
      </c>
      <c r="C51" s="196">
        <f>SUM(C52:C53)</f>
        <v>94.07845114989982</v>
      </c>
      <c r="D51" s="196">
        <f t="shared" ref="D51:G51" si="11">SUM(D52:D53)</f>
        <v>12000</v>
      </c>
      <c r="E51" s="196">
        <f t="shared" si="11"/>
        <v>17999.999999999993</v>
      </c>
      <c r="F51" s="196">
        <f t="shared" si="11"/>
        <v>24000</v>
      </c>
      <c r="G51" s="196">
        <f t="shared" si="11"/>
        <v>30000</v>
      </c>
      <c r="J51" s="243" t="s">
        <v>331</v>
      </c>
      <c r="K51" s="238">
        <v>2.5</v>
      </c>
      <c r="L51" s="239">
        <v>5</v>
      </c>
      <c r="X51"/>
      <c r="Z51" s="38"/>
      <c r="AA51" s="69"/>
      <c r="AB51" s="38"/>
      <c r="AE51"/>
      <c r="AF51"/>
      <c r="AG51"/>
      <c r="AH51"/>
    </row>
    <row r="52" spans="1:34">
      <c r="A52" s="50"/>
      <c r="B52" s="136" t="s">
        <v>144</v>
      </c>
      <c r="C52" s="188">
        <f>'Revenue Bottom-up'!M2</f>
        <v>70.558838362424865</v>
      </c>
      <c r="D52" s="188">
        <f>'Revenue Bottom-up'!M3</f>
        <v>9000</v>
      </c>
      <c r="E52" s="188">
        <f>'Revenue Bottom-up'!M4</f>
        <v>13499.999999999996</v>
      </c>
      <c r="F52" s="188">
        <f>'Revenue Bottom-up'!M5</f>
        <v>18000</v>
      </c>
      <c r="G52" s="188">
        <f>'Revenue Bottom-up'!M6</f>
        <v>22500</v>
      </c>
      <c r="X52"/>
    </row>
    <row r="53" spans="1:34">
      <c r="A53" s="50"/>
      <c r="B53" s="135" t="s">
        <v>145</v>
      </c>
      <c r="C53" s="188">
        <f>'Revenue Bottom-up'!N2</f>
        <v>23.519612787474955</v>
      </c>
      <c r="D53" s="188">
        <f>'Revenue Bottom-up'!N3</f>
        <v>3000</v>
      </c>
      <c r="E53" s="188">
        <f>'Revenue Bottom-up'!N4</f>
        <v>4499.9999999999982</v>
      </c>
      <c r="F53" s="188">
        <f>'Revenue Bottom-up'!N5</f>
        <v>6000</v>
      </c>
      <c r="G53" s="188">
        <f>'Revenue Bottom-up'!N6</f>
        <v>7500</v>
      </c>
      <c r="X53"/>
    </row>
    <row r="54" spans="1:34">
      <c r="A54" s="50"/>
      <c r="B54" s="119" t="s">
        <v>153</v>
      </c>
      <c r="C54" s="113">
        <f>+C52*$L$51</f>
        <v>352.79419181212432</v>
      </c>
      <c r="D54" s="113">
        <f>+D52*$L$51</f>
        <v>45000</v>
      </c>
      <c r="E54" s="113">
        <f>+E52*$L$51</f>
        <v>67499.999999999985</v>
      </c>
      <c r="F54" s="113">
        <f>+F52*$L$51</f>
        <v>90000</v>
      </c>
      <c r="G54" s="113">
        <f>+G52*$L$51</f>
        <v>112500</v>
      </c>
      <c r="X54"/>
    </row>
    <row r="55" spans="1:34">
      <c r="A55" s="50"/>
      <c r="B55" s="119" t="s">
        <v>154</v>
      </c>
      <c r="C55" s="113">
        <f>+C53*$K$51</f>
        <v>58.799031968687387</v>
      </c>
      <c r="D55" s="113">
        <f>+D53*$K$51</f>
        <v>7500</v>
      </c>
      <c r="E55" s="113">
        <f>+E53*$K$51</f>
        <v>11249.999999999996</v>
      </c>
      <c r="F55" s="113">
        <f>+F53*$K$51</f>
        <v>15000</v>
      </c>
      <c r="G55" s="113">
        <f>+G53*$K$51</f>
        <v>18750</v>
      </c>
      <c r="X55"/>
    </row>
    <row r="56" spans="1:34">
      <c r="A56" s="50"/>
      <c r="B56" s="124" t="s">
        <v>155</v>
      </c>
      <c r="C56" s="113">
        <f>+C54+C55</f>
        <v>411.59322378081174</v>
      </c>
      <c r="D56" s="113">
        <f>+D54+D55</f>
        <v>52500</v>
      </c>
      <c r="E56" s="113">
        <f>+E54+E55</f>
        <v>78749.999999999985</v>
      </c>
      <c r="F56" s="113">
        <f>+F54+F55</f>
        <v>105000</v>
      </c>
      <c r="G56" s="113">
        <f>+G54+G55</f>
        <v>131250</v>
      </c>
      <c r="X56"/>
    </row>
    <row r="57" spans="1:34">
      <c r="A57" s="50"/>
      <c r="C57"/>
      <c r="X57"/>
    </row>
    <row r="58" spans="1:34">
      <c r="A58" s="126" t="s">
        <v>157</v>
      </c>
      <c r="B58" s="127"/>
      <c r="C58" s="127"/>
      <c r="D58" s="127"/>
      <c r="E58" s="128"/>
      <c r="F58" s="127"/>
      <c r="G58" s="127"/>
      <c r="H58" s="127"/>
      <c r="I58" s="128"/>
      <c r="J58" s="127"/>
      <c r="K58" s="129"/>
      <c r="L58" s="127"/>
      <c r="M58" s="130"/>
      <c r="N58" s="130"/>
      <c r="O58" s="130"/>
      <c r="P58" s="130"/>
      <c r="Q58" s="130"/>
      <c r="R58" s="130"/>
      <c r="S58" s="130"/>
      <c r="T58" s="130"/>
      <c r="U58" s="130"/>
      <c r="V58" s="131"/>
      <c r="W58" s="125"/>
      <c r="X58" s="132"/>
      <c r="Y58" s="132"/>
      <c r="Z58" s="133"/>
      <c r="AA58" s="134"/>
      <c r="AB58" s="133"/>
      <c r="AC58" s="133"/>
      <c r="AD58" s="133"/>
      <c r="AE58" s="125"/>
      <c r="AF58" s="125"/>
      <c r="AG58" s="125"/>
      <c r="AH58" s="125"/>
    </row>
    <row r="59" spans="1:34">
      <c r="A59" s="50"/>
      <c r="C59"/>
      <c r="X59"/>
    </row>
    <row r="60" spans="1:34">
      <c r="A60" s="50"/>
      <c r="B60" s="112" t="s">
        <v>132</v>
      </c>
      <c r="C60" s="112" t="s">
        <v>135</v>
      </c>
      <c r="D60" s="112" t="s">
        <v>136</v>
      </c>
      <c r="E60" s="112" t="s">
        <v>376</v>
      </c>
      <c r="F60" s="112" t="s">
        <v>377</v>
      </c>
      <c r="X60"/>
    </row>
    <row r="61" spans="1:34">
      <c r="A61" s="119" t="s">
        <v>113</v>
      </c>
      <c r="B61" s="113">
        <f>F61*(1+C73)</f>
        <v>4921.875</v>
      </c>
      <c r="C61" s="113">
        <f>$F$61*(1+D73)</f>
        <v>4429.6875</v>
      </c>
      <c r="D61" s="113">
        <f t="shared" ref="D61:E61" si="12">$F$61*(1+E73)</f>
        <v>3937.5</v>
      </c>
      <c r="E61" s="113">
        <f t="shared" si="12"/>
        <v>3609.3750000000005</v>
      </c>
      <c r="F61" s="113">
        <f>G72*G56</f>
        <v>3281.25</v>
      </c>
      <c r="J61" s="487" t="s">
        <v>332</v>
      </c>
      <c r="K61" s="487"/>
      <c r="L61" s="50">
        <v>900</v>
      </c>
      <c r="X61"/>
    </row>
    <row r="62" spans="1:34">
      <c r="A62" s="119" t="s">
        <v>114</v>
      </c>
      <c r="B62" s="113">
        <f>F62*L62*(1+C67)</f>
        <v>945</v>
      </c>
      <c r="C62" s="113">
        <f>$F$62*(1+D67)</f>
        <v>23625</v>
      </c>
      <c r="D62" s="113">
        <f t="shared" ref="D62:E62" si="13">$F$62*(1+E67)</f>
        <v>18900</v>
      </c>
      <c r="E62" s="113">
        <f t="shared" si="13"/>
        <v>17325</v>
      </c>
      <c r="F62" s="113">
        <f>(G66*G56)*(1+G67)</f>
        <v>15750</v>
      </c>
      <c r="J62" s="487" t="s">
        <v>333</v>
      </c>
      <c r="K62" s="487"/>
      <c r="L62" s="236">
        <v>0.04</v>
      </c>
      <c r="X62"/>
    </row>
    <row r="63" spans="1:34">
      <c r="A63" s="119" t="s">
        <v>115</v>
      </c>
      <c r="B63" s="113">
        <f>D63*(1+C79)*L62 + L61</f>
        <v>1917</v>
      </c>
      <c r="C63" s="113">
        <f>D78*D56 + L61</f>
        <v>8775</v>
      </c>
      <c r="D63" s="113">
        <f>+E78*E56 + L61</f>
        <v>12712.499999999998</v>
      </c>
      <c r="E63" s="113">
        <f>F78*F56 + L61</f>
        <v>16650</v>
      </c>
      <c r="F63" s="113">
        <f>+G78*G56 + L61</f>
        <v>20587.5</v>
      </c>
      <c r="K63" s="50"/>
      <c r="X63"/>
    </row>
    <row r="64" spans="1:34">
      <c r="K64" s="50"/>
      <c r="X64"/>
    </row>
    <row r="65" spans="1:34">
      <c r="A65" s="147" t="str">
        <f>+A62</f>
        <v xml:space="preserve">   Advertising &amp; Promotion</v>
      </c>
      <c r="C65" s="112" t="s">
        <v>132</v>
      </c>
      <c r="D65" s="112" t="s">
        <v>135</v>
      </c>
      <c r="E65" s="112" t="s">
        <v>136</v>
      </c>
      <c r="F65" s="112" t="s">
        <v>376</v>
      </c>
      <c r="G65" s="112" t="s">
        <v>377</v>
      </c>
      <c r="K65" s="50"/>
      <c r="X65"/>
    </row>
    <row r="66" spans="1:34">
      <c r="B66" s="144" t="s">
        <v>158</v>
      </c>
      <c r="C66" s="145" t="s">
        <v>380</v>
      </c>
      <c r="D66" s="146" t="s">
        <v>381</v>
      </c>
      <c r="E66" s="146" t="s">
        <v>381</v>
      </c>
      <c r="F66" s="146" t="s">
        <v>381</v>
      </c>
      <c r="G66" s="146">
        <v>0.12</v>
      </c>
      <c r="K66" s="50"/>
      <c r="L66" s="50" t="s">
        <v>210</v>
      </c>
      <c r="X66"/>
    </row>
    <row r="67" spans="1:34">
      <c r="B67" s="144" t="s">
        <v>159</v>
      </c>
      <c r="C67" s="146">
        <v>0.5</v>
      </c>
      <c r="D67" s="146">
        <v>0.5</v>
      </c>
      <c r="E67" s="146">
        <v>0.2</v>
      </c>
      <c r="F67" s="146">
        <v>0.1</v>
      </c>
      <c r="G67" s="146">
        <v>0</v>
      </c>
    </row>
    <row r="68" spans="1:34">
      <c r="G68" s="52"/>
      <c r="I68" s="58"/>
      <c r="J68" s="8"/>
      <c r="K68"/>
      <c r="L68" s="4"/>
      <c r="M68" s="4"/>
      <c r="N68" s="4"/>
      <c r="O68" s="4"/>
      <c r="P68" s="4"/>
      <c r="Q68" s="4"/>
      <c r="R68" s="4"/>
      <c r="S68" s="4"/>
      <c r="T68" s="4"/>
      <c r="U68" s="4"/>
      <c r="V68" s="73"/>
      <c r="W68" s="73"/>
      <c r="X68" s="73"/>
      <c r="Y68" s="38"/>
      <c r="Z68" s="38"/>
      <c r="AA68" s="69"/>
      <c r="AB68" s="38"/>
      <c r="AE68"/>
      <c r="AF68"/>
      <c r="AG68"/>
      <c r="AH68"/>
    </row>
    <row r="69" spans="1:34">
      <c r="B69" s="143"/>
    </row>
    <row r="70" spans="1:34">
      <c r="A70" s="147" t="str">
        <f>+A61</f>
        <v xml:space="preserve">   Research &amp; Development</v>
      </c>
    </row>
    <row r="71" spans="1:34">
      <c r="C71" s="112" t="s">
        <v>132</v>
      </c>
      <c r="D71" s="112" t="s">
        <v>135</v>
      </c>
      <c r="E71" s="112" t="s">
        <v>136</v>
      </c>
      <c r="F71" s="112" t="s">
        <v>376</v>
      </c>
      <c r="G71" s="112" t="s">
        <v>377</v>
      </c>
    </row>
    <row r="72" spans="1:34">
      <c r="B72" s="144" t="s">
        <v>158</v>
      </c>
      <c r="C72" s="145" t="s">
        <v>381</v>
      </c>
      <c r="D72" s="146" t="str">
        <f>+C72</f>
        <v>Same as Y5</v>
      </c>
      <c r="E72" s="146" t="str">
        <f>+D72</f>
        <v>Same as Y5</v>
      </c>
      <c r="F72" s="146" t="str">
        <f>+E72</f>
        <v>Same as Y5</v>
      </c>
      <c r="G72" s="189">
        <v>2.5000000000000001E-2</v>
      </c>
    </row>
    <row r="73" spans="1:34">
      <c r="B73" s="144" t="s">
        <v>159</v>
      </c>
      <c r="C73" s="146">
        <v>0.5</v>
      </c>
      <c r="D73" s="146">
        <v>0.35</v>
      </c>
      <c r="E73" s="146">
        <v>0.2</v>
      </c>
      <c r="F73" s="146">
        <v>0.1</v>
      </c>
      <c r="G73" s="146">
        <v>0</v>
      </c>
    </row>
    <row r="74" spans="1:34">
      <c r="C74" s="358">
        <f>+$G$72+(C73*$G$72)</f>
        <v>3.7500000000000006E-2</v>
      </c>
      <c r="D74" s="358">
        <f>+$G$72+(D73*$G$72)</f>
        <v>3.3750000000000002E-2</v>
      </c>
      <c r="E74" s="358">
        <f>+$G$72+(E73*$G$72)</f>
        <v>3.0000000000000002E-2</v>
      </c>
      <c r="F74" s="358">
        <f>+$G$72+(F73*$G$72)</f>
        <v>2.7500000000000004E-2</v>
      </c>
      <c r="G74" s="358">
        <f>+$G$72+(G73*$G$72)</f>
        <v>2.5000000000000001E-2</v>
      </c>
      <c r="I74" s="58"/>
      <c r="J74" s="8"/>
      <c r="K74"/>
      <c r="L74" s="4"/>
      <c r="M74" s="4"/>
      <c r="N74" s="4"/>
      <c r="O74" s="4"/>
      <c r="P74" s="4"/>
      <c r="Q74" s="4"/>
      <c r="R74" s="4"/>
      <c r="S74" s="4"/>
      <c r="T74" s="4"/>
      <c r="U74" s="4"/>
      <c r="V74" s="73"/>
      <c r="W74" s="73"/>
      <c r="X74" s="73"/>
      <c r="Y74" s="38"/>
      <c r="Z74" s="38"/>
      <c r="AA74" s="69"/>
      <c r="AB74" s="38"/>
      <c r="AE74"/>
      <c r="AF74"/>
      <c r="AG74"/>
      <c r="AH74"/>
    </row>
    <row r="76" spans="1:34">
      <c r="A76" s="147" t="str">
        <f>+A63</f>
        <v xml:space="preserve">   Other Selling, General &amp; Administrative Expenses</v>
      </c>
    </row>
    <row r="77" spans="1:34">
      <c r="C77" s="112" t="s">
        <v>132</v>
      </c>
      <c r="D77" s="112" t="s">
        <v>135</v>
      </c>
      <c r="E77" s="112" t="s">
        <v>136</v>
      </c>
      <c r="F77" s="112" t="s">
        <v>376</v>
      </c>
      <c r="G77" s="112" t="s">
        <v>377</v>
      </c>
    </row>
    <row r="78" spans="1:34">
      <c r="B78" s="144" t="s">
        <v>158</v>
      </c>
      <c r="C78" s="190" t="s">
        <v>382</v>
      </c>
      <c r="D78" s="146">
        <v>0.15</v>
      </c>
      <c r="E78" s="146">
        <f>+D78</f>
        <v>0.15</v>
      </c>
      <c r="F78" s="146">
        <v>0.15</v>
      </c>
      <c r="G78" s="146">
        <v>0.15</v>
      </c>
      <c r="K78" s="50" t="s">
        <v>211</v>
      </c>
    </row>
    <row r="79" spans="1:34">
      <c r="B79" s="144" t="s">
        <v>159</v>
      </c>
      <c r="C79" s="146">
        <v>1</v>
      </c>
      <c r="D79" s="146">
        <v>0</v>
      </c>
      <c r="E79" s="146">
        <v>0</v>
      </c>
      <c r="F79" s="146">
        <v>0</v>
      </c>
      <c r="G79" s="146">
        <v>0</v>
      </c>
    </row>
    <row r="80" spans="1:34">
      <c r="G80" s="52"/>
      <c r="I80" s="58"/>
      <c r="J80" s="8"/>
      <c r="K80"/>
      <c r="L80" s="4"/>
      <c r="M80" s="4"/>
      <c r="N80" s="4"/>
      <c r="O80" s="4"/>
      <c r="P80" s="4"/>
      <c r="Q80" s="4"/>
      <c r="R80" s="4"/>
      <c r="S80" s="4"/>
      <c r="T80" s="4"/>
      <c r="U80" s="4"/>
      <c r="V80" s="73"/>
      <c r="W80" s="73"/>
      <c r="X80" s="73"/>
      <c r="Y80" s="38"/>
      <c r="Z80" s="38"/>
      <c r="AA80" s="69"/>
      <c r="AB80" s="38"/>
      <c r="AE80"/>
      <c r="AF80"/>
      <c r="AG80"/>
      <c r="AH80"/>
    </row>
    <row r="82" spans="1:34">
      <c r="A82" s="126" t="s">
        <v>162</v>
      </c>
      <c r="B82" s="127"/>
      <c r="C82" s="127"/>
      <c r="D82" s="127"/>
      <c r="E82" s="128"/>
      <c r="F82" s="127"/>
      <c r="G82" s="127"/>
      <c r="H82" s="127"/>
      <c r="I82" s="128"/>
      <c r="J82" s="127"/>
      <c r="K82" s="129"/>
      <c r="L82" s="127"/>
      <c r="M82" s="130"/>
      <c r="N82" s="130"/>
      <c r="O82" s="130"/>
      <c r="P82" s="130"/>
      <c r="Q82" s="130"/>
      <c r="R82" s="130"/>
      <c r="S82" s="130"/>
      <c r="T82" s="130"/>
      <c r="U82" s="130"/>
      <c r="V82" s="131"/>
      <c r="W82" s="125"/>
      <c r="X82" s="132"/>
      <c r="Y82" s="132"/>
      <c r="Z82" s="133"/>
      <c r="AA82" s="134"/>
      <c r="AB82" s="133"/>
      <c r="AC82" s="133"/>
      <c r="AD82" s="133"/>
      <c r="AE82" s="125"/>
      <c r="AF82" s="125"/>
      <c r="AG82" s="125"/>
      <c r="AH82" s="125"/>
    </row>
    <row r="83" spans="1:34">
      <c r="A83" t="s">
        <v>164</v>
      </c>
      <c r="B83" s="143" t="s">
        <v>212</v>
      </c>
      <c r="H83" s="143"/>
    </row>
    <row r="84" spans="1:34">
      <c r="B84" s="191" t="s">
        <v>213</v>
      </c>
      <c r="C84" s="191"/>
      <c r="D84" s="191"/>
      <c r="H84" s="143"/>
    </row>
    <row r="85" spans="1:34">
      <c r="H85" s="143"/>
    </row>
    <row r="86" spans="1:34">
      <c r="A86" s="126" t="s">
        <v>163</v>
      </c>
      <c r="B86" s="127"/>
      <c r="C86" s="127"/>
      <c r="D86" s="127"/>
      <c r="E86" s="128"/>
      <c r="F86" s="127"/>
      <c r="G86" s="127"/>
      <c r="H86" s="127"/>
      <c r="I86" s="128"/>
      <c r="J86" s="127"/>
      <c r="K86" s="129"/>
      <c r="L86" s="127"/>
      <c r="M86" s="130"/>
      <c r="N86" s="130"/>
      <c r="O86" s="130"/>
      <c r="P86" s="130"/>
      <c r="Q86" s="130"/>
      <c r="R86" s="130"/>
      <c r="S86" s="130"/>
      <c r="T86" s="130"/>
      <c r="U86" s="130"/>
      <c r="V86" s="131"/>
      <c r="W86" s="125"/>
      <c r="X86" s="132"/>
      <c r="Y86" s="132"/>
      <c r="Z86" s="133"/>
      <c r="AA86" s="134"/>
      <c r="AB86" s="133"/>
      <c r="AC86" s="133"/>
      <c r="AD86" s="133"/>
      <c r="AE86" s="125"/>
      <c r="AF86" s="125"/>
      <c r="AG86" s="125"/>
      <c r="AH86" s="125"/>
    </row>
    <row r="87" spans="1:34">
      <c r="A87" t="s">
        <v>164</v>
      </c>
      <c r="B87" s="143"/>
      <c r="C87" s="118" t="s">
        <v>165</v>
      </c>
    </row>
    <row r="88" spans="1:34">
      <c r="B88" s="143"/>
      <c r="C88" s="118"/>
    </row>
    <row r="111" spans="8:8">
      <c r="H111" s="183" t="s">
        <v>167</v>
      </c>
    </row>
    <row r="112" spans="8:8">
      <c r="H112" s="143" t="s">
        <v>168</v>
      </c>
    </row>
    <row r="113" spans="8:12">
      <c r="H113" s="143" t="s">
        <v>169</v>
      </c>
    </row>
    <row r="114" spans="8:12">
      <c r="H114" s="50" t="s">
        <v>172</v>
      </c>
    </row>
    <row r="115" spans="8:12">
      <c r="H115" s="50" t="s">
        <v>170</v>
      </c>
    </row>
    <row r="116" spans="8:12">
      <c r="H116" s="50" t="s">
        <v>171</v>
      </c>
    </row>
    <row r="117" spans="8:12">
      <c r="H117" s="50" t="s">
        <v>173</v>
      </c>
    </row>
    <row r="118" spans="8:12">
      <c r="H118" s="50" t="s">
        <v>174</v>
      </c>
    </row>
    <row r="119" spans="8:12">
      <c r="H119" s="50" t="s">
        <v>175</v>
      </c>
      <c r="I119" s="65" t="s">
        <v>176</v>
      </c>
      <c r="J119" s="143" t="s">
        <v>177</v>
      </c>
      <c r="K119" s="184"/>
      <c r="L119" s="143"/>
    </row>
    <row r="120" spans="8:12">
      <c r="J120" s="143" t="s">
        <v>178</v>
      </c>
      <c r="K120" s="184" t="s">
        <v>179</v>
      </c>
      <c r="L120" s="143"/>
    </row>
    <row r="121" spans="8:12">
      <c r="J121" s="143"/>
      <c r="K121" s="184" t="s">
        <v>180</v>
      </c>
      <c r="L121" s="143"/>
    </row>
    <row r="122" spans="8:12">
      <c r="J122" s="143"/>
      <c r="K122" s="184" t="s">
        <v>181</v>
      </c>
      <c r="L122" s="143"/>
    </row>
    <row r="123" spans="8:12">
      <c r="J123" s="143"/>
      <c r="K123" s="184" t="s">
        <v>182</v>
      </c>
      <c r="L123" s="143"/>
    </row>
    <row r="124" spans="8:12">
      <c r="J124" s="143"/>
      <c r="K124" s="184" t="s">
        <v>183</v>
      </c>
      <c r="L124" s="143"/>
    </row>
    <row r="125" spans="8:12">
      <c r="J125" s="143"/>
      <c r="K125" s="184" t="s">
        <v>184</v>
      </c>
      <c r="L125" s="143"/>
    </row>
    <row r="126" spans="8:12">
      <c r="J126" s="143"/>
      <c r="K126" s="184"/>
      <c r="L126" s="143"/>
    </row>
    <row r="127" spans="8:12">
      <c r="J127" s="143"/>
      <c r="K127" s="184" t="s">
        <v>185</v>
      </c>
      <c r="L127" s="143"/>
    </row>
    <row r="128" spans="8:12">
      <c r="J128" s="143"/>
      <c r="K128" s="184" t="s">
        <v>186</v>
      </c>
      <c r="L128" s="143"/>
    </row>
    <row r="129" spans="10:12">
      <c r="J129" s="143"/>
      <c r="K129" s="184" t="s">
        <v>187</v>
      </c>
      <c r="L129" s="143"/>
    </row>
    <row r="130" spans="10:12">
      <c r="J130" s="143"/>
      <c r="K130" s="184" t="s">
        <v>188</v>
      </c>
      <c r="L130" s="143"/>
    </row>
    <row r="131" spans="10:12">
      <c r="J131" s="143" t="s">
        <v>190</v>
      </c>
      <c r="K131" s="184" t="s">
        <v>189</v>
      </c>
      <c r="L131" s="143"/>
    </row>
    <row r="132" spans="10:12">
      <c r="J132" s="143" t="s">
        <v>190</v>
      </c>
      <c r="K132" s="184" t="s">
        <v>191</v>
      </c>
      <c r="L132" s="143"/>
    </row>
    <row r="133" spans="10:12">
      <c r="J133" s="143"/>
      <c r="K133" s="184" t="s">
        <v>192</v>
      </c>
      <c r="L133" s="143"/>
    </row>
    <row r="134" spans="10:12">
      <c r="J134" s="143"/>
      <c r="K134" s="184" t="s">
        <v>193</v>
      </c>
      <c r="L134" s="143"/>
    </row>
    <row r="135" spans="10:12">
      <c r="J135" s="143"/>
      <c r="K135" s="184" t="s">
        <v>194</v>
      </c>
      <c r="L135" s="143"/>
    </row>
    <row r="136" spans="10:12">
      <c r="J136" s="143"/>
      <c r="K136" s="184"/>
      <c r="L136" s="143"/>
    </row>
    <row r="137" spans="10:12">
      <c r="J137" s="143"/>
      <c r="K137" s="184" t="s">
        <v>195</v>
      </c>
      <c r="L137" s="143"/>
    </row>
    <row r="138" spans="10:12">
      <c r="K138" s="184" t="s">
        <v>196</v>
      </c>
    </row>
    <row r="140" spans="10:12">
      <c r="K140" s="52" t="s">
        <v>200</v>
      </c>
    </row>
  </sheetData>
  <mergeCells count="3">
    <mergeCell ref="G26:H26"/>
    <mergeCell ref="J61:K61"/>
    <mergeCell ref="J62:K62"/>
  </mergeCells>
  <phoneticPr fontId="33" type="noConversion"/>
  <pageMargins left="0.7" right="0.7" top="0.75" bottom="0.75" header="0.3" footer="0.3"/>
  <pageSetup scale="52"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9E9F5-C099-4464-A179-F5CDCDDC1DA7}">
  <sheetPr>
    <tabColor rgb="FF92D050"/>
  </sheetPr>
  <dimension ref="A1:R53"/>
  <sheetViews>
    <sheetView topLeftCell="A20" zoomScale="90" zoomScaleNormal="90" workbookViewId="0">
      <selection activeCell="F61" sqref="F61"/>
    </sheetView>
  </sheetViews>
  <sheetFormatPr defaultColWidth="8.75" defaultRowHeight="15.75"/>
  <cols>
    <col min="2" max="2" width="24.75" bestFit="1" customWidth="1"/>
    <col min="3" max="3" width="15.25" bestFit="1" customWidth="1"/>
    <col min="4" max="4" width="11.625" customWidth="1"/>
    <col min="5" max="8" width="15.75" bestFit="1" customWidth="1"/>
    <col min="9" max="9" width="26.875" customWidth="1"/>
    <col min="10" max="10" width="39.25" customWidth="1"/>
    <col min="11" max="11" width="19.75" customWidth="1"/>
    <col min="12" max="14" width="13.25" customWidth="1"/>
  </cols>
  <sheetData>
    <row r="1" spans="1:18" ht="20.25">
      <c r="A1" s="408" t="s">
        <v>577</v>
      </c>
      <c r="J1" s="492" t="s">
        <v>578</v>
      </c>
      <c r="K1" s="492"/>
      <c r="L1" s="492"/>
      <c r="M1" s="492"/>
      <c r="N1" s="492"/>
      <c r="O1" s="493" t="s">
        <v>579</v>
      </c>
      <c r="P1" s="494"/>
      <c r="Q1" s="494"/>
      <c r="R1" s="495"/>
    </row>
    <row r="2" spans="1:18" ht="18">
      <c r="A2" s="409" t="s">
        <v>695</v>
      </c>
      <c r="D2" s="410">
        <v>2023</v>
      </c>
      <c r="E2" s="410">
        <v>2024</v>
      </c>
      <c r="F2" s="410">
        <v>2025</v>
      </c>
      <c r="G2" s="410">
        <v>2026</v>
      </c>
      <c r="H2" s="410">
        <v>2027</v>
      </c>
      <c r="J2" s="405"/>
      <c r="K2" s="406" t="s">
        <v>361</v>
      </c>
      <c r="L2" s="292" t="s">
        <v>662</v>
      </c>
      <c r="M2" s="292" t="s">
        <v>663</v>
      </c>
      <c r="N2" s="292"/>
      <c r="O2" s="417"/>
      <c r="P2" s="418"/>
      <c r="Q2" s="418"/>
      <c r="R2" s="419"/>
    </row>
    <row r="3" spans="1:18" ht="18" customHeight="1">
      <c r="A3" s="409"/>
      <c r="D3" s="410" t="s">
        <v>580</v>
      </c>
      <c r="E3" s="410" t="s">
        <v>581</v>
      </c>
      <c r="F3" s="410" t="s">
        <v>582</v>
      </c>
      <c r="G3" s="410" t="s">
        <v>583</v>
      </c>
      <c r="H3" s="410" t="s">
        <v>584</v>
      </c>
      <c r="J3" s="292" t="s">
        <v>641</v>
      </c>
      <c r="K3" s="428">
        <v>70.56</v>
      </c>
      <c r="L3" s="445">
        <f>$Q$9*K3</f>
        <v>56.448000000000008</v>
      </c>
      <c r="M3" s="445">
        <f>$Q$10*K3</f>
        <v>84.671999999999997</v>
      </c>
      <c r="N3" s="292"/>
      <c r="O3" s="496" t="s">
        <v>585</v>
      </c>
      <c r="P3" s="497"/>
      <c r="Q3" s="497"/>
      <c r="R3" s="498"/>
    </row>
    <row r="4" spans="1:18">
      <c r="A4" s="412"/>
      <c r="B4" s="429" t="s">
        <v>694</v>
      </c>
      <c r="C4" s="429"/>
      <c r="D4" s="431" t="e">
        <f ca="1">_xll.RiskTriang(L3,K3,M3)</f>
        <v>#NAME?</v>
      </c>
      <c r="E4" s="434" t="e">
        <f ca="1">_xll.RiskTriang(L4,K4,M4)</f>
        <v>#NAME?</v>
      </c>
      <c r="F4" s="431" t="e">
        <f ca="1">_xll.RiskTriang(L5,K5,M5)</f>
        <v>#NAME?</v>
      </c>
      <c r="G4" s="431" t="e">
        <f ca="1">_xll.RiskTriang(L6,K6,M6)</f>
        <v>#NAME?</v>
      </c>
      <c r="H4" s="431" t="e">
        <f ca="1">_xll.RiskTriang(L7,K7,M7)</f>
        <v>#NAME?</v>
      </c>
      <c r="J4" s="292" t="s">
        <v>642</v>
      </c>
      <c r="K4" s="428">
        <v>9000</v>
      </c>
      <c r="L4" s="445">
        <f t="shared" ref="L4:L12" si="0">$Q$9*K4</f>
        <v>7200</v>
      </c>
      <c r="M4" s="445">
        <f t="shared" ref="M4:M12" si="1">$Q$10*K4</f>
        <v>10800</v>
      </c>
      <c r="N4" s="292"/>
      <c r="O4" s="499" t="s">
        <v>586</v>
      </c>
      <c r="P4" s="500"/>
      <c r="Q4" s="500"/>
      <c r="R4" s="501"/>
    </row>
    <row r="5" spans="1:18">
      <c r="A5" s="412"/>
      <c r="B5" s="429" t="s">
        <v>693</v>
      </c>
      <c r="C5" s="429"/>
      <c r="D5" s="431" t="e">
        <f ca="1">_xll.RiskTriang(L8,K8,M8)</f>
        <v>#NAME?</v>
      </c>
      <c r="E5" s="431" t="e">
        <f t="array" aca="1" ref="E5" ca="1">_xll.RiskTriang(L9,K9,M9)</f>
        <v>#NAME?</v>
      </c>
      <c r="F5" s="431" t="e">
        <f t="array" aca="1" ref="F5" ca="1">_xll.RiskTriang(L10,K10,M10)</f>
        <v>#NAME?</v>
      </c>
      <c r="G5" s="431" t="e">
        <f t="array" aca="1" ref="G5" ca="1">_xll.RiskTriang(L11,K11,M11)</f>
        <v>#NAME?</v>
      </c>
      <c r="H5" s="431" t="e">
        <f t="array" aca="1" ref="H5" ca="1">_xll.RiskTriang(L12,K12,M12)</f>
        <v>#NAME?</v>
      </c>
      <c r="J5" s="292" t="s">
        <v>643</v>
      </c>
      <c r="K5" s="428">
        <v>13500</v>
      </c>
      <c r="L5" s="445">
        <f t="shared" si="0"/>
        <v>10800</v>
      </c>
      <c r="M5" s="445">
        <f t="shared" si="1"/>
        <v>16200</v>
      </c>
      <c r="N5" s="292"/>
      <c r="O5" s="499" t="s">
        <v>587</v>
      </c>
      <c r="P5" s="500"/>
      <c r="Q5" s="500"/>
      <c r="R5" s="501"/>
    </row>
    <row r="6" spans="1:18">
      <c r="A6" s="409"/>
      <c r="B6" s="429" t="s">
        <v>588</v>
      </c>
      <c r="C6" s="429"/>
      <c r="D6" s="434">
        <v>5</v>
      </c>
      <c r="E6" s="434">
        <v>5</v>
      </c>
      <c r="F6" s="434">
        <v>5</v>
      </c>
      <c r="G6" s="434">
        <v>5</v>
      </c>
      <c r="H6" s="434">
        <v>5</v>
      </c>
      <c r="J6" s="292" t="s">
        <v>644</v>
      </c>
      <c r="K6" s="428">
        <v>18000</v>
      </c>
      <c r="L6" s="445">
        <f t="shared" si="0"/>
        <v>14400</v>
      </c>
      <c r="M6" s="445">
        <f t="shared" si="1"/>
        <v>21600</v>
      </c>
      <c r="N6" s="292"/>
      <c r="O6" s="421"/>
      <c r="P6" s="422"/>
      <c r="Q6" s="422"/>
      <c r="R6" s="420"/>
    </row>
    <row r="7" spans="1:18">
      <c r="A7" s="409"/>
      <c r="B7" s="429" t="s">
        <v>589</v>
      </c>
      <c r="C7" s="429"/>
      <c r="D7" s="444">
        <v>2.5</v>
      </c>
      <c r="E7" s="444">
        <v>2.5</v>
      </c>
      <c r="F7" s="444">
        <v>2.5</v>
      </c>
      <c r="G7" s="444">
        <v>2.5</v>
      </c>
      <c r="H7" s="444">
        <v>2.5</v>
      </c>
      <c r="J7" s="292" t="s">
        <v>645</v>
      </c>
      <c r="K7" s="428">
        <v>22500</v>
      </c>
      <c r="L7" s="445">
        <f t="shared" si="0"/>
        <v>18000</v>
      </c>
      <c r="M7" s="445">
        <f t="shared" si="1"/>
        <v>27000</v>
      </c>
      <c r="N7" s="292"/>
      <c r="O7" s="421"/>
      <c r="P7" s="422" t="s">
        <v>590</v>
      </c>
      <c r="Q7" s="423">
        <v>0.9</v>
      </c>
      <c r="R7" s="420"/>
    </row>
    <row r="8" spans="1:18">
      <c r="B8" s="292" t="s">
        <v>591</v>
      </c>
      <c r="C8" s="292"/>
      <c r="D8" s="432" t="e">
        <f ca="1">_xll.RiskTriang(L13,K13,M13)</f>
        <v>#NAME?</v>
      </c>
      <c r="E8" s="432" t="e">
        <f ca="1">D8</f>
        <v>#NAME?</v>
      </c>
      <c r="F8" s="432" t="e">
        <f t="shared" ref="F8:H8" ca="1" si="2">E8</f>
        <v>#NAME?</v>
      </c>
      <c r="G8" s="432" t="e">
        <f t="shared" ca="1" si="2"/>
        <v>#NAME?</v>
      </c>
      <c r="H8" s="432" t="e">
        <f t="shared" ca="1" si="2"/>
        <v>#NAME?</v>
      </c>
      <c r="J8" s="292" t="s">
        <v>646</v>
      </c>
      <c r="K8" s="292">
        <v>24</v>
      </c>
      <c r="L8" s="445">
        <f t="shared" si="0"/>
        <v>19.200000000000003</v>
      </c>
      <c r="M8" s="445">
        <f t="shared" si="1"/>
        <v>28.799999999999997</v>
      </c>
      <c r="N8" s="292"/>
      <c r="O8" s="424"/>
      <c r="P8" s="425" t="s">
        <v>592</v>
      </c>
      <c r="Q8" s="426">
        <v>1.1000000000000001</v>
      </c>
      <c r="R8" s="427"/>
    </row>
    <row r="9" spans="1:18">
      <c r="A9" s="409"/>
      <c r="B9" s="292" t="s">
        <v>593</v>
      </c>
      <c r="C9" s="292"/>
      <c r="D9" s="447" t="e">
        <f ca="1">_xll.RiskTriang(L14,K14,M14)</f>
        <v>#NAME?</v>
      </c>
      <c r="E9" s="447" t="e">
        <f ca="1">_xll.RiskTriang(L15,K15,M15)</f>
        <v>#NAME?</v>
      </c>
      <c r="F9" s="447" t="e">
        <f ca="1">_xll.RiskTriang(L16,K16,M16)</f>
        <v>#NAME?</v>
      </c>
      <c r="G9" s="447" t="e">
        <f ca="1">_xll.RiskTriang(L17,K17,M17)</f>
        <v>#NAME?</v>
      </c>
      <c r="H9" s="447" t="e">
        <f ca="1">_xll.RiskTriang(L18,K18,M18)</f>
        <v>#NAME?</v>
      </c>
      <c r="J9" s="292" t="s">
        <v>647</v>
      </c>
      <c r="K9" s="292">
        <v>3000</v>
      </c>
      <c r="L9" s="445">
        <f t="shared" si="0"/>
        <v>2400</v>
      </c>
      <c r="M9" s="445">
        <f t="shared" si="1"/>
        <v>3600</v>
      </c>
      <c r="N9" s="292"/>
      <c r="Q9" s="187">
        <v>0.8</v>
      </c>
    </row>
    <row r="10" spans="1:18" ht="15.4" customHeight="1">
      <c r="A10" s="409"/>
      <c r="B10" s="429" t="s">
        <v>594</v>
      </c>
      <c r="C10" s="429"/>
      <c r="D10" s="447" t="e">
        <f ca="1">_xll.RiskTriang(L19,K19,M19)</f>
        <v>#NAME?</v>
      </c>
      <c r="E10" s="447" t="e">
        <f ca="1">_xll.RiskTriang(L20,K20,M20)</f>
        <v>#NAME?</v>
      </c>
      <c r="F10" s="447" t="e">
        <f ca="1">_xll.RiskTriang(L21,K21,M21)</f>
        <v>#NAME?</v>
      </c>
      <c r="G10" s="447" t="e">
        <f ca="1">_xll.RiskTriang(L22,K22,M22)</f>
        <v>#NAME?</v>
      </c>
      <c r="H10" s="447" t="e">
        <f ca="1">_xll.RiskTriang(L23,K23,M23)</f>
        <v>#NAME?</v>
      </c>
      <c r="I10" s="502" t="s">
        <v>595</v>
      </c>
      <c r="J10" s="292" t="s">
        <v>648</v>
      </c>
      <c r="K10" s="292">
        <v>4500</v>
      </c>
      <c r="L10" s="445">
        <f t="shared" si="0"/>
        <v>3600</v>
      </c>
      <c r="M10" s="445">
        <f t="shared" si="1"/>
        <v>5400</v>
      </c>
      <c r="N10" s="292"/>
      <c r="Q10" s="187">
        <v>1.2</v>
      </c>
    </row>
    <row r="11" spans="1:18">
      <c r="B11" s="429" t="s">
        <v>276</v>
      </c>
      <c r="C11" s="429"/>
      <c r="D11" s="447" t="e">
        <f ca="1">_xll.RiskTriang(L24,K24,M24)</f>
        <v>#NAME?</v>
      </c>
      <c r="E11" s="447" t="e">
        <f ca="1">_xll.RiskTriang(L25,K25,M25)</f>
        <v>#NAME?</v>
      </c>
      <c r="F11" s="447" t="e">
        <f ca="1">_xll.RiskTriang(L26,K26,M26)</f>
        <v>#NAME?</v>
      </c>
      <c r="G11" s="447" t="e">
        <f ca="1">_xll.RiskTriang(L27,K27,M27)</f>
        <v>#NAME?</v>
      </c>
      <c r="H11" s="447" t="e">
        <f ca="1">_xll.RiskTriang(L28,K28,M28)</f>
        <v>#NAME?</v>
      </c>
      <c r="I11" s="502"/>
      <c r="J11" s="292" t="s">
        <v>649</v>
      </c>
      <c r="K11" s="292">
        <v>6000</v>
      </c>
      <c r="L11" s="445">
        <f t="shared" si="0"/>
        <v>4800</v>
      </c>
      <c r="M11" s="445">
        <f t="shared" si="1"/>
        <v>7200</v>
      </c>
      <c r="N11" s="292"/>
      <c r="Q11" s="187">
        <v>0.85</v>
      </c>
    </row>
    <row r="12" spans="1:18">
      <c r="A12" s="409"/>
      <c r="B12" s="292" t="s">
        <v>515</v>
      </c>
      <c r="C12" s="292"/>
      <c r="D12" s="434" t="e">
        <f ca="1">_xll.RiskTriang(L29,K29,M29)</f>
        <v>#NAME?</v>
      </c>
      <c r="E12" s="434" t="e">
        <f ca="1">_xll.RiskTriang(L30,K30,M30)</f>
        <v>#NAME?</v>
      </c>
      <c r="F12" s="434" t="e">
        <f ca="1">_xll.RiskTriang(L31,K31,M31)</f>
        <v>#NAME?</v>
      </c>
      <c r="G12" s="434" t="e">
        <f ca="1">_xll.RiskTriang(L32,K32,M32)</f>
        <v>#NAME?</v>
      </c>
      <c r="H12" s="434" t="e">
        <f ca="1">_xll.RiskTriang(L33,K33,M33)</f>
        <v>#NAME?</v>
      </c>
      <c r="I12" s="502"/>
      <c r="J12" s="292" t="s">
        <v>650</v>
      </c>
      <c r="K12" s="292">
        <v>7500</v>
      </c>
      <c r="L12" s="445">
        <f t="shared" si="0"/>
        <v>6000</v>
      </c>
      <c r="M12" s="445">
        <f t="shared" si="1"/>
        <v>9000</v>
      </c>
      <c r="N12" s="292"/>
      <c r="Q12" s="187">
        <v>1.1499999999999999</v>
      </c>
    </row>
    <row r="13" spans="1:18">
      <c r="A13" s="409"/>
      <c r="B13" s="292" t="s">
        <v>596</v>
      </c>
      <c r="C13" s="292"/>
      <c r="D13" s="434" t="e">
        <f ca="1">_xll.RiskTriang(L34,K34,M34)</f>
        <v>#NAME?</v>
      </c>
      <c r="E13" s="434" t="e">
        <f ca="1">_xll.RiskTriang(L35,K35,M35)</f>
        <v>#NAME?</v>
      </c>
      <c r="F13" s="434" t="e">
        <f ca="1">_xll.RiskTriang(L36,K36,M36)</f>
        <v>#NAME?</v>
      </c>
      <c r="G13" s="434" t="e">
        <f ca="1">_xll.RiskTriang(L37,K37,M37)</f>
        <v>#NAME?</v>
      </c>
      <c r="H13" s="434" t="e">
        <f ca="1">_xll.RiskTriang(L38,K38,M38)</f>
        <v>#NAME?</v>
      </c>
      <c r="I13" s="502"/>
      <c r="J13" s="292" t="s">
        <v>701</v>
      </c>
      <c r="K13" s="449">
        <v>0.4</v>
      </c>
      <c r="L13" s="449">
        <f t="shared" ref="L13" si="3">$Q$7*K13</f>
        <v>0.36000000000000004</v>
      </c>
      <c r="M13" s="449">
        <f t="shared" ref="M13" si="4">$Q$8*K13</f>
        <v>0.44000000000000006</v>
      </c>
      <c r="N13" s="292"/>
    </row>
    <row r="14" spans="1:18">
      <c r="A14" s="409"/>
      <c r="B14" s="292" t="s">
        <v>597</v>
      </c>
      <c r="C14" s="292"/>
      <c r="D14" s="434" t="e">
        <f ca="1">_xll.RiskTriang(L39,K39,M39)</f>
        <v>#NAME?</v>
      </c>
      <c r="E14" s="434" t="e">
        <f ca="1">_xll.RiskTriang(L40,K40,M40)</f>
        <v>#NAME?</v>
      </c>
      <c r="F14" s="434" t="e">
        <f ca="1">_xll.RiskTriang(L41,K41,M41)</f>
        <v>#NAME?</v>
      </c>
      <c r="G14" s="434" t="e">
        <f ca="1">_xll.RiskTriang(L42,K42,M42)</f>
        <v>#NAME?</v>
      </c>
      <c r="H14" s="434" t="e">
        <f ca="1">_xll.RiskTriang(L43,K43,M43)</f>
        <v>#NAME?</v>
      </c>
      <c r="J14" s="292" t="s">
        <v>664</v>
      </c>
      <c r="K14" s="446">
        <f>'Income Statement'!B16</f>
        <v>1917</v>
      </c>
      <c r="L14" s="445">
        <f>$Q$11*K14</f>
        <v>1629.45</v>
      </c>
      <c r="M14" s="445">
        <f>$Q$12*K14</f>
        <v>2204.5499999999997</v>
      </c>
      <c r="N14" s="292"/>
    </row>
    <row r="15" spans="1:18">
      <c r="A15" s="409"/>
      <c r="B15" s="292" t="s">
        <v>598</v>
      </c>
      <c r="C15" s="430"/>
      <c r="D15" s="432">
        <v>0.18</v>
      </c>
      <c r="E15" s="430">
        <f>+D15</f>
        <v>0.18</v>
      </c>
      <c r="F15" s="430">
        <f t="shared" ref="F15:H15" si="5">+E15</f>
        <v>0.18</v>
      </c>
      <c r="G15" s="430">
        <f t="shared" si="5"/>
        <v>0.18</v>
      </c>
      <c r="H15" s="430">
        <f t="shared" si="5"/>
        <v>0.18</v>
      </c>
      <c r="J15" s="292" t="s">
        <v>665</v>
      </c>
      <c r="K15" s="446">
        <f>'Income Statement'!F16</f>
        <v>8775</v>
      </c>
      <c r="L15" s="445">
        <f t="shared" ref="L15:L43" si="6">$Q$11*K15</f>
        <v>7458.75</v>
      </c>
      <c r="M15" s="445">
        <f t="shared" ref="M15:M43" si="7">$Q$12*K15</f>
        <v>10091.25</v>
      </c>
      <c r="N15" s="292"/>
    </row>
    <row r="16" spans="1:18">
      <c r="A16" s="409"/>
      <c r="J16" s="292" t="s">
        <v>666</v>
      </c>
      <c r="K16" s="446">
        <f>'Income Statement'!J16</f>
        <v>12712.499999999998</v>
      </c>
      <c r="L16" s="445">
        <f t="shared" si="6"/>
        <v>10805.624999999998</v>
      </c>
      <c r="M16" s="445">
        <f t="shared" si="7"/>
        <v>14619.374999999996</v>
      </c>
      <c r="N16" s="292"/>
    </row>
    <row r="17" spans="1:14">
      <c r="B17" s="110" t="s">
        <v>531</v>
      </c>
      <c r="C17" s="399">
        <v>17909</v>
      </c>
      <c r="J17" s="292" t="s">
        <v>667</v>
      </c>
      <c r="K17" s="446">
        <f>'Income Statement'!N16</f>
        <v>16650</v>
      </c>
      <c r="L17" s="445">
        <f t="shared" si="6"/>
        <v>14152.5</v>
      </c>
      <c r="M17" s="445">
        <f t="shared" si="7"/>
        <v>19147.5</v>
      </c>
      <c r="N17" s="292"/>
    </row>
    <row r="18" spans="1:14">
      <c r="A18" s="409"/>
      <c r="B18" s="110" t="s">
        <v>532</v>
      </c>
      <c r="C18" s="399">
        <v>3284.76</v>
      </c>
      <c r="D18" s="108"/>
      <c r="E18" s="108"/>
      <c r="F18" s="108"/>
      <c r="G18" s="108"/>
      <c r="H18" s="108"/>
      <c r="J18" s="292" t="s">
        <v>668</v>
      </c>
      <c r="K18" s="446">
        <f>'Income Statement'!R16</f>
        <v>20587.5</v>
      </c>
      <c r="L18" s="445">
        <f t="shared" si="6"/>
        <v>17499.375</v>
      </c>
      <c r="M18" s="445">
        <f t="shared" si="7"/>
        <v>23675.624999999996</v>
      </c>
      <c r="N18" s="292"/>
    </row>
    <row r="19" spans="1:14">
      <c r="A19" s="409"/>
      <c r="B19" s="110" t="s">
        <v>530</v>
      </c>
      <c r="C19" s="228">
        <f>C18/C17</f>
        <v>0.18341392595901504</v>
      </c>
      <c r="J19" s="292" t="s">
        <v>599</v>
      </c>
      <c r="K19" s="292">
        <f>'Income Statement'!B15</f>
        <v>945</v>
      </c>
      <c r="L19" s="445">
        <f t="shared" si="6"/>
        <v>803.25</v>
      </c>
      <c r="M19" s="445">
        <f t="shared" si="7"/>
        <v>1086.75</v>
      </c>
      <c r="N19" s="292"/>
    </row>
    <row r="20" spans="1:14" ht="15.4" customHeight="1">
      <c r="A20" s="409"/>
      <c r="J20" s="292" t="s">
        <v>600</v>
      </c>
      <c r="K20" s="446">
        <f>'Income Statement'!F15</f>
        <v>23625</v>
      </c>
      <c r="L20" s="445">
        <f t="shared" si="6"/>
        <v>20081.25</v>
      </c>
      <c r="M20" s="445">
        <f t="shared" si="7"/>
        <v>27168.749999999996</v>
      </c>
      <c r="N20" s="292"/>
    </row>
    <row r="21" spans="1:14" ht="17.649999999999999" customHeight="1">
      <c r="J21" s="292" t="s">
        <v>601</v>
      </c>
      <c r="K21" s="446">
        <f>'Income Statement'!J15</f>
        <v>18900</v>
      </c>
      <c r="L21" s="445">
        <f t="shared" si="6"/>
        <v>16065</v>
      </c>
      <c r="M21" s="445">
        <f t="shared" si="7"/>
        <v>21735</v>
      </c>
      <c r="N21" s="292"/>
    </row>
    <row r="22" spans="1:14">
      <c r="J22" s="292" t="s">
        <v>602</v>
      </c>
      <c r="K22" s="446">
        <f>'Income Statement'!N15</f>
        <v>17325</v>
      </c>
      <c r="L22" s="445">
        <f t="shared" si="6"/>
        <v>14726.25</v>
      </c>
      <c r="M22" s="445">
        <f t="shared" si="7"/>
        <v>19923.75</v>
      </c>
      <c r="N22" s="292"/>
    </row>
    <row r="23" spans="1:14" ht="18.75">
      <c r="A23" s="488" t="s">
        <v>696</v>
      </c>
      <c r="B23" s="488"/>
      <c r="C23" s="488"/>
      <c r="D23" s="488"/>
      <c r="E23" s="488"/>
      <c r="F23" s="488"/>
      <c r="G23" s="488"/>
      <c r="H23" s="488"/>
      <c r="J23" s="292" t="s">
        <v>603</v>
      </c>
      <c r="K23" s="446">
        <f>'Income Statement'!R15</f>
        <v>15750</v>
      </c>
      <c r="L23" s="445">
        <f t="shared" si="6"/>
        <v>13387.5</v>
      </c>
      <c r="M23" s="445">
        <f t="shared" si="7"/>
        <v>18112.5</v>
      </c>
      <c r="N23" s="292"/>
    </row>
    <row r="24" spans="1:14">
      <c r="A24" s="409"/>
      <c r="J24" s="429" t="s">
        <v>651</v>
      </c>
      <c r="K24" s="448">
        <f>'Income Statement'!B14</f>
        <v>4921.875</v>
      </c>
      <c r="L24" s="445">
        <f t="shared" si="6"/>
        <v>4183.59375</v>
      </c>
      <c r="M24" s="445">
        <f t="shared" si="7"/>
        <v>5660.15625</v>
      </c>
      <c r="N24" s="292"/>
    </row>
    <row r="25" spans="1:14">
      <c r="C25" s="410">
        <v>2022</v>
      </c>
      <c r="D25" s="410">
        <v>2023</v>
      </c>
      <c r="E25" s="410">
        <v>2024</v>
      </c>
      <c r="F25" s="410">
        <v>2025</v>
      </c>
      <c r="G25" s="410">
        <v>2026</v>
      </c>
      <c r="H25" s="410">
        <v>2027</v>
      </c>
      <c r="J25" s="429" t="s">
        <v>652</v>
      </c>
      <c r="K25" s="448">
        <f>'Income Statement'!F14</f>
        <v>4429.6875</v>
      </c>
      <c r="L25" s="445">
        <f t="shared" si="6"/>
        <v>3765.234375</v>
      </c>
      <c r="M25" s="445">
        <f t="shared" si="7"/>
        <v>5094.140625</v>
      </c>
      <c r="N25" s="292"/>
    </row>
    <row r="26" spans="1:14">
      <c r="C26" s="413" t="s">
        <v>609</v>
      </c>
      <c r="D26" s="413" t="s">
        <v>580</v>
      </c>
      <c r="E26" s="413" t="s">
        <v>581</v>
      </c>
      <c r="F26" s="413" t="s">
        <v>582</v>
      </c>
      <c r="G26" s="413" t="s">
        <v>583</v>
      </c>
      <c r="H26" s="413" t="s">
        <v>584</v>
      </c>
      <c r="J26" s="429" t="s">
        <v>653</v>
      </c>
      <c r="K26" s="448">
        <f>'Income Statement'!J14</f>
        <v>3937.5</v>
      </c>
      <c r="L26" s="445">
        <f t="shared" si="6"/>
        <v>3346.875</v>
      </c>
      <c r="M26" s="445">
        <f t="shared" si="7"/>
        <v>4528.125</v>
      </c>
      <c r="N26" s="292"/>
    </row>
    <row r="27" spans="1:14">
      <c r="A27" s="489" t="s">
        <v>533</v>
      </c>
      <c r="B27" s="435" t="s">
        <v>274</v>
      </c>
      <c r="C27" s="411"/>
      <c r="D27" s="436" t="e">
        <f ca="1">+D4*D6+D5*D7</f>
        <v>#NAME?</v>
      </c>
      <c r="E27" s="436" t="e">
        <f ca="1">+E4*E6+E5*E7</f>
        <v>#NAME?</v>
      </c>
      <c r="F27" s="436" t="e">
        <f ca="1">+F4*F6+F5*F7</f>
        <v>#NAME?</v>
      </c>
      <c r="G27" s="436" t="e">
        <f ca="1">+G4*G6+G5*G7</f>
        <v>#NAME?</v>
      </c>
      <c r="H27" s="436" t="e">
        <f ca="1">+H4*H6+H5*H7</f>
        <v>#NAME?</v>
      </c>
      <c r="J27" s="429" t="s">
        <v>654</v>
      </c>
      <c r="K27" s="448">
        <f>'Income Statement'!N14</f>
        <v>3609.3750000000005</v>
      </c>
      <c r="L27" s="445">
        <f t="shared" si="6"/>
        <v>3067.9687500000005</v>
      </c>
      <c r="M27" s="445">
        <f t="shared" si="7"/>
        <v>4150.78125</v>
      </c>
      <c r="N27" s="292"/>
    </row>
    <row r="28" spans="1:14">
      <c r="A28" s="490"/>
      <c r="B28" s="435" t="s">
        <v>612</v>
      </c>
      <c r="C28" s="411"/>
      <c r="D28" s="437" t="e">
        <f ca="1">-(D8*D27)</f>
        <v>#NAME?</v>
      </c>
      <c r="E28" s="437" t="e">
        <f t="shared" ref="E28:H28" ca="1" si="8">-(E8*E27)</f>
        <v>#NAME?</v>
      </c>
      <c r="F28" s="437" t="e">
        <f t="shared" ca="1" si="8"/>
        <v>#NAME?</v>
      </c>
      <c r="G28" s="437" t="e">
        <f t="shared" ca="1" si="8"/>
        <v>#NAME?</v>
      </c>
      <c r="H28" s="437" t="e">
        <f t="shared" ca="1" si="8"/>
        <v>#NAME?</v>
      </c>
      <c r="J28" s="429" t="s">
        <v>655</v>
      </c>
      <c r="K28" s="448">
        <f>'Income Statement'!R14</f>
        <v>3281.25</v>
      </c>
      <c r="L28" s="445">
        <f t="shared" si="6"/>
        <v>2789.0625</v>
      </c>
      <c r="M28" s="445">
        <f t="shared" si="7"/>
        <v>3773.4374999999995</v>
      </c>
      <c r="N28" s="292"/>
    </row>
    <row r="29" spans="1:14">
      <c r="A29" s="490"/>
      <c r="B29" s="292" t="s">
        <v>593</v>
      </c>
      <c r="C29" s="411"/>
      <c r="D29" s="437" t="e">
        <f t="shared" ref="D29:H31" ca="1" si="9">-D9</f>
        <v>#NAME?</v>
      </c>
      <c r="E29" s="437" t="e">
        <f t="shared" ca="1" si="9"/>
        <v>#NAME?</v>
      </c>
      <c r="F29" s="437" t="e">
        <f t="shared" ca="1" si="9"/>
        <v>#NAME?</v>
      </c>
      <c r="G29" s="437" t="e">
        <f t="shared" ca="1" si="9"/>
        <v>#NAME?</v>
      </c>
      <c r="H29" s="437" t="e">
        <f t="shared" ca="1" si="9"/>
        <v>#NAME?</v>
      </c>
      <c r="J29" s="292" t="s">
        <v>604</v>
      </c>
      <c r="K29" s="428">
        <f>+'[4]NWC Calc'!O6</f>
        <v>127.59389937205162</v>
      </c>
      <c r="L29" s="445">
        <f t="shared" si="6"/>
        <v>108.45481446624387</v>
      </c>
      <c r="M29" s="445">
        <f t="shared" si="7"/>
        <v>146.73298427785934</v>
      </c>
      <c r="N29" s="292"/>
    </row>
    <row r="30" spans="1:14">
      <c r="A30" s="490"/>
      <c r="B30" s="411" t="s">
        <v>594</v>
      </c>
      <c r="C30" s="411"/>
      <c r="D30" s="437" t="e">
        <f t="shared" ca="1" si="9"/>
        <v>#NAME?</v>
      </c>
      <c r="E30" s="437" t="e">
        <f t="shared" ca="1" si="9"/>
        <v>#NAME?</v>
      </c>
      <c r="F30" s="437" t="e">
        <f t="shared" ca="1" si="9"/>
        <v>#NAME?</v>
      </c>
      <c r="G30" s="437" t="e">
        <f t="shared" ca="1" si="9"/>
        <v>#NAME?</v>
      </c>
      <c r="H30" s="437" t="e">
        <f t="shared" ca="1" si="9"/>
        <v>#NAME?</v>
      </c>
      <c r="J30" s="292" t="s">
        <v>605</v>
      </c>
      <c r="K30" s="428">
        <f>+'[4]NWC Calc'!AB6</f>
        <v>5261.6725129694587</v>
      </c>
      <c r="L30" s="445">
        <f t="shared" si="6"/>
        <v>4472.4216360240398</v>
      </c>
      <c r="M30" s="445">
        <f t="shared" si="7"/>
        <v>6050.9233899148767</v>
      </c>
      <c r="N30" s="292"/>
    </row>
    <row r="31" spans="1:14">
      <c r="A31" s="490"/>
      <c r="B31" s="429" t="s">
        <v>276</v>
      </c>
      <c r="C31" s="411"/>
      <c r="D31" s="437" t="e">
        <f t="shared" ca="1" si="9"/>
        <v>#NAME?</v>
      </c>
      <c r="E31" s="437" t="e">
        <f t="shared" ca="1" si="9"/>
        <v>#NAME?</v>
      </c>
      <c r="F31" s="437" t="e">
        <f t="shared" ca="1" si="9"/>
        <v>#NAME?</v>
      </c>
      <c r="G31" s="437" t="e">
        <f t="shared" ca="1" si="9"/>
        <v>#NAME?</v>
      </c>
      <c r="H31" s="437" t="e">
        <f t="shared" ca="1" si="9"/>
        <v>#NAME?</v>
      </c>
      <c r="J31" s="292" t="s">
        <v>606</v>
      </c>
      <c r="K31" s="428">
        <f>+'[4]NWC Calc'!AO6</f>
        <v>7056.484270567772</v>
      </c>
      <c r="L31" s="445">
        <f t="shared" si="6"/>
        <v>5998.0116299826059</v>
      </c>
      <c r="M31" s="445">
        <f t="shared" si="7"/>
        <v>8114.9569111529372</v>
      </c>
      <c r="N31" s="292"/>
    </row>
    <row r="32" spans="1:14">
      <c r="A32" s="490"/>
      <c r="B32" s="438" t="s">
        <v>616</v>
      </c>
      <c r="C32" s="433"/>
      <c r="D32" s="439" t="e">
        <f ca="1">+D27+D28+D29+D30+D31</f>
        <v>#NAME?</v>
      </c>
      <c r="E32" s="439" t="e">
        <f t="shared" ref="E32:H32" ca="1" si="10">+E27+E28+E29+E30+E31</f>
        <v>#NAME?</v>
      </c>
      <c r="F32" s="439" t="e">
        <f t="shared" ca="1" si="10"/>
        <v>#NAME?</v>
      </c>
      <c r="G32" s="439" t="e">
        <f t="shared" ca="1" si="10"/>
        <v>#NAME?</v>
      </c>
      <c r="H32" s="439" t="e">
        <f t="shared" ca="1" si="10"/>
        <v>#NAME?</v>
      </c>
      <c r="J32" s="292" t="s">
        <v>607</v>
      </c>
      <c r="K32" s="428">
        <f>+'[4]NWC Calc'!BB6</f>
        <v>10523.345025938917</v>
      </c>
      <c r="L32" s="445">
        <f t="shared" si="6"/>
        <v>8944.8432720480796</v>
      </c>
      <c r="M32" s="445">
        <f t="shared" si="7"/>
        <v>12101.846779829753</v>
      </c>
      <c r="N32" s="292"/>
    </row>
    <row r="33" spans="1:14">
      <c r="A33" s="490"/>
      <c r="B33" s="438" t="s">
        <v>439</v>
      </c>
      <c r="C33" s="433"/>
      <c r="D33" s="440" t="e">
        <f ca="1">-D32*D15</f>
        <v>#NAME?</v>
      </c>
      <c r="E33" s="440" t="e">
        <f ca="1">+-E32*E15</f>
        <v>#NAME?</v>
      </c>
      <c r="F33" s="440" t="e">
        <f ca="1">+-F32*F15</f>
        <v>#NAME?</v>
      </c>
      <c r="G33" s="440" t="e">
        <f ca="1">+-G32*G15</f>
        <v>#NAME?</v>
      </c>
      <c r="H33" s="440" t="e">
        <f ca="1">+-H32*H15</f>
        <v>#NAME?</v>
      </c>
      <c r="J33" s="292" t="s">
        <v>608</v>
      </c>
      <c r="K33" s="428">
        <f>+'[4]NWC Calc'!BO6</f>
        <v>18894.442590036</v>
      </c>
      <c r="L33" s="445">
        <f t="shared" si="6"/>
        <v>16060.2762015306</v>
      </c>
      <c r="M33" s="445">
        <f t="shared" si="7"/>
        <v>21728.608978541397</v>
      </c>
      <c r="N33" s="292"/>
    </row>
    <row r="34" spans="1:14">
      <c r="A34" s="490"/>
      <c r="B34" s="438" t="s">
        <v>619</v>
      </c>
      <c r="C34" s="441"/>
      <c r="D34" s="441" t="e">
        <f ca="1">+D32+D33</f>
        <v>#NAME?</v>
      </c>
      <c r="E34" s="441" t="e">
        <f t="shared" ref="E34:H34" ca="1" si="11">+E32+E33</f>
        <v>#NAME?</v>
      </c>
      <c r="F34" s="441" t="e">
        <f t="shared" ca="1" si="11"/>
        <v>#NAME?</v>
      </c>
      <c r="G34" s="441" t="e">
        <f t="shared" ca="1" si="11"/>
        <v>#NAME?</v>
      </c>
      <c r="H34" s="441" t="e">
        <f t="shared" ca="1" si="11"/>
        <v>#NAME?</v>
      </c>
      <c r="J34" s="292" t="s">
        <v>610</v>
      </c>
      <c r="K34" s="431">
        <f>+'[4]NWC Calc'!O8</f>
        <v>89.314554345213722</v>
      </c>
      <c r="L34" s="445">
        <f t="shared" si="6"/>
        <v>75.917371193431663</v>
      </c>
      <c r="M34" s="445">
        <f t="shared" si="7"/>
        <v>102.71173749699577</v>
      </c>
      <c r="N34" s="292"/>
    </row>
    <row r="35" spans="1:14">
      <c r="A35" s="490"/>
      <c r="B35" s="429" t="s">
        <v>656</v>
      </c>
      <c r="C35" s="437">
        <v>-280</v>
      </c>
      <c r="D35" s="437"/>
      <c r="E35" s="437"/>
      <c r="F35" s="437"/>
      <c r="G35" s="437"/>
      <c r="H35" s="437"/>
      <c r="J35" s="292" t="s">
        <v>611</v>
      </c>
      <c r="K35" s="431">
        <f>+'[4]NWC Calc'!AB8</f>
        <v>4116.2528804950944</v>
      </c>
      <c r="L35" s="445">
        <f t="shared" si="6"/>
        <v>3498.8149484208302</v>
      </c>
      <c r="M35" s="445">
        <f t="shared" si="7"/>
        <v>4733.6908125693581</v>
      </c>
      <c r="N35" s="292"/>
    </row>
    <row r="36" spans="1:14">
      <c r="A36" s="490"/>
      <c r="B36" s="429" t="s">
        <v>657</v>
      </c>
      <c r="C36" s="411"/>
      <c r="D36" s="437">
        <f>-'[4]NWC Calc'!O6</f>
        <v>-127.59389937205162</v>
      </c>
      <c r="E36" s="437">
        <f>-'[4]NWC Calc'!AB6</f>
        <v>-5261.6725129694587</v>
      </c>
      <c r="F36" s="437">
        <f>-'[4]NWC Calc'!AO6</f>
        <v>-7056.484270567772</v>
      </c>
      <c r="G36" s="437">
        <f>-'[4]NWC Calc'!BB6</f>
        <v>-10523.345025938917</v>
      </c>
      <c r="H36" s="437">
        <f>-'[4]NWC Calc'!BO6</f>
        <v>-18894.442590036</v>
      </c>
      <c r="J36" s="292" t="s">
        <v>613</v>
      </c>
      <c r="K36" s="431">
        <f>+'[4]NWC Calc'!AO8</f>
        <v>5544.3964715559287</v>
      </c>
      <c r="L36" s="445">
        <f t="shared" si="6"/>
        <v>4712.7370008225389</v>
      </c>
      <c r="M36" s="445">
        <f t="shared" si="7"/>
        <v>6376.0559422893175</v>
      </c>
      <c r="N36" s="292"/>
    </row>
    <row r="37" spans="1:14">
      <c r="A37" s="490"/>
      <c r="B37" s="429" t="s">
        <v>658</v>
      </c>
      <c r="C37" s="435"/>
      <c r="D37" s="436">
        <f>'[4]NWC Calc'!O7</f>
        <v>143.895670889511</v>
      </c>
      <c r="E37" s="436">
        <f>'[4]NWC Calc'!P7</f>
        <v>1337.3321052573749</v>
      </c>
      <c r="F37" s="436">
        <f>'[4]NWC Calc'!Q7</f>
        <v>2627.9834200494543</v>
      </c>
      <c r="G37" s="436">
        <f>'[4]NWC Calc'!R7</f>
        <v>4395.8425022681995</v>
      </c>
      <c r="H37" s="436">
        <f>'[4]NWC Calc'!S7</f>
        <v>5926.8420074782716</v>
      </c>
      <c r="J37" s="292" t="s">
        <v>614</v>
      </c>
      <c r="K37" s="431">
        <f>+'[4]NWC Calc'!BB8</f>
        <v>8270.0114819969767</v>
      </c>
      <c r="L37" s="445">
        <f t="shared" si="6"/>
        <v>7029.5097596974301</v>
      </c>
      <c r="M37" s="445">
        <f t="shared" si="7"/>
        <v>9510.5132042965233</v>
      </c>
      <c r="N37" s="292"/>
    </row>
    <row r="38" spans="1:14">
      <c r="A38" s="490"/>
      <c r="B38" s="429" t="s">
        <v>659</v>
      </c>
      <c r="C38" s="437"/>
      <c r="D38" s="437">
        <f>-'[4]NWC Calc'!O8</f>
        <v>-89.314554345213722</v>
      </c>
      <c r="E38" s="437">
        <f>-'[4]NWC Calc'!P8</f>
        <v>-1267.8652296555422</v>
      </c>
      <c r="F38" s="437">
        <f>-'[4]NWC Calc'!Q8</f>
        <v>-2538.6688657042405</v>
      </c>
      <c r="G38" s="437">
        <f>-'[4]NWC Calc'!R8</f>
        <v>-3127.9772726126571</v>
      </c>
      <c r="H38" s="437">
        <f>-'[4]NWC Calc'!S8</f>
        <v>-3388.1731417740302</v>
      </c>
      <c r="J38" s="292" t="s">
        <v>615</v>
      </c>
      <c r="K38" s="431">
        <f>+'[4]NWC Calc'!BO8</f>
        <v>8833.042846595361</v>
      </c>
      <c r="L38" s="445">
        <f t="shared" si="6"/>
        <v>7508.0864196060566</v>
      </c>
      <c r="M38" s="445">
        <f t="shared" si="7"/>
        <v>10157.999273584664</v>
      </c>
      <c r="N38" s="292"/>
    </row>
    <row r="39" spans="1:14">
      <c r="A39" s="490"/>
      <c r="B39" s="438" t="s">
        <v>660</v>
      </c>
      <c r="C39" s="442">
        <f t="shared" ref="C39" si="12">+C34+C35+C36</f>
        <v>-280</v>
      </c>
      <c r="D39" s="443" t="e">
        <f ca="1">+D34+D36+D37+D38</f>
        <v>#NAME?</v>
      </c>
      <c r="E39" s="443" t="e">
        <f t="shared" ref="E39:H39" ca="1" si="13">+E34+E36+E37+E38</f>
        <v>#NAME?</v>
      </c>
      <c r="F39" s="443" t="e">
        <f t="shared" ca="1" si="13"/>
        <v>#NAME?</v>
      </c>
      <c r="G39" s="443" t="e">
        <f t="shared" ca="1" si="13"/>
        <v>#NAME?</v>
      </c>
      <c r="H39" s="443" t="e">
        <f t="shared" ca="1" si="13"/>
        <v>#NAME?</v>
      </c>
      <c r="J39" s="292" t="s">
        <v>617</v>
      </c>
      <c r="K39" s="431">
        <f>+'[4]NWC Calc'!O7</f>
        <v>143.895670889511</v>
      </c>
      <c r="L39" s="445">
        <f t="shared" si="6"/>
        <v>122.31132025608434</v>
      </c>
      <c r="M39" s="445">
        <f t="shared" si="7"/>
        <v>165.48002152293762</v>
      </c>
      <c r="N39" s="292"/>
    </row>
    <row r="40" spans="1:14">
      <c r="A40" s="491"/>
      <c r="B40" s="438" t="s">
        <v>661</v>
      </c>
      <c r="C40" s="443">
        <f>+C39</f>
        <v>-280</v>
      </c>
      <c r="D40" s="443" t="e">
        <f ca="1">+D39+C40</f>
        <v>#NAME?</v>
      </c>
      <c r="E40" s="443" t="e">
        <f t="shared" ref="E40:H40" ca="1" si="14">+E39+D40</f>
        <v>#NAME?</v>
      </c>
      <c r="F40" s="443" t="e">
        <f t="shared" ca="1" si="14"/>
        <v>#NAME?</v>
      </c>
      <c r="G40" s="443" t="e">
        <f t="shared" ca="1" si="14"/>
        <v>#NAME?</v>
      </c>
      <c r="H40" s="443" t="e">
        <f t="shared" ca="1" si="14"/>
        <v>#NAME?</v>
      </c>
      <c r="J40" s="292" t="s">
        <v>618</v>
      </c>
      <c r="K40" s="431">
        <f>+'[4]NWC Calc'!AB7</f>
        <v>8443.2388204036506</v>
      </c>
      <c r="L40" s="445">
        <f t="shared" si="6"/>
        <v>7176.7529973431028</v>
      </c>
      <c r="M40" s="445">
        <f t="shared" si="7"/>
        <v>9709.7246434641966</v>
      </c>
    </row>
    <row r="41" spans="1:14">
      <c r="J41" s="292" t="s">
        <v>620</v>
      </c>
      <c r="K41" s="431">
        <f>+'[4]NWC Calc'!AO7</f>
        <v>11570.087940542704</v>
      </c>
      <c r="L41" s="445">
        <f t="shared" si="6"/>
        <v>9834.5747494612988</v>
      </c>
      <c r="M41" s="445">
        <f t="shared" si="7"/>
        <v>13305.601131624109</v>
      </c>
    </row>
    <row r="42" spans="1:14">
      <c r="J42" s="292" t="s">
        <v>621</v>
      </c>
      <c r="K42" s="431">
        <f>+'[4]NWC Calc'!BB7</f>
        <v>16780.524138362438</v>
      </c>
      <c r="L42" s="445">
        <f t="shared" si="6"/>
        <v>14263.445517608072</v>
      </c>
      <c r="M42" s="445">
        <f t="shared" si="7"/>
        <v>19297.602759116802</v>
      </c>
    </row>
    <row r="43" spans="1:14">
      <c r="J43" s="292" t="s">
        <v>622</v>
      </c>
      <c r="K43" s="431">
        <f>+'[4]NWC Calc'!BO7</f>
        <v>17963.364618265718</v>
      </c>
      <c r="L43" s="445">
        <f t="shared" si="6"/>
        <v>15268.85992552586</v>
      </c>
      <c r="M43" s="445">
        <f t="shared" si="7"/>
        <v>20657.869311005572</v>
      </c>
    </row>
    <row r="46" spans="1:14">
      <c r="C46" s="108"/>
      <c r="D46" s="108"/>
      <c r="E46" s="108"/>
      <c r="F46" s="108"/>
      <c r="G46" s="108"/>
      <c r="H46" s="108"/>
    </row>
    <row r="47" spans="1:14">
      <c r="B47" s="415" t="s">
        <v>383</v>
      </c>
      <c r="C47" s="414" t="e">
        <f t="array" aca="1" ref="C47" ca="1">_xll.RiskOutput("NPV")+NPV(C53,D39:H39)+C39</f>
        <v>#NAME?</v>
      </c>
      <c r="D47" s="108"/>
      <c r="E47" s="108"/>
      <c r="F47" s="108"/>
      <c r="G47" s="108"/>
      <c r="H47" s="108"/>
    </row>
    <row r="48" spans="1:14">
      <c r="B48" s="110" t="s">
        <v>531</v>
      </c>
      <c r="C48" s="399">
        <v>17909</v>
      </c>
    </row>
    <row r="49" spans="2:3">
      <c r="B49" s="110" t="s">
        <v>532</v>
      </c>
      <c r="C49" s="399">
        <v>3284.76</v>
      </c>
    </row>
    <row r="50" spans="2:3">
      <c r="B50" s="110" t="s">
        <v>530</v>
      </c>
      <c r="C50" s="228">
        <f>C49/C48</f>
        <v>0.18341392595901504</v>
      </c>
    </row>
    <row r="53" spans="2:3">
      <c r="B53" s="415" t="s">
        <v>551</v>
      </c>
      <c r="C53" s="416">
        <v>0.12</v>
      </c>
    </row>
  </sheetData>
  <mergeCells count="8">
    <mergeCell ref="A23:H23"/>
    <mergeCell ref="A27:A40"/>
    <mergeCell ref="J1:N1"/>
    <mergeCell ref="O1:R1"/>
    <mergeCell ref="O3:R3"/>
    <mergeCell ref="O4:R4"/>
    <mergeCell ref="O5:R5"/>
    <mergeCell ref="I10:I1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10</vt:i4>
      </vt:variant>
    </vt:vector>
  </HeadingPairs>
  <TitlesOfParts>
    <vt:vector size="31" baseType="lpstr">
      <vt:lpstr>Sheet1</vt:lpstr>
      <vt:lpstr>BSE</vt:lpstr>
      <vt:lpstr>Cash Flow Statement</vt:lpstr>
      <vt:lpstr>Break-even Analysis</vt:lpstr>
      <vt:lpstr>KPIs</vt:lpstr>
      <vt:lpstr>Revenue Bottom-up</vt:lpstr>
      <vt:lpstr>Sheet2</vt:lpstr>
      <vt:lpstr>Revenue Top-Down</vt:lpstr>
      <vt:lpstr>Margin Split</vt:lpstr>
      <vt:lpstr>Uncertain Cells</vt:lpstr>
      <vt:lpstr>Cost Total</vt:lpstr>
      <vt:lpstr>Revenue with Target Segements</vt:lpstr>
      <vt:lpstr>Cost Estimation</vt:lpstr>
      <vt:lpstr>Sheet4</vt:lpstr>
      <vt:lpstr>Cost (Swiffer Glove)</vt:lpstr>
      <vt:lpstr>RiskSerializationData8</vt:lpstr>
      <vt:lpstr>Supply Planning</vt:lpstr>
      <vt:lpstr>Sheet3</vt:lpstr>
      <vt:lpstr>NWC Calc</vt:lpstr>
      <vt:lpstr>Income Statement</vt:lpstr>
      <vt:lpstr>NPV Analysis (2)</vt:lpstr>
      <vt:lpstr>RiskSerializationData8!BrowseRecords</vt:lpstr>
      <vt:lpstr>'Cost (Swiffer Glove)'!display_year</vt:lpstr>
      <vt:lpstr>'Cost Total'!display_year</vt:lpstr>
      <vt:lpstr>RiskSerializationData8!DistributionRecords</vt:lpstr>
      <vt:lpstr>'Cost (Swiffer Glove)'!duration</vt:lpstr>
      <vt:lpstr>'Cost Total'!duration</vt:lpstr>
      <vt:lpstr>'Income Statement'!Print_Area</vt:lpstr>
      <vt:lpstr>'Cost (Swiffer Glove)'!project_start_date</vt:lpstr>
      <vt:lpstr>'Cost Total'!project_start_date</vt:lpstr>
      <vt:lpstr>RiskSerializationData8!SerializationHeader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Muehlmann, Brigitte</dc:creator>
  <cp:lastModifiedBy>user</cp:lastModifiedBy>
  <dcterms:created xsi:type="dcterms:W3CDTF">2022-05-03T00:22:59Z</dcterms:created>
  <dcterms:modified xsi:type="dcterms:W3CDTF">2023-08-06T15:53:59Z</dcterms:modified>
</cp:coreProperties>
</file>