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xr:revisionPtr revIDLastSave="0" documentId="8_{25FDED33-A1CA-4B28-AC54-AEDE13108347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Sheet2" sheetId="2" r:id="rId1"/>
    <sheet name="Sheet3" sheetId="3" r:id="rId2"/>
    <sheet name="Sheet4" sheetId="4" r:id="rId3"/>
    <sheet name="Sheet6" sheetId="6" r:id="rId4"/>
    <sheet name="Sheet7" sheetId="7" r:id="rId5"/>
    <sheet name="Sheet8" sheetId="8" r:id="rId6"/>
    <sheet name="Sheet5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" i="3" l="1"/>
  <c r="T35" i="3" s="1"/>
  <c r="U35" i="3" s="1"/>
  <c r="F11" i="6"/>
  <c r="D11" i="6"/>
  <c r="C11" i="6"/>
  <c r="E11" i="6"/>
  <c r="D12" i="7"/>
  <c r="E12" i="7"/>
  <c r="F12" i="7"/>
  <c r="C12" i="7"/>
  <c r="D11" i="7"/>
  <c r="F7" i="7"/>
  <c r="E7" i="7"/>
  <c r="D7" i="7"/>
  <c r="C7" i="7"/>
  <c r="F8" i="6"/>
  <c r="E8" i="6"/>
  <c r="D8" i="6"/>
  <c r="C8" i="6"/>
  <c r="O6" i="4"/>
  <c r="Z4" i="4"/>
  <c r="Y4" i="4"/>
  <c r="X4" i="4"/>
  <c r="W4" i="4"/>
  <c r="V4" i="4"/>
  <c r="U4" i="4"/>
  <c r="T4" i="4"/>
  <c r="S4" i="4"/>
  <c r="R4" i="4"/>
  <c r="Q4" i="4"/>
  <c r="P4" i="4"/>
  <c r="O4" i="4"/>
  <c r="Z3" i="4"/>
  <c r="Y3" i="4"/>
  <c r="U3" i="4"/>
  <c r="V3" i="4"/>
  <c r="W3" i="4"/>
  <c r="X3" i="4"/>
  <c r="T3" i="4"/>
  <c r="P3" i="4"/>
  <c r="Q3" i="4"/>
  <c r="R3" i="4"/>
  <c r="S3" i="4"/>
  <c r="O3" i="4"/>
  <c r="D7" i="4"/>
  <c r="F5" i="4"/>
  <c r="G5" i="4"/>
  <c r="H5" i="4"/>
  <c r="I5" i="4"/>
  <c r="E5" i="4"/>
  <c r="K13" i="5"/>
  <c r="W11" i="5"/>
  <c r="V11" i="5"/>
  <c r="U11" i="5"/>
  <c r="T11" i="5"/>
  <c r="S11" i="5"/>
  <c r="R11" i="5"/>
  <c r="Q11" i="5"/>
  <c r="P11" i="5"/>
  <c r="O11" i="5"/>
  <c r="N11" i="5"/>
  <c r="M11" i="5"/>
  <c r="L11" i="5"/>
  <c r="W10" i="5"/>
  <c r="V10" i="5"/>
  <c r="R10" i="5"/>
  <c r="S10" i="5"/>
  <c r="T10" i="5"/>
  <c r="U10" i="5"/>
  <c r="Q10" i="5"/>
  <c r="M10" i="5"/>
  <c r="N10" i="5"/>
  <c r="O10" i="5"/>
  <c r="P10" i="5"/>
  <c r="L10" i="5"/>
  <c r="E6" i="5"/>
  <c r="E4" i="5"/>
  <c r="F4" i="5"/>
  <c r="G4" i="5"/>
  <c r="H4" i="5"/>
  <c r="D4" i="5"/>
  <c r="P19" i="2"/>
  <c r="C22" i="2"/>
  <c r="J44" i="3"/>
  <c r="M20" i="3"/>
  <c r="H11" i="3"/>
  <c r="H12" i="3"/>
  <c r="F10" i="2"/>
  <c r="F11" i="2"/>
  <c r="F12" i="2"/>
  <c r="H13" i="3"/>
  <c r="M12" i="3"/>
  <c r="J12" i="3"/>
  <c r="I12" i="3"/>
  <c r="K12" i="3"/>
  <c r="L12" i="3"/>
  <c r="I11" i="3"/>
  <c r="J11" i="3"/>
  <c r="K11" i="3"/>
  <c r="L11" i="3"/>
  <c r="M11" i="3"/>
  <c r="G11" i="2"/>
  <c r="H11" i="2"/>
  <c r="I11" i="2"/>
  <c r="J11" i="2"/>
  <c r="K11" i="2"/>
  <c r="G10" i="2"/>
  <c r="H10" i="2"/>
  <c r="I10" i="2"/>
  <c r="J10" i="2"/>
  <c r="K10" i="2"/>
  <c r="U36" i="3" l="1"/>
  <c r="V35" i="3"/>
  <c r="K12" i="2"/>
  <c r="J12" i="2"/>
  <c r="I12" i="2"/>
  <c r="H12" i="2"/>
  <c r="G12" i="2"/>
  <c r="L13" i="3"/>
  <c r="K13" i="3"/>
  <c r="I13" i="3"/>
  <c r="J13" i="3"/>
  <c r="M13" i="3"/>
  <c r="V36" i="3" l="1"/>
  <c r="W35" i="3"/>
  <c r="N13" i="3"/>
  <c r="F18" i="3"/>
  <c r="L12" i="2"/>
  <c r="D16" i="2"/>
  <c r="W36" i="3" l="1"/>
  <c r="X35" i="3"/>
  <c r="N14" i="3"/>
  <c r="O13" i="3"/>
  <c r="L13" i="2"/>
  <c r="M12" i="2"/>
  <c r="X36" i="3" l="1"/>
  <c r="Y35" i="3"/>
  <c r="O14" i="3"/>
  <c r="P13" i="3"/>
  <c r="M13" i="2"/>
  <c r="N12" i="2"/>
  <c r="Y36" i="3" l="1"/>
  <c r="Z35" i="3"/>
  <c r="P14" i="3"/>
  <c r="Q13" i="3"/>
  <c r="N13" i="2"/>
  <c r="O12" i="2"/>
  <c r="Z36" i="3" l="1"/>
  <c r="AA35" i="3"/>
  <c r="Q14" i="3"/>
  <c r="R13" i="3"/>
  <c r="O13" i="2"/>
  <c r="P12" i="2"/>
  <c r="AA36" i="3" l="1"/>
  <c r="AB35" i="3"/>
  <c r="R14" i="3"/>
  <c r="S13" i="3"/>
  <c r="P13" i="2"/>
  <c r="Q12" i="2"/>
  <c r="AB36" i="3" l="1"/>
  <c r="AC35" i="3"/>
  <c r="T13" i="3"/>
  <c r="S14" i="3"/>
  <c r="Q13" i="2"/>
  <c r="R12" i="2"/>
  <c r="AC36" i="3" l="1"/>
  <c r="AD35" i="3"/>
  <c r="U13" i="3"/>
  <c r="T14" i="3"/>
  <c r="R13" i="2"/>
  <c r="S12" i="2"/>
  <c r="AD36" i="3" l="1"/>
  <c r="AE35" i="3"/>
  <c r="V13" i="3"/>
  <c r="U14" i="3"/>
  <c r="S13" i="2"/>
  <c r="T12" i="2"/>
  <c r="AE36" i="3" l="1"/>
  <c r="AF35" i="3"/>
  <c r="AF36" i="3" s="1"/>
  <c r="W13" i="3"/>
  <c r="V14" i="3"/>
  <c r="T13" i="2"/>
  <c r="U12" i="2"/>
  <c r="W14" i="3" l="1"/>
  <c r="X13" i="3"/>
  <c r="U13" i="2"/>
  <c r="V12" i="2"/>
  <c r="X14" i="3" l="1"/>
  <c r="Y13" i="3"/>
  <c r="Y14" i="3" s="1"/>
  <c r="M16" i="3"/>
  <c r="V13" i="2"/>
  <c r="W12" i="2"/>
  <c r="W13" i="2" s="1"/>
  <c r="K15" i="2" l="1"/>
</calcChain>
</file>

<file path=xl/sharedStrings.xml><?xml version="1.0" encoding="utf-8"?>
<sst xmlns="http://schemas.openxmlformats.org/spreadsheetml/2006/main" count="229" uniqueCount="136">
  <si>
    <t>In Millions of INR except Per Share</t>
  </si>
  <si>
    <t>FY 2017</t>
  </si>
  <si>
    <t>FY 2018</t>
  </si>
  <si>
    <t>FY 2019</t>
  </si>
  <si>
    <t>FY 2020</t>
  </si>
  <si>
    <t>FY 2021</t>
  </si>
  <si>
    <t>FY 2022</t>
  </si>
  <si>
    <t>FY 2023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</si>
  <si>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</si>
  <si>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</si>
  <si>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</si>
  <si>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</si>
  <si>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</si>
  <si>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</si>
  <si>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</si>
  <si>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</si>
  <si>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</si>
  <si>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</si>
  <si>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</si>
  <si>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terminal value</t>
  </si>
  <si>
    <t>12 Months Ending</t>
  </si>
  <si>
    <t>03/31/2017</t>
  </si>
  <si>
    <t>03/31/2018</t>
  </si>
  <si>
    <t>03/31/2019</t>
  </si>
  <si>
    <t>03/31/2020</t>
  </si>
  <si>
    <t>03/31/2021</t>
  </si>
  <si>
    <t>03/31/2022</t>
  </si>
  <si>
    <t>03/31/2023</t>
  </si>
  <si>
    <t>Net Income/Net Profit (Losses)</t>
  </si>
  <si>
    <t>NET_INCOME</t>
  </si>
  <si>
    <t>Depreciation Expenses</t>
  </si>
  <si>
    <t>IS_DEPR_EXP</t>
  </si>
  <si>
    <t>Capital Expenditures</t>
  </si>
  <si>
    <t>CAPITAL_EXPEND</t>
  </si>
  <si>
    <t>Net Working Capital Investment</t>
  </si>
  <si>
    <t>NET_WORKING_CAPITAL_INVESTMENT</t>
  </si>
  <si>
    <t>Total Debt Issuance Proceeds</t>
  </si>
  <si>
    <t>TOT_DEBT_ISSUANCE_PROCEEDS</t>
  </si>
  <si>
    <t>Net Debt</t>
  </si>
  <si>
    <t>NET_DEBT</t>
  </si>
  <si>
    <t>change in debt(np-p)</t>
  </si>
  <si>
    <t>Change in nwc</t>
  </si>
  <si>
    <t>FCFE</t>
  </si>
  <si>
    <t>present value</t>
  </si>
  <si>
    <t>company value</t>
  </si>
  <si>
    <t>GROWTH RATE IN FCFE</t>
  </si>
  <si>
    <t>Cost of equity estimation (Capm model)</t>
  </si>
  <si>
    <t xml:space="preserve">risk free rate </t>
  </si>
  <si>
    <t xml:space="preserve">tata motors long term growth rate </t>
  </si>
  <si>
    <t xml:space="preserve">april 1 2014 </t>
  </si>
  <si>
    <t>april 1 2024</t>
  </si>
  <si>
    <t>market returns</t>
  </si>
  <si>
    <t>beta</t>
  </si>
  <si>
    <t>Dep. Variable:</t>
  </si>
  <si>
    <t>Return_MARUTI</t>
  </si>
  <si>
    <t>R-squared:</t>
  </si>
  <si>
    <t>Model:</t>
  </si>
  <si>
    <t>OLS</t>
  </si>
  <si>
    <t>Adj. R-squared:</t>
  </si>
  <si>
    <t>Method:</t>
  </si>
  <si>
    <t>Least Squares</t>
  </si>
  <si>
    <t>F-statistic:</t>
  </si>
  <si>
    <t>Date:</t>
  </si>
  <si>
    <t>Sun, 21 Apr 2024</t>
  </si>
  <si>
    <t>Prob (F-statistic):</t>
  </si>
  <si>
    <t>Time:</t>
  </si>
  <si>
    <t>Log-Likelihood:</t>
  </si>
  <si>
    <t>No. Observations:</t>
  </si>
  <si>
    <t>AIC:</t>
  </si>
  <si>
    <t>Df Residuals:</t>
  </si>
  <si>
    <t>BIC:</t>
  </si>
  <si>
    <t>Df Model:</t>
  </si>
  <si>
    <t>Covariance Type:</t>
  </si>
  <si>
    <t>nonrobust</t>
  </si>
  <si>
    <t>coef</t>
  </si>
  <si>
    <t>std err</t>
  </si>
  <si>
    <t>t</t>
  </si>
  <si>
    <t>P&gt;|t|</t>
  </si>
  <si>
    <t>[0.025</t>
  </si>
  <si>
    <t>0.975]</t>
  </si>
  <si>
    <t>const</t>
  </si>
  <si>
    <t>Return_NIFTY</t>
  </si>
  <si>
    <t>Omnibus:</t>
  </si>
  <si>
    <t>Durbin-Watson:</t>
  </si>
  <si>
    <t>Prob(Omnibus):</t>
  </si>
  <si>
    <t>Jarque-Bera (JB):</t>
  </si>
  <si>
    <t>Skew:</t>
  </si>
  <si>
    <t>Prob(JB):</t>
  </si>
  <si>
    <t>Kurtosis:</t>
  </si>
  <si>
    <t>Cond. No.</t>
  </si>
  <si>
    <t>change in nwc</t>
  </si>
  <si>
    <t>final present value</t>
  </si>
  <si>
    <t>CARG IN FCFE</t>
  </si>
  <si>
    <t>SAIL india  long term growth rate</t>
  </si>
  <si>
    <t xml:space="preserve">2014 stock price </t>
  </si>
  <si>
    <t>2024 stock price</t>
  </si>
  <si>
    <t>Return_TATASTEEL</t>
  </si>
  <si>
    <t>cost of equity (capm model)</t>
  </si>
  <si>
    <t>risk free rate</t>
  </si>
  <si>
    <t>market return</t>
  </si>
  <si>
    <t>Return on Networth/Equity (%)</t>
  </si>
  <si>
    <t>dividend</t>
  </si>
  <si>
    <t>Retention Ratios (%)</t>
  </si>
  <si>
    <t>present values</t>
  </si>
  <si>
    <t>growth rates</t>
  </si>
  <si>
    <t>stock price</t>
  </si>
  <si>
    <t xml:space="preserve">average growth rate </t>
  </si>
  <si>
    <t xml:space="preserve">cost of equity capital </t>
  </si>
  <si>
    <t>TATA STEEL COMPARITIVE ANALYSIS</t>
  </si>
  <si>
    <t>p/e</t>
  </si>
  <si>
    <t>price/book</t>
  </si>
  <si>
    <t>ev/revenue</t>
  </si>
  <si>
    <t>ev/ebitda</t>
  </si>
  <si>
    <t xml:space="preserve">JSW steel </t>
  </si>
  <si>
    <t>SAIL</t>
  </si>
  <si>
    <t>Jindal steel and power</t>
  </si>
  <si>
    <t xml:space="preserve">29.18 	</t>
  </si>
  <si>
    <t>tata steel</t>
  </si>
  <si>
    <t xml:space="preserve">4.52 	</t>
  </si>
  <si>
    <t>relative valuation</t>
  </si>
  <si>
    <t>maruti suzuki comparitive analysis</t>
  </si>
  <si>
    <t>tata motors</t>
  </si>
  <si>
    <t>mahindra</t>
  </si>
  <si>
    <t>tvs</t>
  </si>
  <si>
    <t xml:space="preserve">average </t>
  </si>
  <si>
    <t>maruti suzuki</t>
  </si>
  <si>
    <t>earnings</t>
  </si>
  <si>
    <t>book value</t>
  </si>
  <si>
    <t>revenue</t>
  </si>
  <si>
    <t>ebitda</t>
  </si>
  <si>
    <t>(in rs million)</t>
  </si>
  <si>
    <t>real enterprice value</t>
  </si>
  <si>
    <t>retention Ratios (%)</t>
  </si>
  <si>
    <t xml:space="preserve">growth rate </t>
  </si>
  <si>
    <t xml:space="preserve">Present value </t>
  </si>
  <si>
    <t xml:space="preserve">cost of equity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</si>
</sst>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>
    <font>
      <sz val="11"/>
      <color theme="1"/>
      <name val="Aptos Narrow"/>
      <family val="2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1"/>
      <color rgb="FFD5D5D5"/>
      <name val="Roboto"/>
      <charset val="1"/>
    </font>
    <font>
      <sz val="11"/>
      <color rgb="FFD5D5D5"/>
      <name val="Roboto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38383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1" fillId="3" borderId="1">
      <alignment horizontal="left"/>
    </xf>
    <xf numFmtId="0" fontId="1" fillId="3" borderId="1">
      <alignment horizontal="right"/>
    </xf>
    <xf numFmtId="0" fontId="1" fillId="3" borderId="2">
      <alignment horizontal="left"/>
    </xf>
    <xf numFmtId="0" fontId="1" fillId="3" borderId="2">
      <alignment horizontal="right"/>
    </xf>
    <xf numFmtId="0" fontId="2" fillId="2" borderId="3"/>
    <xf numFmtId="164" fontId="3" fillId="2" borderId="4">
      <alignment horizontal="right"/>
    </xf>
    <xf numFmtId="164" fontId="3" fillId="4" borderId="4">
      <alignment horizontal="right"/>
    </xf>
    <xf numFmtId="0" fontId="4" fillId="5" borderId="5" applyNumberFormat="0" applyAlignment="0" applyProtection="0"/>
  </cellStyleXfs>
  <cellXfs count="18">
    <xf numFmtId="0" fontId="0" fillId="0" borderId="0" xfId="0"/>
    <xf numFmtId="0" fontId="1" fillId="3" borderId="1" xfId="1">
      <alignment horizontal="left"/>
    </xf>
    <xf numFmtId="0" fontId="1" fillId="3" borderId="1" xfId="2">
      <alignment horizontal="right"/>
    </xf>
    <xf numFmtId="0" fontId="1" fillId="3" borderId="2" xfId="3">
      <alignment horizontal="left"/>
    </xf>
    <xf numFmtId="0" fontId="1" fillId="3" borderId="2" xfId="4">
      <alignment horizontal="right"/>
    </xf>
    <xf numFmtId="0" fontId="2" fillId="2" borderId="3" xfId="5"/>
    <xf numFmtId="164" fontId="3" fillId="2" borderId="4" xfId="6">
      <alignment horizontal="right"/>
    </xf>
    <xf numFmtId="164" fontId="0" fillId="0" borderId="0" xfId="0" applyNumberFormat="1"/>
    <xf numFmtId="0" fontId="4" fillId="5" borderId="5" xfId="8"/>
    <xf numFmtId="164" fontId="4" fillId="5" borderId="5" xfId="8" applyNumberFormat="1"/>
    <xf numFmtId="3" fontId="0" fillId="0" borderId="0" xfId="0" applyNumberFormat="1"/>
    <xf numFmtId="0" fontId="5" fillId="6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11" fontId="6" fillId="6" borderId="0" xfId="0" applyNumberFormat="1" applyFont="1" applyFill="1" applyAlignment="1">
      <alignment wrapText="1"/>
    </xf>
    <xf numFmtId="21" fontId="6" fillId="6" borderId="0" xfId="0" applyNumberFormat="1" applyFont="1" applyFill="1" applyAlignment="1">
      <alignment wrapText="1"/>
    </xf>
    <xf numFmtId="0" fontId="7" fillId="0" borderId="0" xfId="0" applyFont="1"/>
    <xf numFmtId="3" fontId="7" fillId="0" borderId="0" xfId="0" applyNumberFormat="1" applyFont="1"/>
    <xf numFmtId="0" fontId="8" fillId="0" borderId="0" xfId="0" applyFont="1"/>
  </cellXfs>
  <cellStyles count="9">
    <cellStyle name="fa_column_header_bottom" xfId="4" xr:uid="{6FE0AD0B-7625-4324-A118-152AF5DA6E61}"/>
    <cellStyle name="fa_column_header_bottom_left" xfId="3" xr:uid="{0FAD9102-FA5F-456A-9FB6-366954CAA40B}"/>
    <cellStyle name="fa_column_header_top" xfId="2" xr:uid="{27A84293-251F-4A46-B74C-5404F2BEA60A}"/>
    <cellStyle name="fa_column_header_top_left" xfId="1" xr:uid="{29F85E71-A42E-423E-9783-9E4AD969308D}"/>
    <cellStyle name="fa_data_current_standard_1_grouped" xfId="7" xr:uid="{8CED1189-2549-45C3-9431-6C30944F52C2}"/>
    <cellStyle name="fa_data_standard_1_grouped" xfId="6" xr:uid="{A8F58B7B-195A-4D4C-B183-810A651B7FCF}"/>
    <cellStyle name="fa_footer_italic" xfId="8" xr:uid="{C3018B2F-A870-4D6E-8263-FE425AC56286}"/>
    <cellStyle name="fa_row_header_standard" xfId="5" xr:uid="{9EC5220E-CA01-4D7B-8587-B3333580C8C4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E5C2-4B8C-4E55-A1AA-67CB37AD1F56}">
  <dimension ref="C2:W44"/>
  <sheetViews>
    <sheetView tabSelected="1" workbookViewId="0">
      <selection activeCell="P19" sqref="P19"/>
    </sheetView>
  </sheetViews>
  <sheetFormatPr defaultRowHeight="15"/>
  <cols>
    <col min="3" max="3" width="29.42578125" customWidth="1"/>
    <col min="4" max="4" width="18.28515625" customWidth="1"/>
    <col min="6" max="6" width="13.7109375" customWidth="1"/>
    <col min="8" max="8" width="12.28515625" customWidth="1"/>
    <col min="9" max="9" width="10.5703125" customWidth="1"/>
    <col min="11" max="11" width="12.42578125" customWidth="1"/>
    <col min="17" max="17" width="9.28515625" bestFit="1" customWidth="1"/>
  </cols>
  <sheetData>
    <row r="2" spans="3:23">
      <c r="C2" s="1" t="s">
        <v>0</v>
      </c>
      <c r="D2" s="1"/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</row>
    <row r="3" spans="3:23">
      <c r="C3" s="3" t="s">
        <v>20</v>
      </c>
      <c r="D3" s="3"/>
      <c r="E3" s="4" t="s">
        <v>21</v>
      </c>
      <c r="F3" s="4" t="s">
        <v>22</v>
      </c>
      <c r="G3" s="4" t="s">
        <v>23</v>
      </c>
      <c r="H3" s="4" t="s">
        <v>24</v>
      </c>
      <c r="I3" s="4" t="s">
        <v>25</v>
      </c>
      <c r="J3" s="4" t="s">
        <v>26</v>
      </c>
      <c r="K3" s="4" t="s">
        <v>27</v>
      </c>
    </row>
    <row r="4" spans="3:23">
      <c r="C4" s="5" t="s">
        <v>28</v>
      </c>
      <c r="D4" s="5" t="s">
        <v>29</v>
      </c>
      <c r="E4" s="6">
        <v>75099</v>
      </c>
      <c r="F4" s="6">
        <v>78800</v>
      </c>
      <c r="G4" s="6">
        <v>76491</v>
      </c>
      <c r="H4" s="6">
        <v>56760</v>
      </c>
      <c r="I4" s="6">
        <v>43891</v>
      </c>
      <c r="J4" s="6">
        <v>38795</v>
      </c>
      <c r="K4" s="6">
        <v>82110</v>
      </c>
    </row>
    <row r="5" spans="3:23">
      <c r="C5" s="5" t="s">
        <v>30</v>
      </c>
      <c r="D5" s="5" t="s">
        <v>31</v>
      </c>
      <c r="E5" s="6">
        <v>25094</v>
      </c>
      <c r="F5" s="6">
        <v>26475</v>
      </c>
      <c r="G5" s="6">
        <v>28930</v>
      </c>
      <c r="H5" s="6">
        <v>33624</v>
      </c>
      <c r="I5" s="6">
        <v>28917</v>
      </c>
      <c r="J5" s="6">
        <v>26282</v>
      </c>
      <c r="K5" s="6">
        <v>26177</v>
      </c>
    </row>
    <row r="6" spans="3:23">
      <c r="C6" s="5" t="s">
        <v>32</v>
      </c>
      <c r="D6" s="5" t="s">
        <v>33</v>
      </c>
      <c r="E6" s="6">
        <v>-32524</v>
      </c>
      <c r="F6" s="6">
        <v>-39116</v>
      </c>
      <c r="G6" s="6">
        <v>-47470</v>
      </c>
      <c r="H6" s="6">
        <v>-31947</v>
      </c>
      <c r="I6" s="6">
        <v>-21320</v>
      </c>
      <c r="J6" s="6">
        <v>-32063</v>
      </c>
      <c r="K6" s="6">
        <v>-61166</v>
      </c>
    </row>
    <row r="7" spans="3:23">
      <c r="C7" s="5" t="s">
        <v>34</v>
      </c>
      <c r="D7" s="5" t="s">
        <v>35</v>
      </c>
      <c r="E7" s="6">
        <v>-20703</v>
      </c>
      <c r="F7" s="6">
        <v>-25777</v>
      </c>
      <c r="G7" s="6">
        <v>18613</v>
      </c>
      <c r="H7" s="6">
        <v>28147</v>
      </c>
      <c r="I7" s="6">
        <v>-51138</v>
      </c>
      <c r="J7" s="6">
        <v>21010</v>
      </c>
      <c r="K7" s="6">
        <v>-3311</v>
      </c>
    </row>
    <row r="8" spans="3:23">
      <c r="C8" s="5" t="s">
        <v>36</v>
      </c>
      <c r="D8" s="5" t="s">
        <v>37</v>
      </c>
      <c r="E8" s="6">
        <v>4062</v>
      </c>
      <c r="F8" s="6">
        <v>100</v>
      </c>
      <c r="G8" s="6">
        <v>388</v>
      </c>
      <c r="H8" s="6">
        <v>0</v>
      </c>
      <c r="I8" s="6">
        <v>3803</v>
      </c>
      <c r="J8" s="6">
        <v>0</v>
      </c>
      <c r="K8" s="6">
        <v>8312</v>
      </c>
    </row>
    <row r="9" spans="3:23">
      <c r="C9" s="5" t="s">
        <v>38</v>
      </c>
      <c r="D9" s="5" t="s">
        <v>39</v>
      </c>
      <c r="E9" s="6">
        <v>-16265</v>
      </c>
      <c r="F9" s="6">
        <v>-11145</v>
      </c>
      <c r="G9" s="6">
        <v>-49859</v>
      </c>
      <c r="H9" s="6">
        <v>-10370</v>
      </c>
      <c r="I9" s="6">
        <v>-109219</v>
      </c>
      <c r="J9" s="6">
        <v>-67168</v>
      </c>
      <c r="K9" s="6">
        <v>12057</v>
      </c>
    </row>
    <row r="10" spans="3:23">
      <c r="C10" t="s">
        <v>40</v>
      </c>
      <c r="F10" s="7">
        <f xml:space="preserve"> F9-E9</f>
        <v>5120</v>
      </c>
      <c r="G10" s="7">
        <f t="shared" ref="G10:K10" si="0" xml:space="preserve"> G9-F9</f>
        <v>-38714</v>
      </c>
      <c r="H10" s="7">
        <f t="shared" si="0"/>
        <v>39489</v>
      </c>
      <c r="I10" s="7">
        <f t="shared" si="0"/>
        <v>-98849</v>
      </c>
      <c r="J10" s="7">
        <f t="shared" si="0"/>
        <v>42051</v>
      </c>
      <c r="K10" s="7">
        <f t="shared" si="0"/>
        <v>79225</v>
      </c>
    </row>
    <row r="11" spans="3:23">
      <c r="C11" t="s">
        <v>41</v>
      </c>
      <c r="F11" s="7">
        <f>F7-E7</f>
        <v>-5074</v>
      </c>
      <c r="G11" s="7">
        <f t="shared" ref="G11:K11" si="1">G7-F7</f>
        <v>44390</v>
      </c>
      <c r="H11" s="7">
        <f t="shared" si="1"/>
        <v>9534</v>
      </c>
      <c r="I11" s="7">
        <f t="shared" si="1"/>
        <v>-79285</v>
      </c>
      <c r="J11" s="7">
        <f t="shared" si="1"/>
        <v>72148</v>
      </c>
      <c r="K11" s="7">
        <f t="shared" si="1"/>
        <v>-24321</v>
      </c>
      <c r="L11" t="s">
        <v>8</v>
      </c>
      <c r="M11" t="s">
        <v>9</v>
      </c>
      <c r="N11" t="s">
        <v>10</v>
      </c>
      <c r="O11" t="s">
        <v>11</v>
      </c>
      <c r="P11" t="s">
        <v>12</v>
      </c>
      <c r="Q11" t="s">
        <v>13</v>
      </c>
      <c r="R11" t="s">
        <v>14</v>
      </c>
      <c r="S11" t="s">
        <v>15</v>
      </c>
      <c r="T11" t="s">
        <v>16</v>
      </c>
      <c r="U11" t="s">
        <v>17</v>
      </c>
      <c r="V11" t="s">
        <v>18</v>
      </c>
      <c r="W11" t="s">
        <v>19</v>
      </c>
    </row>
    <row r="12" spans="3:23">
      <c r="C12" t="s">
        <v>42</v>
      </c>
      <c r="E12" s="7"/>
      <c r="F12" s="7">
        <f>F4+F5-F6-F11+F10</f>
        <v>154585</v>
      </c>
      <c r="G12" s="7">
        <f>G4+G5-G6-G11+G10</f>
        <v>69787</v>
      </c>
      <c r="H12" s="7">
        <f>H4+H5-H6-H11+H10</f>
        <v>152286</v>
      </c>
      <c r="I12" s="7">
        <f>I4+I5-I6-I11+I10</f>
        <v>74564</v>
      </c>
      <c r="J12" s="7">
        <f>J4+J5-J6-J11+J10</f>
        <v>67043</v>
      </c>
      <c r="K12" s="7">
        <f>K4+K5-K6-K11+K10</f>
        <v>272999</v>
      </c>
      <c r="L12">
        <f>K12*1.120466</f>
        <v>305886.097534</v>
      </c>
      <c r="M12">
        <f t="shared" ref="M12:P12" si="2">L12*1.120466</f>
        <v>342734.97215953085</v>
      </c>
      <c r="N12">
        <f t="shared" si="2"/>
        <v>384022.88331570086</v>
      </c>
      <c r="O12">
        <f t="shared" si="2"/>
        <v>430284.58397721004</v>
      </c>
      <c r="P12">
        <f t="shared" si="2"/>
        <v>482119.24667060864</v>
      </c>
      <c r="Q12">
        <f>P12*1.081</f>
        <v>521170.90565092792</v>
      </c>
      <c r="R12">
        <f t="shared" ref="R12:U12" si="3">Q12*1.081</f>
        <v>563385.7490086531</v>
      </c>
      <c r="S12">
        <f t="shared" si="3"/>
        <v>609019.99467835401</v>
      </c>
      <c r="T12">
        <f t="shared" si="3"/>
        <v>658350.61424730066</v>
      </c>
      <c r="U12">
        <f t="shared" si="3"/>
        <v>711677.01400133199</v>
      </c>
      <c r="V12">
        <f>U12*1.0954157</f>
        <v>779582.17446617887</v>
      </c>
      <c r="W12">
        <f>V12*1.0954157/(P19-C22)</f>
        <v>15978354.087070569</v>
      </c>
    </row>
    <row r="13" spans="3:23">
      <c r="K13" t="s">
        <v>43</v>
      </c>
      <c r="L13">
        <f>L12/1.148861</f>
        <v>266251.61576030526</v>
      </c>
      <c r="M13">
        <f>M12/Q17^2</f>
        <v>259670.99841015248</v>
      </c>
      <c r="N13">
        <f>N12/Q17^3</f>
        <v>253253.0261751682</v>
      </c>
      <c r="O13">
        <f>O12/Q17^4</f>
        <v>246993.67915386279</v>
      </c>
      <c r="P13">
        <f>P12/Q17^5</f>
        <v>240889.03679976263</v>
      </c>
      <c r="Q13">
        <f>Q12/Q17^6</f>
        <v>226660.18672454142</v>
      </c>
      <c r="R13">
        <f>R12/Q17^7</f>
        <v>213271.80733720554</v>
      </c>
      <c r="S13">
        <f>S12/Q17^8</f>
        <v>200674.25365776991</v>
      </c>
      <c r="T13">
        <f>T12/Q17^9</f>
        <v>188820.81313931738</v>
      </c>
      <c r="U13">
        <f>U12/Q17^10</f>
        <v>177667.53245484186</v>
      </c>
      <c r="V13">
        <f>V12/Q17^11</f>
        <v>169402.39457279281</v>
      </c>
      <c r="W13">
        <f>W12/Q17^12</f>
        <v>3022193.0256012422</v>
      </c>
    </row>
    <row r="15" spans="3:23">
      <c r="J15" t="s">
        <v>44</v>
      </c>
      <c r="K15">
        <f>SUM(L13:W13)</f>
        <v>5465748.3697869629</v>
      </c>
    </row>
    <row r="16" spans="3:23">
      <c r="C16" t="s">
        <v>45</v>
      </c>
      <c r="D16">
        <f>(K12/F12)^0.2-1</f>
        <v>0.12046615110576742</v>
      </c>
    </row>
    <row r="17" spans="3:17">
      <c r="Q17">
        <v>1.1488609999999999</v>
      </c>
    </row>
    <row r="19" spans="3:17">
      <c r="L19" t="s">
        <v>46</v>
      </c>
      <c r="P19">
        <f>M20+M22*(M21-M20)</f>
        <v>0.14886094500000002</v>
      </c>
    </row>
    <row r="20" spans="3:17">
      <c r="L20" t="s">
        <v>47</v>
      </c>
      <c r="M20">
        <v>7.2249999999999995E-2</v>
      </c>
    </row>
    <row r="21" spans="3:17">
      <c r="C21" t="s">
        <v>48</v>
      </c>
      <c r="D21" t="s">
        <v>49</v>
      </c>
      <c r="E21" t="s">
        <v>50</v>
      </c>
      <c r="L21" t="s">
        <v>51</v>
      </c>
      <c r="M21">
        <v>0.1416</v>
      </c>
    </row>
    <row r="22" spans="3:17">
      <c r="C22">
        <f>(E22/D22)^0.1-1</f>
        <v>9.5415731012571392E-2</v>
      </c>
      <c r="D22">
        <v>398.87</v>
      </c>
      <c r="E22">
        <v>992.25</v>
      </c>
      <c r="L22" t="s">
        <v>52</v>
      </c>
      <c r="M22">
        <v>1.1047</v>
      </c>
    </row>
    <row r="29" spans="3:17" ht="45">
      <c r="C29" s="11" t="s">
        <v>53</v>
      </c>
      <c r="D29" s="12" t="s">
        <v>54</v>
      </c>
      <c r="E29" s="11" t="s">
        <v>55</v>
      </c>
      <c r="F29" s="12">
        <v>0.41</v>
      </c>
    </row>
    <row r="30" spans="3:17" ht="45">
      <c r="C30" s="11" t="s">
        <v>56</v>
      </c>
      <c r="D30" s="12" t="s">
        <v>57</v>
      </c>
      <c r="E30" s="11" t="s">
        <v>58</v>
      </c>
      <c r="F30" s="12">
        <v>0.40500000000000003</v>
      </c>
    </row>
    <row r="31" spans="3:17" ht="45">
      <c r="C31" s="11" t="s">
        <v>59</v>
      </c>
      <c r="D31" s="12" t="s">
        <v>60</v>
      </c>
      <c r="E31" s="11" t="s">
        <v>61</v>
      </c>
      <c r="F31" s="12">
        <v>81.239999999999995</v>
      </c>
    </row>
    <row r="32" spans="3:17" ht="45">
      <c r="C32" s="11" t="s">
        <v>62</v>
      </c>
      <c r="D32" s="12" t="s">
        <v>63</v>
      </c>
      <c r="E32" s="11" t="s">
        <v>64</v>
      </c>
      <c r="F32" s="13">
        <v>4.5599999999999999E-15</v>
      </c>
    </row>
    <row r="33" spans="3:9" ht="45">
      <c r="C33" s="11" t="s">
        <v>65</v>
      </c>
      <c r="D33" s="14">
        <v>0.23725694444444445</v>
      </c>
      <c r="E33" s="11" t="s">
        <v>66</v>
      </c>
      <c r="F33" s="12">
        <v>160.65</v>
      </c>
    </row>
    <row r="34" spans="3:9">
      <c r="C34" s="11" t="s">
        <v>67</v>
      </c>
      <c r="D34" s="12">
        <v>119</v>
      </c>
      <c r="E34" s="11" t="s">
        <v>68</v>
      </c>
      <c r="F34" s="12">
        <v>-317.3</v>
      </c>
    </row>
    <row r="35" spans="3:9">
      <c r="C35" s="11" t="s">
        <v>69</v>
      </c>
      <c r="D35" s="12">
        <v>117</v>
      </c>
      <c r="E35" s="11" t="s">
        <v>70</v>
      </c>
      <c r="F35" s="12">
        <v>-311.7</v>
      </c>
    </row>
    <row r="36" spans="3:9">
      <c r="C36" s="11" t="s">
        <v>71</v>
      </c>
      <c r="D36" s="12">
        <v>1</v>
      </c>
      <c r="E36" s="11"/>
      <c r="F36" s="12"/>
    </row>
    <row r="37" spans="3:9">
      <c r="C37" s="11" t="s">
        <v>72</v>
      </c>
      <c r="D37" s="12" t="s">
        <v>73</v>
      </c>
      <c r="E37" s="11"/>
      <c r="F37" s="12"/>
    </row>
    <row r="38" spans="3:9">
      <c r="C38" s="12"/>
      <c r="D38" s="11" t="s">
        <v>74</v>
      </c>
      <c r="E38" s="11" t="s">
        <v>75</v>
      </c>
      <c r="F38" s="11" t="s">
        <v>76</v>
      </c>
      <c r="G38" s="11" t="s">
        <v>77</v>
      </c>
      <c r="H38" s="11" t="s">
        <v>78</v>
      </c>
      <c r="I38" s="11" t="s">
        <v>79</v>
      </c>
    </row>
    <row r="39" spans="3:9">
      <c r="C39" s="11" t="s">
        <v>80</v>
      </c>
      <c r="D39" s="12">
        <v>4.7999999999999996E-3</v>
      </c>
      <c r="E39" s="12">
        <v>6.0000000000000001E-3</v>
      </c>
      <c r="F39" s="12">
        <v>0.80500000000000005</v>
      </c>
      <c r="G39" s="12">
        <v>0.42199999999999999</v>
      </c>
      <c r="H39" s="12">
        <v>-7.0000000000000001E-3</v>
      </c>
      <c r="I39" s="12">
        <v>1.6E-2</v>
      </c>
    </row>
    <row r="40" spans="3:9">
      <c r="C40" s="11" t="s">
        <v>81</v>
      </c>
      <c r="D40" s="12">
        <v>1.1047</v>
      </c>
      <c r="E40" s="12">
        <v>0.123</v>
      </c>
      <c r="F40" s="12">
        <v>9.0129999999999999</v>
      </c>
      <c r="G40" s="12">
        <v>0</v>
      </c>
      <c r="H40" s="12">
        <v>0.86199999999999999</v>
      </c>
      <c r="I40" s="12">
        <v>1.347</v>
      </c>
    </row>
    <row r="41" spans="3:9" ht="30">
      <c r="C41" s="11" t="s">
        <v>82</v>
      </c>
      <c r="D41" s="12">
        <v>2.4340000000000002</v>
      </c>
      <c r="E41" s="11" t="s">
        <v>83</v>
      </c>
      <c r="F41" s="12">
        <v>1.8120000000000001</v>
      </c>
    </row>
    <row r="42" spans="3:9" ht="45">
      <c r="C42" s="11" t="s">
        <v>84</v>
      </c>
      <c r="D42" s="12">
        <v>0.29599999999999999</v>
      </c>
      <c r="E42" s="11" t="s">
        <v>85</v>
      </c>
      <c r="F42" s="12">
        <v>2.4550000000000001</v>
      </c>
    </row>
    <row r="43" spans="3:9" ht="30">
      <c r="C43" s="11" t="s">
        <v>86</v>
      </c>
      <c r="D43" s="12">
        <v>-0.311</v>
      </c>
      <c r="E43" s="11" t="s">
        <v>87</v>
      </c>
      <c r="F43" s="12">
        <v>0.29299999999999998</v>
      </c>
    </row>
    <row r="44" spans="3:9" ht="30">
      <c r="C44" s="11" t="s">
        <v>88</v>
      </c>
      <c r="D44" s="12">
        <v>2.669</v>
      </c>
      <c r="E44" s="11" t="s">
        <v>89</v>
      </c>
      <c r="F44" s="12">
        <v>21.1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A295E-C459-4CEA-BA1A-5EF10E7E2782}">
  <dimension ref="E4:AF47"/>
  <sheetViews>
    <sheetView topLeftCell="F1" workbookViewId="0">
      <selection activeCell="M20" sqref="M20"/>
    </sheetView>
  </sheetViews>
  <sheetFormatPr defaultRowHeight="15"/>
  <cols>
    <col min="5" max="5" width="16" customWidth="1"/>
    <col min="6" max="6" width="21.28515625" customWidth="1"/>
    <col min="7" max="7" width="16.7109375" customWidth="1"/>
    <col min="8" max="8" width="14.140625" customWidth="1"/>
    <col min="9" max="9" width="12.5703125" customWidth="1"/>
    <col min="10" max="10" width="16.5703125" customWidth="1"/>
    <col min="11" max="11" width="14.140625" customWidth="1"/>
    <col min="12" max="12" width="15.42578125" customWidth="1"/>
    <col min="13" max="13" width="13.7109375" customWidth="1"/>
    <col min="14" max="14" width="16.42578125" customWidth="1"/>
    <col min="15" max="15" width="14" customWidth="1"/>
    <col min="16" max="16" width="14.42578125" customWidth="1"/>
    <col min="17" max="17" width="12" customWidth="1"/>
    <col min="18" max="18" width="11.7109375" customWidth="1"/>
  </cols>
  <sheetData>
    <row r="4" spans="5:25"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</row>
    <row r="5" spans="5:25">
      <c r="E5" s="3" t="s">
        <v>20</v>
      </c>
      <c r="F5" s="3"/>
      <c r="G5" s="4" t="s">
        <v>21</v>
      </c>
      <c r="H5" s="4" t="s">
        <v>22</v>
      </c>
      <c r="I5" s="4" t="s">
        <v>23</v>
      </c>
      <c r="J5" s="4" t="s">
        <v>24</v>
      </c>
      <c r="K5" s="4" t="s">
        <v>25</v>
      </c>
      <c r="L5" s="4" t="s">
        <v>26</v>
      </c>
      <c r="M5" s="4" t="s">
        <v>27</v>
      </c>
      <c r="N5">
        <v>2024</v>
      </c>
      <c r="O5">
        <v>2025</v>
      </c>
      <c r="P5">
        <v>2026</v>
      </c>
      <c r="Q5">
        <v>2027</v>
      </c>
      <c r="R5">
        <v>2028</v>
      </c>
      <c r="S5">
        <v>2029</v>
      </c>
      <c r="T5">
        <v>2030</v>
      </c>
      <c r="U5">
        <v>2031</v>
      </c>
      <c r="V5">
        <v>2032</v>
      </c>
      <c r="W5">
        <v>2033</v>
      </c>
      <c r="X5">
        <v>2034</v>
      </c>
      <c r="Y5" t="s">
        <v>19</v>
      </c>
    </row>
    <row r="6" spans="5:25">
      <c r="E6" s="5" t="s">
        <v>28</v>
      </c>
      <c r="F6" s="5" t="s">
        <v>29</v>
      </c>
      <c r="G6" s="6">
        <v>-42408</v>
      </c>
      <c r="H6" s="6">
        <v>134543.1</v>
      </c>
      <c r="I6" s="6">
        <v>101944.9</v>
      </c>
      <c r="J6" s="6">
        <v>15565.4</v>
      </c>
      <c r="K6" s="6">
        <v>74902.2</v>
      </c>
      <c r="L6" s="6">
        <v>401539.3</v>
      </c>
      <c r="M6" s="6">
        <v>87604</v>
      </c>
    </row>
    <row r="7" spans="5:25">
      <c r="E7" s="5" t="s">
        <v>30</v>
      </c>
      <c r="F7" s="5" t="s">
        <v>31</v>
      </c>
      <c r="G7" s="6">
        <v>54161.5</v>
      </c>
      <c r="H7" s="6">
        <v>57129</v>
      </c>
      <c r="I7" s="6">
        <v>72800.800000000003</v>
      </c>
      <c r="J7" s="6">
        <v>76808.3</v>
      </c>
      <c r="K7" s="6">
        <v>80185.399999999994</v>
      </c>
      <c r="L7" s="6">
        <v>79982.399999999994</v>
      </c>
      <c r="M7" s="6">
        <v>89086</v>
      </c>
    </row>
    <row r="8" spans="5:25">
      <c r="E8" s="5" t="s">
        <v>32</v>
      </c>
      <c r="F8" s="5" t="s">
        <v>33</v>
      </c>
      <c r="G8" s="6">
        <v>-77156.399999999994</v>
      </c>
      <c r="H8" s="6">
        <v>-74785</v>
      </c>
      <c r="I8" s="6">
        <v>-90910</v>
      </c>
      <c r="J8" s="6">
        <v>-103980</v>
      </c>
      <c r="K8" s="6">
        <v>-69785.899999999994</v>
      </c>
      <c r="L8" s="6">
        <v>-105222</v>
      </c>
      <c r="M8" s="6">
        <v>-141424.9</v>
      </c>
    </row>
    <row r="9" spans="5:25">
      <c r="E9" s="5" t="s">
        <v>34</v>
      </c>
      <c r="F9" s="5" t="s">
        <v>35</v>
      </c>
      <c r="G9" s="6">
        <v>48897.7</v>
      </c>
      <c r="H9" s="6">
        <v>-2651.4</v>
      </c>
      <c r="I9" s="6">
        <v>38372.300000000003</v>
      </c>
      <c r="J9" s="6">
        <v>-47556.6</v>
      </c>
      <c r="K9" s="6">
        <v>-208489.9</v>
      </c>
      <c r="L9" s="6">
        <v>156866.20000000001</v>
      </c>
      <c r="M9" s="6">
        <v>-26273.5</v>
      </c>
    </row>
    <row r="10" spans="5:25">
      <c r="E10" s="5" t="s">
        <v>38</v>
      </c>
      <c r="F10" s="5" t="s">
        <v>39</v>
      </c>
      <c r="G10" s="6">
        <v>724203.1</v>
      </c>
      <c r="H10" s="6">
        <v>693002.3</v>
      </c>
      <c r="I10" s="6">
        <v>949499.9</v>
      </c>
      <c r="J10" s="6">
        <v>1048416.1</v>
      </c>
      <c r="K10" s="6">
        <v>700234.8</v>
      </c>
      <c r="L10" s="6">
        <v>511380</v>
      </c>
      <c r="M10" s="6">
        <v>679057.3</v>
      </c>
    </row>
    <row r="11" spans="5:25">
      <c r="E11" s="8" t="s">
        <v>40</v>
      </c>
      <c r="F11" s="8"/>
      <c r="G11" s="8"/>
      <c r="H11" s="9">
        <f>H10-G10</f>
        <v>-31200.79999999993</v>
      </c>
      <c r="I11" s="9">
        <f t="shared" ref="I11:M11" si="0">I10-H10</f>
        <v>256497.59999999998</v>
      </c>
      <c r="J11" s="9">
        <f t="shared" si="0"/>
        <v>98916.199999999953</v>
      </c>
      <c r="K11" s="9">
        <f t="shared" si="0"/>
        <v>-348181.29999999993</v>
      </c>
      <c r="L11" s="9">
        <f t="shared" si="0"/>
        <v>-188854.80000000005</v>
      </c>
      <c r="M11" s="9">
        <f t="shared" si="0"/>
        <v>167677.30000000005</v>
      </c>
    </row>
    <row r="12" spans="5:25">
      <c r="E12" t="s">
        <v>90</v>
      </c>
      <c r="H12" s="7">
        <f>H9-G9</f>
        <v>-51549.1</v>
      </c>
      <c r="I12" s="7">
        <f>I9-H9</f>
        <v>41023.700000000004</v>
      </c>
      <c r="J12" s="7">
        <f>J9-I9</f>
        <v>-85928.9</v>
      </c>
      <c r="K12" s="7">
        <f t="shared" ref="K12:L12" si="1">K9-J9</f>
        <v>-160933.29999999999</v>
      </c>
      <c r="L12" s="7">
        <f t="shared" si="1"/>
        <v>365356.1</v>
      </c>
      <c r="M12" s="7">
        <f>M9-L9</f>
        <v>-183139.7</v>
      </c>
      <c r="N12">
        <v>2024</v>
      </c>
      <c r="O12">
        <v>2025</v>
      </c>
      <c r="P12">
        <v>2026</v>
      </c>
      <c r="Q12">
        <v>2027</v>
      </c>
      <c r="R12">
        <v>2028</v>
      </c>
      <c r="S12">
        <v>2029</v>
      </c>
      <c r="T12">
        <v>2030</v>
      </c>
      <c r="U12">
        <v>2031</v>
      </c>
      <c r="V12">
        <v>2032</v>
      </c>
      <c r="W12">
        <v>2033</v>
      </c>
      <c r="X12">
        <v>2034</v>
      </c>
      <c r="Y12" t="s">
        <v>19</v>
      </c>
    </row>
    <row r="13" spans="5:25">
      <c r="E13" t="s">
        <v>42</v>
      </c>
      <c r="H13" s="7">
        <f>H6+H7-H8-H12+H11</f>
        <v>286805.40000000002</v>
      </c>
      <c r="I13" s="7">
        <f>I6+I7-I8-I12+I11</f>
        <v>481129.6</v>
      </c>
      <c r="J13" s="7">
        <f>J6+J7-J8-J12+J11</f>
        <v>381198.79999999993</v>
      </c>
      <c r="K13" s="7">
        <f>K6+K7-K8-K12+K11</f>
        <v>37625.5</v>
      </c>
      <c r="L13" s="7">
        <f>L6+L7-L8-L12+L11</f>
        <v>32532.79999999993</v>
      </c>
      <c r="M13" s="7">
        <f>M6+M7-M8-M12+M11</f>
        <v>668931.90000000014</v>
      </c>
      <c r="N13" s="7">
        <f>M13*(1.184565)</f>
        <v>792393.31612350023</v>
      </c>
      <c r="O13" s="7">
        <f t="shared" ref="O13:R13" si="2">N13*(1.184565)</f>
        <v>938641.3885138341</v>
      </c>
      <c r="P13" s="7">
        <f t="shared" si="2"/>
        <v>1111881.73638489</v>
      </c>
      <c r="Q13" s="7">
        <f t="shared" si="2"/>
        <v>1317096.1890607674</v>
      </c>
      <c r="R13" s="7">
        <f t="shared" si="2"/>
        <v>1560186.047194768</v>
      </c>
      <c r="S13">
        <f>R13*1.07</f>
        <v>1669399.0704984018</v>
      </c>
      <c r="T13">
        <f t="shared" ref="T13:W13" si="3">S13*1.07</f>
        <v>1786257.00543329</v>
      </c>
      <c r="U13">
        <f t="shared" si="3"/>
        <v>1911294.9958136205</v>
      </c>
      <c r="V13">
        <f t="shared" si="3"/>
        <v>2045085.6455205742</v>
      </c>
      <c r="W13">
        <f t="shared" si="3"/>
        <v>2188241.6407070146</v>
      </c>
      <c r="X13">
        <f>W13*1.09172348</f>
        <v>2388954.7790735718</v>
      </c>
      <c r="Y13">
        <f>X13*1.09172348/(J44-M20)</f>
        <v>35405262.479340464</v>
      </c>
    </row>
    <row r="14" spans="5:25">
      <c r="L14" t="s">
        <v>43</v>
      </c>
      <c r="M14" t="s">
        <v>43</v>
      </c>
      <c r="N14">
        <f>N13/1.16538</f>
        <v>679944.15222802875</v>
      </c>
      <c r="O14">
        <f>O13/(1.16538)^2</f>
        <v>691137.69301343337</v>
      </c>
      <c r="P14">
        <f>P13/(1.16538)^3</f>
        <v>702515.50680847256</v>
      </c>
      <c r="Q14">
        <f>Q13/(1.16538)^4</f>
        <v>714080.62719677552</v>
      </c>
      <c r="R14">
        <f>R13/(1.16538)^5</f>
        <v>725836.13770216447</v>
      </c>
      <c r="S14">
        <f>S13/(1.16538)^6</f>
        <v>666430.40668392798</v>
      </c>
      <c r="T14">
        <f>T13/(1.16538)^7</f>
        <v>611886.71090271231</v>
      </c>
      <c r="U14">
        <f>U13/(1.16538)^8</f>
        <v>561807.11927946447</v>
      </c>
      <c r="V14">
        <f>V13/(1.16538)^9</f>
        <v>515826.26922465378</v>
      </c>
      <c r="W14">
        <f>W13/(1.16538)^10</f>
        <v>473608.70108495041</v>
      </c>
      <c r="X14">
        <f>X13/(1.16538)^11</f>
        <v>443674.8007574713</v>
      </c>
      <c r="Y14">
        <f>Y13/(1.16538)^12</f>
        <v>5642311.9268205892</v>
      </c>
    </row>
    <row r="16" spans="5:25">
      <c r="L16" t="s">
        <v>91</v>
      </c>
      <c r="M16">
        <f>SUM(N14:Y14)</f>
        <v>12429060.051702645</v>
      </c>
    </row>
    <row r="18" spans="5:16">
      <c r="E18" t="s">
        <v>92</v>
      </c>
      <c r="F18">
        <f>((M13/H13)^0.2)-1</f>
        <v>0.18456505479677277</v>
      </c>
    </row>
    <row r="19" spans="5:16">
      <c r="M19" t="s">
        <v>93</v>
      </c>
      <c r="O19" t="s">
        <v>94</v>
      </c>
      <c r="P19" t="s">
        <v>95</v>
      </c>
    </row>
    <row r="20" spans="5:16">
      <c r="M20">
        <f>((P20/O20)^0.1)-1</f>
        <v>9.1723480170665006E-2</v>
      </c>
      <c r="O20" s="10">
        <v>55.3</v>
      </c>
      <c r="P20" s="10">
        <v>133</v>
      </c>
    </row>
    <row r="26" spans="5:16" ht="30">
      <c r="H26" s="11" t="s">
        <v>53</v>
      </c>
      <c r="I26" s="12" t="s">
        <v>96</v>
      </c>
      <c r="J26" s="11" t="s">
        <v>55</v>
      </c>
      <c r="K26" s="12">
        <v>0.34699999999999998</v>
      </c>
    </row>
    <row r="27" spans="5:16">
      <c r="H27" s="11" t="s">
        <v>56</v>
      </c>
      <c r="I27" s="12" t="s">
        <v>57</v>
      </c>
      <c r="J27" s="11" t="s">
        <v>58</v>
      </c>
      <c r="K27" s="12">
        <v>0.34100000000000003</v>
      </c>
    </row>
    <row r="28" spans="5:16" ht="30">
      <c r="H28" s="11" t="s">
        <v>59</v>
      </c>
      <c r="I28" s="12" t="s">
        <v>60</v>
      </c>
      <c r="J28" s="11" t="s">
        <v>61</v>
      </c>
      <c r="K28" s="12">
        <v>62.06</v>
      </c>
    </row>
    <row r="29" spans="5:16" ht="30">
      <c r="H29" s="11" t="s">
        <v>62</v>
      </c>
      <c r="I29" s="12" t="s">
        <v>63</v>
      </c>
      <c r="J29" s="11" t="s">
        <v>64</v>
      </c>
      <c r="K29" s="13">
        <v>1.9E-12</v>
      </c>
    </row>
    <row r="30" spans="5:16">
      <c r="H30" s="11" t="s">
        <v>65</v>
      </c>
      <c r="I30" s="14">
        <v>0.20716435185185186</v>
      </c>
      <c r="J30" s="11" t="s">
        <v>66</v>
      </c>
      <c r="K30" s="12">
        <v>121.37</v>
      </c>
    </row>
    <row r="31" spans="5:16" ht="45">
      <c r="H31" s="11" t="s">
        <v>67</v>
      </c>
      <c r="I31" s="12">
        <v>119</v>
      </c>
      <c r="J31" s="11" t="s">
        <v>68</v>
      </c>
      <c r="K31" s="12">
        <v>-238.7</v>
      </c>
    </row>
    <row r="32" spans="5:16">
      <c r="H32" s="11" t="s">
        <v>69</v>
      </c>
      <c r="I32" s="12">
        <v>117</v>
      </c>
      <c r="J32" s="11" t="s">
        <v>70</v>
      </c>
      <c r="K32" s="12">
        <v>-233.2</v>
      </c>
    </row>
    <row r="33" spans="8:32">
      <c r="H33" s="11" t="s">
        <v>71</v>
      </c>
      <c r="I33" s="12">
        <v>1</v>
      </c>
      <c r="J33" s="11"/>
      <c r="K33" s="12"/>
    </row>
    <row r="34" spans="8:32" ht="30">
      <c r="H34" s="11" t="s">
        <v>72</v>
      </c>
      <c r="I34" s="12" t="s">
        <v>73</v>
      </c>
      <c r="J34" s="11"/>
      <c r="K34" s="12"/>
      <c r="T34" s="7">
        <f>T31-S31</f>
        <v>0</v>
      </c>
      <c r="U34">
        <v>2024</v>
      </c>
      <c r="V34">
        <v>2025</v>
      </c>
      <c r="W34">
        <v>2026</v>
      </c>
      <c r="X34">
        <v>2027</v>
      </c>
      <c r="Y34">
        <v>2028</v>
      </c>
      <c r="Z34">
        <v>2029</v>
      </c>
      <c r="AA34">
        <v>2030</v>
      </c>
      <c r="AB34">
        <v>2031</v>
      </c>
      <c r="AC34">
        <v>2032</v>
      </c>
      <c r="AD34">
        <v>2033</v>
      </c>
      <c r="AE34">
        <v>2034</v>
      </c>
      <c r="AF34" t="s">
        <v>19</v>
      </c>
    </row>
    <row r="35" spans="8:32">
      <c r="H35" s="12"/>
      <c r="I35" s="11" t="s">
        <v>74</v>
      </c>
      <c r="J35" s="11" t="s">
        <v>75</v>
      </c>
      <c r="K35" s="11" t="s">
        <v>76</v>
      </c>
      <c r="L35" s="11" t="s">
        <v>77</v>
      </c>
      <c r="M35" s="11" t="s">
        <v>78</v>
      </c>
      <c r="N35" s="11" t="s">
        <v>79</v>
      </c>
      <c r="T35" s="7">
        <f>T28+T29-T30-T34+T33</f>
        <v>0</v>
      </c>
      <c r="U35" s="7">
        <f>T35*(1.184565)</f>
        <v>0</v>
      </c>
      <c r="V35" s="7">
        <f t="shared" ref="V35" si="4">U35*(1.184565)</f>
        <v>0</v>
      </c>
      <c r="W35" s="7">
        <f t="shared" ref="W35" si="5">V35*(1.184565)</f>
        <v>0</v>
      </c>
      <c r="X35" s="7">
        <f t="shared" ref="X35" si="6">W35*(1.184565)</f>
        <v>0</v>
      </c>
      <c r="Y35" s="7">
        <f t="shared" ref="Y35" si="7">X35*(1.184565)</f>
        <v>0</v>
      </c>
      <c r="Z35">
        <f>Y35*1.07</f>
        <v>0</v>
      </c>
      <c r="AA35">
        <f t="shared" ref="AA35" si="8">Z35*1.07</f>
        <v>0</v>
      </c>
      <c r="AB35">
        <f t="shared" ref="AB35" si="9">AA35*1.07</f>
        <v>0</v>
      </c>
      <c r="AC35">
        <f t="shared" ref="AC35" si="10">AB35*1.07</f>
        <v>0</v>
      </c>
      <c r="AD35">
        <f t="shared" ref="AD35" si="11">AC35*1.07</f>
        <v>0</v>
      </c>
      <c r="AE35">
        <f>AD35*1.09172348</f>
        <v>0</v>
      </c>
      <c r="AF35" t="e">
        <f>AE35*1.09172348/(Q66-T42)</f>
        <v>#DIV/0!</v>
      </c>
    </row>
    <row r="36" spans="8:32">
      <c r="H36" s="11" t="s">
        <v>80</v>
      </c>
      <c r="I36" s="12">
        <v>2.9999999999999997E-4</v>
      </c>
      <c r="J36" s="12">
        <v>8.0000000000000002E-3</v>
      </c>
      <c r="K36" s="12">
        <v>3.7999999999999999E-2</v>
      </c>
      <c r="L36" s="12">
        <v>0.97</v>
      </c>
      <c r="M36" s="12">
        <v>-1.6E-2</v>
      </c>
      <c r="N36" s="12">
        <v>1.7000000000000001E-2</v>
      </c>
      <c r="T36" t="s">
        <v>43</v>
      </c>
      <c r="U36">
        <f>U35/1.16538</f>
        <v>0</v>
      </c>
      <c r="V36">
        <f>V35/(1.16538)^2</f>
        <v>0</v>
      </c>
      <c r="W36">
        <f>W35/(1.16538)^3</f>
        <v>0</v>
      </c>
      <c r="X36">
        <f>X35/(1.16538)^4</f>
        <v>0</v>
      </c>
      <c r="Y36">
        <f>Y35/(1.16538)^5</f>
        <v>0</v>
      </c>
      <c r="Z36">
        <f>Z35/(1.16538)^6</f>
        <v>0</v>
      </c>
      <c r="AA36">
        <f>AA35/(1.16538)^7</f>
        <v>0</v>
      </c>
      <c r="AB36">
        <f>AB35/(1.16538)^8</f>
        <v>0</v>
      </c>
      <c r="AC36">
        <f>AC35/(1.16538)^9</f>
        <v>0</v>
      </c>
      <c r="AD36">
        <f>AD35/(1.16538)^10</f>
        <v>0</v>
      </c>
      <c r="AE36">
        <f>AE35/(1.16538)^11</f>
        <v>0</v>
      </c>
      <c r="AF36" t="e">
        <f>AF35/(1.16538)^12</f>
        <v>#DIV/0!</v>
      </c>
    </row>
    <row r="37" spans="8:32" ht="30">
      <c r="H37" s="11" t="s">
        <v>81</v>
      </c>
      <c r="I37" s="12">
        <v>1.343</v>
      </c>
      <c r="J37" s="12">
        <v>0.17</v>
      </c>
      <c r="K37" s="12">
        <v>7.8780000000000001</v>
      </c>
      <c r="L37" s="12">
        <v>0</v>
      </c>
      <c r="M37" s="12">
        <v>1.0049999999999999</v>
      </c>
      <c r="N37" s="12">
        <v>1.681</v>
      </c>
    </row>
    <row r="38" spans="8:32">
      <c r="H38" s="11" t="s">
        <v>82</v>
      </c>
      <c r="I38" s="12">
        <v>0.877</v>
      </c>
      <c r="J38" s="11" t="s">
        <v>83</v>
      </c>
      <c r="K38" s="12">
        <v>1.86</v>
      </c>
    </row>
    <row r="39" spans="8:32" ht="30">
      <c r="H39" s="11" t="s">
        <v>84</v>
      </c>
      <c r="I39" s="12">
        <v>0.64500000000000002</v>
      </c>
      <c r="J39" s="11" t="s">
        <v>85</v>
      </c>
      <c r="K39" s="12">
        <v>0.56699999999999995</v>
      </c>
    </row>
    <row r="40" spans="8:32">
      <c r="H40" s="11" t="s">
        <v>86</v>
      </c>
      <c r="I40" s="12">
        <v>0.157</v>
      </c>
      <c r="J40" s="11" t="s">
        <v>87</v>
      </c>
      <c r="K40" s="12">
        <v>0.753</v>
      </c>
    </row>
    <row r="41" spans="8:32">
      <c r="H41" s="11" t="s">
        <v>88</v>
      </c>
      <c r="I41" s="12">
        <v>3.1240000000000001</v>
      </c>
      <c r="J41" s="11" t="s">
        <v>89</v>
      </c>
      <c r="K41" s="12">
        <v>21.1</v>
      </c>
    </row>
    <row r="44" spans="8:32">
      <c r="H44" t="s">
        <v>97</v>
      </c>
      <c r="J44">
        <f>I45+I47*(I46-I45)</f>
        <v>0.16538705000000001</v>
      </c>
    </row>
    <row r="45" spans="8:32">
      <c r="H45" t="s">
        <v>98</v>
      </c>
      <c r="I45">
        <v>7.2249999999999995E-2</v>
      </c>
    </row>
    <row r="46" spans="8:32">
      <c r="H46" t="s">
        <v>99</v>
      </c>
      <c r="I46">
        <v>0.1416</v>
      </c>
    </row>
    <row r="47" spans="8:32">
      <c r="H47" t="s">
        <v>52</v>
      </c>
      <c r="I47">
        <v>1.343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8DE12-DDA5-4C05-B6E7-C494122E33B6}">
  <dimension ref="C2:Z11"/>
  <sheetViews>
    <sheetView workbookViewId="0">
      <selection activeCell="E10" sqref="E10"/>
    </sheetView>
  </sheetViews>
  <sheetFormatPr defaultRowHeight="15"/>
  <cols>
    <col min="4" max="4" width="20.7109375" customWidth="1"/>
    <col min="5" max="5" width="9.28515625" bestFit="1" customWidth="1"/>
    <col min="13" max="13" width="9.28515625" bestFit="1" customWidth="1"/>
  </cols>
  <sheetData>
    <row r="2" spans="3:26">
      <c r="N2">
        <v>2023</v>
      </c>
      <c r="O2">
        <v>2024</v>
      </c>
      <c r="P2">
        <v>2025</v>
      </c>
      <c r="Q2">
        <v>2026</v>
      </c>
      <c r="R2">
        <v>2027</v>
      </c>
      <c r="S2">
        <v>2028</v>
      </c>
      <c r="T2">
        <v>2029</v>
      </c>
      <c r="U2">
        <v>2030</v>
      </c>
      <c r="V2">
        <v>2031</v>
      </c>
      <c r="W2">
        <v>2032</v>
      </c>
      <c r="X2">
        <v>2033</v>
      </c>
      <c r="Y2">
        <v>2034</v>
      </c>
      <c r="Z2">
        <v>2035</v>
      </c>
    </row>
    <row r="3" spans="3:26">
      <c r="D3" t="s">
        <v>100</v>
      </c>
      <c r="E3">
        <v>13.28</v>
      </c>
      <c r="F3">
        <v>7.01</v>
      </c>
      <c r="G3">
        <v>8.36</v>
      </c>
      <c r="H3">
        <v>11.48</v>
      </c>
      <c r="I3">
        <v>16.239999999999998</v>
      </c>
      <c r="M3" t="s">
        <v>101</v>
      </c>
      <c r="N3">
        <v>90</v>
      </c>
      <c r="O3">
        <f>N3*1.075016</f>
        <v>96.751440000000002</v>
      </c>
      <c r="P3">
        <f t="shared" ref="P3:S3" si="0">O3*1.075016</f>
        <v>104.00934602304</v>
      </c>
      <c r="Q3">
        <f t="shared" si="0"/>
        <v>111.81171112430437</v>
      </c>
      <c r="R3">
        <f t="shared" si="0"/>
        <v>120.19937844600518</v>
      </c>
      <c r="S3">
        <f t="shared" si="0"/>
        <v>129.2162550195107</v>
      </c>
      <c r="T3">
        <f>S3*1.081</f>
        <v>139.68277167609105</v>
      </c>
      <c r="U3">
        <f t="shared" ref="U3:X3" si="1">T3*1.081</f>
        <v>150.99707618185442</v>
      </c>
      <c r="V3">
        <f t="shared" si="1"/>
        <v>163.22783935258462</v>
      </c>
      <c r="W3">
        <f t="shared" si="1"/>
        <v>176.44929434014398</v>
      </c>
      <c r="X3">
        <f t="shared" si="1"/>
        <v>190.74168718169562</v>
      </c>
      <c r="Y3">
        <f>X3*1.09542</f>
        <v>208.94225897257303</v>
      </c>
      <c r="Z3">
        <f>Y3*1.09542/(0.148861-0.09542)</f>
        <v>4282.8451811106834</v>
      </c>
    </row>
    <row r="4" spans="3:26">
      <c r="D4" t="s">
        <v>102</v>
      </c>
      <c r="E4">
        <v>77.92</v>
      </c>
      <c r="F4">
        <v>64.95</v>
      </c>
      <c r="G4">
        <v>58.7</v>
      </c>
      <c r="H4">
        <v>57.42</v>
      </c>
      <c r="I4">
        <v>68.400000000000006</v>
      </c>
      <c r="M4" t="s">
        <v>103</v>
      </c>
      <c r="O4">
        <f>O3/M11</f>
        <v>84.215096517333265</v>
      </c>
      <c r="P4">
        <f>P3/M11^2</f>
        <v>78.802027571375064</v>
      </c>
      <c r="Q4">
        <f>Q3/M11^3</f>
        <v>73.73689286316565</v>
      </c>
      <c r="R4">
        <f>R3/M11^4</f>
        <v>68.997328326219517</v>
      </c>
      <c r="S4">
        <f>S3/M11^5</f>
        <v>64.562407382563435</v>
      </c>
      <c r="T4">
        <f>T3/M11^6</f>
        <v>60.748830694532288</v>
      </c>
      <c r="U4">
        <f>U3/M11^7</f>
        <v>57.160514614726594</v>
      </c>
      <c r="V4">
        <f>V3/M11^8</f>
        <v>53.784153434157346</v>
      </c>
      <c r="W4">
        <f>W3/M11^9</f>
        <v>50.607227386362759</v>
      </c>
      <c r="X4">
        <f>X3/M11^10</f>
        <v>47.617956223301285</v>
      </c>
      <c r="Y4">
        <f>Y3/M11^11</f>
        <v>45.402935260339319</v>
      </c>
      <c r="Z4">
        <f>Z3/M11^12</f>
        <v>810.06997125920111</v>
      </c>
    </row>
    <row r="5" spans="3:26">
      <c r="D5" t="s">
        <v>104</v>
      </c>
      <c r="E5">
        <f>E3*E4*0.0001</f>
        <v>0.10347775999999999</v>
      </c>
      <c r="F5">
        <f t="shared" ref="F5:I5" si="2">F3*F4*0.0001</f>
        <v>4.5529950000000007E-2</v>
      </c>
      <c r="G5">
        <f t="shared" si="2"/>
        <v>4.9073199999999997E-2</v>
      </c>
      <c r="H5">
        <f t="shared" si="2"/>
        <v>6.5918160000000003E-2</v>
      </c>
      <c r="I5">
        <f t="shared" si="2"/>
        <v>0.1110816</v>
      </c>
    </row>
    <row r="6" spans="3:26">
      <c r="M6" t="s">
        <v>105</v>
      </c>
      <c r="O6">
        <f>SUM(O4:Z4)</f>
        <v>1495.7053415332775</v>
      </c>
    </row>
    <row r="7" spans="3:26">
      <c r="C7" t="s">
        <v>106</v>
      </c>
      <c r="D7">
        <f>AVERAGE(E5:I5)</f>
        <v>7.5016133999999998E-2</v>
      </c>
    </row>
    <row r="10" spans="3:26">
      <c r="C10" t="s">
        <v>107</v>
      </c>
      <c r="E10">
        <v>0.14886099999999999</v>
      </c>
    </row>
    <row r="11" spans="3:26">
      <c r="M11">
        <v>1.1488609999999999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E4743-CD73-46B2-81A2-591CFFD4CA51}">
  <dimension ref="A1:F11"/>
  <sheetViews>
    <sheetView workbookViewId="0">
      <selection activeCell="F13" sqref="F13"/>
    </sheetView>
  </sheetViews>
  <sheetFormatPr defaultRowHeight="15"/>
  <cols>
    <col min="3" max="3" width="10.85546875" customWidth="1"/>
  </cols>
  <sheetData>
    <row r="1" spans="1:6">
      <c r="A1" t="s">
        <v>108</v>
      </c>
    </row>
    <row r="4" spans="1:6">
      <c r="C4" t="s">
        <v>109</v>
      </c>
      <c r="D4" t="s">
        <v>110</v>
      </c>
      <c r="E4" t="s">
        <v>111</v>
      </c>
      <c r="F4" t="s">
        <v>112</v>
      </c>
    </row>
    <row r="5" spans="1:6">
      <c r="B5" t="s">
        <v>113</v>
      </c>
      <c r="C5">
        <v>23.05</v>
      </c>
      <c r="D5">
        <v>2.9</v>
      </c>
      <c r="E5">
        <v>6.86</v>
      </c>
      <c r="F5">
        <v>38.549999999999997</v>
      </c>
    </row>
    <row r="6" spans="1:6">
      <c r="B6" t="s">
        <v>114</v>
      </c>
      <c r="C6">
        <v>15.85</v>
      </c>
      <c r="D6">
        <v>0.91</v>
      </c>
      <c r="E6">
        <v>3.41</v>
      </c>
      <c r="F6">
        <v>31.85</v>
      </c>
    </row>
    <row r="7" spans="1:6">
      <c r="B7" t="s">
        <v>115</v>
      </c>
      <c r="C7">
        <v>8.07</v>
      </c>
      <c r="D7">
        <v>1.84</v>
      </c>
      <c r="E7">
        <v>7.18</v>
      </c>
      <c r="F7" t="s">
        <v>116</v>
      </c>
    </row>
    <row r="8" spans="1:6">
      <c r="C8">
        <f>AVERAGE(C5:C7)</f>
        <v>15.656666666666666</v>
      </c>
      <c r="D8">
        <f>AVERAGE(D5:D7)</f>
        <v>1.8833333333333335</v>
      </c>
      <c r="E8">
        <f>AVERAGE(E5:E7)</f>
        <v>5.8166666666666664</v>
      </c>
      <c r="F8">
        <f>AVERAGE(F5:F7)</f>
        <v>35.200000000000003</v>
      </c>
    </row>
    <row r="9" spans="1:6">
      <c r="B9" t="s">
        <v>117</v>
      </c>
      <c r="C9">
        <v>4.5</v>
      </c>
      <c r="D9">
        <v>1.92</v>
      </c>
      <c r="E9" t="s">
        <v>118</v>
      </c>
      <c r="F9">
        <v>39.74</v>
      </c>
    </row>
    <row r="11" spans="1:6">
      <c r="A11" t="s">
        <v>119</v>
      </c>
      <c r="C11">
        <f>C8*(3.73)*12223095238/1000000</f>
        <v>713821.02060554922</v>
      </c>
      <c r="D11">
        <f>D8*70.9*12223095238/1000000</f>
        <v>1632129.5353047436</v>
      </c>
      <c r="E11">
        <f>2433530*E8</f>
        <v>14155032.833333332</v>
      </c>
      <c r="F11">
        <f>167710*F8</f>
        <v>5903392.0000000009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C14F-9E89-4883-8FB4-769DD2C8E5E6}">
  <dimension ref="A1:F14"/>
  <sheetViews>
    <sheetView workbookViewId="0">
      <selection activeCell="C12" sqref="C12"/>
    </sheetView>
  </sheetViews>
  <sheetFormatPr defaultRowHeight="15"/>
  <cols>
    <col min="3" max="3" width="9.85546875" bestFit="1" customWidth="1"/>
    <col min="5" max="5" width="9.85546875" bestFit="1" customWidth="1"/>
  </cols>
  <sheetData>
    <row r="1" spans="1:6">
      <c r="A1" t="s">
        <v>120</v>
      </c>
    </row>
    <row r="3" spans="1:6">
      <c r="C3" t="s">
        <v>109</v>
      </c>
      <c r="D3" t="s">
        <v>110</v>
      </c>
      <c r="E3" t="s">
        <v>111</v>
      </c>
      <c r="F3" t="s">
        <v>112</v>
      </c>
    </row>
    <row r="4" spans="1:6">
      <c r="B4" t="s">
        <v>121</v>
      </c>
      <c r="C4">
        <v>19.649999999999999</v>
      </c>
      <c r="D4">
        <v>5.57</v>
      </c>
      <c r="E4">
        <v>3.19</v>
      </c>
      <c r="F4">
        <v>20.82</v>
      </c>
    </row>
    <row r="5" spans="1:6">
      <c r="B5" t="s">
        <v>122</v>
      </c>
      <c r="C5" s="15">
        <v>23.23</v>
      </c>
      <c r="D5">
        <v>3.2</v>
      </c>
      <c r="E5">
        <v>1.64</v>
      </c>
      <c r="F5">
        <v>10.7</v>
      </c>
    </row>
    <row r="6" spans="1:6">
      <c r="B6" t="s">
        <v>123</v>
      </c>
      <c r="C6">
        <v>22.26</v>
      </c>
      <c r="D6">
        <v>6.5</v>
      </c>
      <c r="E6">
        <v>3.81</v>
      </c>
      <c r="F6">
        <v>24.61</v>
      </c>
    </row>
    <row r="7" spans="1:6">
      <c r="B7" t="s">
        <v>124</v>
      </c>
      <c r="C7">
        <f>AVERAGE(C4:C6)</f>
        <v>21.713333333333335</v>
      </c>
      <c r="D7">
        <f>AVERAGE(D4:D6)</f>
        <v>5.09</v>
      </c>
      <c r="E7">
        <f>AVERAGE(E4:E6)</f>
        <v>2.8800000000000003</v>
      </c>
      <c r="F7">
        <f>AVERAGE(F4:F6)</f>
        <v>18.709999999999997</v>
      </c>
    </row>
    <row r="8" spans="1:6">
      <c r="B8" t="s">
        <v>125</v>
      </c>
      <c r="C8">
        <v>27.41</v>
      </c>
      <c r="D8">
        <v>4.92</v>
      </c>
      <c r="E8">
        <v>10.08</v>
      </c>
      <c r="F8">
        <v>58.44</v>
      </c>
    </row>
    <row r="10" spans="1:6">
      <c r="C10" t="s">
        <v>126</v>
      </c>
      <c r="D10" t="s">
        <v>127</v>
      </c>
      <c r="E10" t="s">
        <v>128</v>
      </c>
      <c r="F10" t="s">
        <v>129</v>
      </c>
    </row>
    <row r="11" spans="1:6" ht="15.75">
      <c r="B11" t="s">
        <v>130</v>
      </c>
      <c r="C11" s="16">
        <v>93316</v>
      </c>
      <c r="D11">
        <f>2046*(314392157)/10^6</f>
        <v>643246.35322199995</v>
      </c>
      <c r="E11" s="10">
        <v>1125000</v>
      </c>
      <c r="F11" s="17">
        <v>133350</v>
      </c>
    </row>
    <row r="12" spans="1:6">
      <c r="A12" t="s">
        <v>119</v>
      </c>
      <c r="C12">
        <f>C11*C4</f>
        <v>1833659.4</v>
      </c>
      <c r="D12">
        <f t="shared" ref="D12:F12" si="0">D11*D4</f>
        <v>3582882.1874465398</v>
      </c>
      <c r="E12">
        <f t="shared" si="0"/>
        <v>3588750</v>
      </c>
      <c r="F12">
        <f t="shared" si="0"/>
        <v>2776347</v>
      </c>
    </row>
    <row r="14" spans="1:6">
      <c r="A14" t="s">
        <v>131</v>
      </c>
      <c r="C14" s="10">
        <v>2516160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32F11-4297-4A87-8BF7-3602F9CF610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F278-6D30-4A09-8375-A19D05FF03C5}">
  <dimension ref="C2:W16"/>
  <sheetViews>
    <sheetView workbookViewId="0">
      <selection activeCell="M21" sqref="M21"/>
    </sheetView>
  </sheetViews>
  <sheetFormatPr defaultRowHeight="15"/>
  <cols>
    <col min="3" max="3" width="17.28515625" customWidth="1"/>
  </cols>
  <sheetData>
    <row r="2" spans="3:23">
      <c r="C2" t="s">
        <v>100</v>
      </c>
      <c r="D2">
        <v>8.49</v>
      </c>
      <c r="E2">
        <v>35.08</v>
      </c>
      <c r="F2">
        <v>10.19</v>
      </c>
      <c r="G2">
        <v>2.1800000000000002</v>
      </c>
      <c r="H2">
        <v>15.33</v>
      </c>
    </row>
    <row r="3" spans="3:23">
      <c r="C3" t="s">
        <v>132</v>
      </c>
      <c r="D3">
        <v>28.91</v>
      </c>
      <c r="E3">
        <v>92.51</v>
      </c>
      <c r="F3">
        <v>84.71</v>
      </c>
      <c r="G3">
        <v>4.3899999999999997</v>
      </c>
      <c r="H3">
        <v>88.79</v>
      </c>
    </row>
    <row r="4" spans="3:23">
      <c r="C4" t="s">
        <v>133</v>
      </c>
      <c r="D4">
        <f>D2*D3*0.0001</f>
        <v>2.4544590000000002E-2</v>
      </c>
      <c r="E4">
        <f t="shared" ref="E4:H4" si="0">E2*E3*0.0001</f>
        <v>0.32452508000000002</v>
      </c>
      <c r="F4">
        <f t="shared" si="0"/>
        <v>8.6319489999999985E-2</v>
      </c>
      <c r="G4">
        <f t="shared" si="0"/>
        <v>9.5702000000000005E-4</v>
      </c>
      <c r="H4">
        <f t="shared" si="0"/>
        <v>0.13611507000000003</v>
      </c>
    </row>
    <row r="6" spans="3:23">
      <c r="C6" t="s">
        <v>106</v>
      </c>
      <c r="E6">
        <f>AVERAGE(D4:H4)</f>
        <v>0.11449225</v>
      </c>
    </row>
    <row r="9" spans="3:23">
      <c r="K9">
        <v>2023</v>
      </c>
      <c r="L9">
        <v>2024</v>
      </c>
      <c r="M9">
        <v>2025</v>
      </c>
      <c r="N9">
        <v>2026</v>
      </c>
      <c r="O9">
        <v>2027</v>
      </c>
      <c r="P9">
        <v>2028</v>
      </c>
      <c r="Q9">
        <v>2029</v>
      </c>
      <c r="R9">
        <v>2030</v>
      </c>
      <c r="S9">
        <v>2031</v>
      </c>
      <c r="T9">
        <v>2032</v>
      </c>
      <c r="U9">
        <v>2033</v>
      </c>
      <c r="V9">
        <v>2034</v>
      </c>
      <c r="W9" t="s">
        <v>19</v>
      </c>
    </row>
    <row r="10" spans="3:23">
      <c r="K10">
        <v>3.6</v>
      </c>
      <c r="L10">
        <f>K10*1.114492</f>
        <v>4.0121712</v>
      </c>
      <c r="M10">
        <f t="shared" ref="M10:P10" si="1">L10*1.114492</f>
        <v>4.4715327050304001</v>
      </c>
      <c r="N10">
        <f t="shared" si="1"/>
        <v>4.9834874274947412</v>
      </c>
      <c r="O10">
        <f t="shared" si="1"/>
        <v>5.5540568700434694</v>
      </c>
      <c r="P10">
        <f t="shared" si="1"/>
        <v>6.1899519492084867</v>
      </c>
      <c r="Q10">
        <f>1.07*P10</f>
        <v>6.6232485856530809</v>
      </c>
      <c r="R10">
        <f t="shared" ref="R10:U10" si="2">1.07*Q10</f>
        <v>7.0868759866487974</v>
      </c>
      <c r="S10">
        <f t="shared" si="2"/>
        <v>7.5829573057142134</v>
      </c>
      <c r="T10">
        <f t="shared" si="2"/>
        <v>8.1137643171142084</v>
      </c>
      <c r="U10">
        <f t="shared" si="2"/>
        <v>8.6817278193122043</v>
      </c>
      <c r="V10">
        <f>U10*1.0917278</f>
        <v>9.4780836123765102</v>
      </c>
      <c r="W10">
        <f>V10*1.091728/(O16-0.091728)</f>
        <v>140.4916263777302</v>
      </c>
    </row>
    <row r="11" spans="3:23">
      <c r="J11" t="s">
        <v>134</v>
      </c>
      <c r="L11">
        <f>L10/J16</f>
        <v>3.4428008031714974</v>
      </c>
      <c r="M11">
        <f>M10/J16^2</f>
        <v>3.2924659361995303</v>
      </c>
      <c r="N11">
        <f>N10/J16^3</f>
        <v>3.1486956582118166</v>
      </c>
      <c r="O11">
        <f>O10/J16^4</f>
        <v>3.0112033169539583</v>
      </c>
      <c r="P11">
        <f>P10/J16^5</f>
        <v>2.8797147772560461</v>
      </c>
      <c r="Q11">
        <f>Q10/J16^6</f>
        <v>2.6440258213320713</v>
      </c>
      <c r="R11">
        <f>R10/J16^7</f>
        <v>2.4276267216060998</v>
      </c>
      <c r="S11">
        <f>S10/J16^8</f>
        <v>2.2289387085058325</v>
      </c>
      <c r="T11">
        <f>T10/J16^9</f>
        <v>2.046512226141894</v>
      </c>
      <c r="U11">
        <f>U10/J16^10</f>
        <v>1.8790163568722877</v>
      </c>
      <c r="V11">
        <f>V10/J16^11</f>
        <v>1.7602622264430465</v>
      </c>
      <c r="W11">
        <f>W10/J16^12</f>
        <v>22.389258647412678</v>
      </c>
    </row>
    <row r="13" spans="3:23">
      <c r="J13" t="s">
        <v>105</v>
      </c>
      <c r="K13">
        <f>SUM(L11:W11)</f>
        <v>51.150521200106759</v>
      </c>
    </row>
    <row r="16" spans="3:23">
      <c r="J16">
        <v>1.1653800000000001</v>
      </c>
      <c r="N16" t="s">
        <v>135</v>
      </c>
      <c r="O16">
        <v>0.16538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2024-04-19T08:21:33Z</dcterms:created>
  <dcterms:modified xsi:type="dcterms:W3CDTF">2024-04-21T18:43:33Z</dcterms:modified>
  <cp:category/>
  <cp:contentStatus/>
</cp:coreProperties>
</file>