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Ex1.xml" ContentType="application/vnd.ms-office.chartex+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https://sealeadline-my.sharepoint.com/personal/vishva_j_sea-lead_com/Documents/Desktop/new dash file/"/>
    </mc:Choice>
  </mc:AlternateContent>
  <xr:revisionPtr revIDLastSave="1085" documentId="13_ncr:1_{6A8B99C2-FF27-46DE-A9E6-A93718D3991D}" xr6:coauthVersionLast="47" xr6:coauthVersionMax="47" xr10:uidLastSave="{E3B232F3-C0D8-4B64-A813-A1B72C6A5BD7}"/>
  <bookViews>
    <workbookView xWindow="-108" yWindow="-108" windowWidth="23256" windowHeight="12456" activeTab="1" xr2:uid="{802076A0-3DC9-40A4-A8C4-FD065E894C64}"/>
  </bookViews>
  <sheets>
    <sheet name="Sheet2" sheetId="2" r:id="rId1"/>
    <sheet name="Dash" sheetId="9" r:id="rId2"/>
    <sheet name="ar" sheetId="5" r:id="rId3"/>
    <sheet name="Sheet5" sheetId="7" r:id="rId4"/>
    <sheet name="data" sheetId="1" r:id="rId5"/>
    <sheet name="Sheet1" sheetId="8" r:id="rId6"/>
  </sheets>
  <definedNames>
    <definedName name="_xlnm._FilterDatabase" localSheetId="4" hidden="1">data!$A$1:$L$410</definedName>
    <definedName name="_xlchart.v1.0" hidden="1">Sheet2!$L$116:$L$128</definedName>
    <definedName name="_xlchart.v1.1" hidden="1">Sheet2!$M$115</definedName>
    <definedName name="_xlchart.v1.2" hidden="1">Sheet2!$M$116:$M$128</definedName>
    <definedName name="Slicer_Months">#N/A</definedName>
    <definedName name="Slicer_Months1">#N/A</definedName>
    <definedName name="Slicer_Months2">#N/A</definedName>
    <definedName name="Slicer_TAT2">#N/A</definedName>
    <definedName name="Slicer_TAT21">#N/A</definedName>
    <definedName name="Slicer_TAT22">#N/A</definedName>
    <definedName name="Slicer_User_name">#N/A</definedName>
  </definedNames>
  <calcPr calcId="191029"/>
  <pivotCaches>
    <pivotCache cacheId="0" r:id="rId7"/>
    <pivotCache cacheId="1" r:id="rId8"/>
    <pivotCache cacheId="2" r:id="rId9"/>
    <pivotCache cacheId="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L118" i="2" l="1"/>
  <c r="M118" i="2" s="1"/>
  <c r="L119" i="2"/>
  <c r="M119" i="2" s="1"/>
  <c r="L120" i="2"/>
  <c r="M120" i="2" s="1"/>
  <c r="L121" i="2"/>
  <c r="M121" i="2" s="1"/>
  <c r="L122" i="2"/>
  <c r="M122" i="2" s="1"/>
  <c r="L123" i="2"/>
  <c r="M123" i="2" s="1"/>
  <c r="L124" i="2"/>
  <c r="M124" i="2" s="1"/>
  <c r="L125" i="2"/>
  <c r="M125" i="2" s="1"/>
  <c r="L126" i="2"/>
  <c r="M126" i="2" s="1"/>
  <c r="L127" i="2"/>
  <c r="M127" i="2" s="1"/>
  <c r="L128" i="2"/>
  <c r="M128" i="2" s="1"/>
  <c r="L117" i="2"/>
  <c r="M117" i="2" s="1"/>
  <c r="L116" i="2"/>
  <c r="M116" i="2" s="1"/>
  <c r="L60" i="2"/>
  <c r="L50" i="2"/>
  <c r="L49" i="2"/>
  <c r="H10" i="2"/>
  <c r="F88" i="1" l="1"/>
  <c r="E78" i="1"/>
  <c r="F78" i="1" s="1"/>
  <c r="D5" i="7"/>
  <c r="C21" i="7"/>
  <c r="C20" i="7"/>
  <c r="J3" i="5"/>
  <c r="D4" i="5"/>
  <c r="D6" i="7"/>
  <c r="L69" i="2"/>
  <c r="L65" i="2"/>
  <c r="E117" i="2"/>
  <c r="L56" i="2"/>
  <c r="E114" i="2"/>
  <c r="L53" i="2"/>
  <c r="L64" i="2"/>
  <c r="D128" i="2"/>
  <c r="L72" i="2"/>
  <c r="L57" i="2"/>
  <c r="L46" i="2"/>
  <c r="L45" i="2"/>
  <c r="E119" i="2"/>
  <c r="D127" i="2"/>
  <c r="L68" i="2"/>
  <c r="L61" i="2"/>
  <c r="E115" i="2"/>
  <c r="E116" i="2"/>
  <c r="E118" i="2"/>
  <c r="D20" i="7" l="1"/>
  <c r="D21" i="7"/>
  <c r="M45" i="2"/>
  <c r="E121" i="2"/>
  <c r="E127" i="2"/>
  <c r="M60" i="2"/>
  <c r="M53" i="2"/>
  <c r="M46" i="2"/>
  <c r="M49" i="2"/>
  <c r="M50" i="2"/>
  <c r="M56" i="2"/>
  <c r="M57" i="2"/>
  <c r="M61" i="2"/>
  <c r="M64" i="2"/>
  <c r="M65" i="2"/>
  <c r="M68" i="2"/>
  <c r="M72" i="2"/>
  <c r="M69" i="2"/>
  <c r="E5" i="7"/>
  <c r="E6" i="7"/>
  <c r="L77" i="2" l="1"/>
  <c r="L78" i="2"/>
  <c r="L79" i="2"/>
  <c r="L80" i="2"/>
  <c r="L81" i="2"/>
  <c r="L76" i="2"/>
  <c r="M76" i="2" s="1"/>
  <c r="O76" i="2" s="1"/>
  <c r="F12" i="7"/>
  <c r="F11" i="7"/>
  <c r="J4" i="5"/>
  <c r="H12" i="5"/>
  <c r="K3" i="5" l="1"/>
  <c r="K4" i="5"/>
  <c r="N4" i="5" s="1"/>
  <c r="P11" i="5" s="1"/>
  <c r="P21" i="5" s="1"/>
  <c r="F14" i="7"/>
  <c r="I12" i="7" s="1"/>
  <c r="K13" i="7" s="1"/>
  <c r="K15" i="7" s="1"/>
  <c r="H13" i="5"/>
  <c r="H15" i="5" s="1"/>
  <c r="T12" i="5" s="1"/>
  <c r="W11" i="5" s="1"/>
  <c r="W13" i="5" s="1"/>
  <c r="N3" i="5" l="1"/>
  <c r="P10" i="5" s="1"/>
  <c r="K5" i="5"/>
  <c r="N6" i="5"/>
  <c r="P13" i="5" s="1"/>
  <c r="P23" i="5" s="1"/>
  <c r="N5" i="5" l="1"/>
  <c r="H4" i="2"/>
  <c r="Q23" i="2"/>
  <c r="F10" i="2"/>
  <c r="F46" i="2"/>
  <c r="F48" i="2"/>
  <c r="J24" i="2"/>
  <c r="F6" i="2"/>
  <c r="F3" i="2"/>
  <c r="F42" i="2"/>
  <c r="F4" i="2"/>
  <c r="F41" i="2"/>
  <c r="G26" i="2"/>
  <c r="F40" i="2"/>
  <c r="F47" i="2"/>
  <c r="G30" i="2"/>
  <c r="G27" i="2"/>
  <c r="F67" i="2"/>
  <c r="F39" i="2"/>
  <c r="G29" i="2"/>
  <c r="F7" i="2"/>
  <c r="J16" i="2"/>
  <c r="F68" i="2"/>
  <c r="G28" i="2"/>
  <c r="F45" i="2"/>
  <c r="G25" i="2"/>
  <c r="F5" i="2"/>
  <c r="F8" i="2"/>
  <c r="F44" i="2"/>
  <c r="F43" i="2"/>
  <c r="I4" i="2"/>
  <c r="F71" i="2" l="1"/>
  <c r="J17" i="2"/>
  <c r="J19" i="2" s="1"/>
  <c r="N10" i="5" a="1"/>
  <c r="N10" i="5" s="1"/>
  <c r="N20" i="5" s="1" a="1"/>
  <c r="N20" i="5" s="1"/>
  <c r="N25" i="5" s="1"/>
  <c r="P12" i="5"/>
  <c r="P22" i="5" s="1"/>
  <c r="P25" i="5" s="1"/>
  <c r="O6" i="5"/>
  <c r="O5" i="5"/>
  <c r="J25" i="2"/>
  <c r="J27" i="2" s="1"/>
  <c r="Q24" i="2"/>
  <c r="Q26" i="2" s="1"/>
  <c r="S24" i="2" s="1"/>
  <c r="J32" i="2" l="1"/>
  <c r="M17" i="2"/>
  <c r="P16" i="2" s="1"/>
  <c r="P18" i="2" s="1"/>
  <c r="Q31" i="2"/>
  <c r="Q33" i="2" s="1"/>
  <c r="E4" i="2"/>
  <c r="E5" i="2"/>
  <c r="E6" i="2"/>
  <c r="E7" i="2"/>
  <c r="E8" i="2"/>
  <c r="E9" i="2"/>
  <c r="E10" i="2"/>
  <c r="E11" i="2"/>
  <c r="E3" i="2"/>
  <c r="F410" i="1"/>
  <c r="E410" i="1"/>
  <c r="F350" i="1" s="1"/>
  <c r="F409" i="1"/>
  <c r="E409" i="1"/>
  <c r="F349" i="1" s="1"/>
  <c r="F408" i="1"/>
  <c r="E408" i="1"/>
  <c r="F348" i="1" s="1"/>
  <c r="F407" i="1"/>
  <c r="E407" i="1"/>
  <c r="F347" i="1" s="1"/>
  <c r="F406" i="1"/>
  <c r="E406" i="1"/>
  <c r="F346" i="1" s="1"/>
  <c r="F405" i="1"/>
  <c r="E405" i="1"/>
  <c r="F345" i="1" s="1"/>
  <c r="F404" i="1"/>
  <c r="E404" i="1"/>
  <c r="F344" i="1" s="1"/>
  <c r="F403" i="1"/>
  <c r="E403" i="1"/>
  <c r="F343" i="1" s="1"/>
  <c r="F402" i="1"/>
  <c r="E402" i="1"/>
  <c r="F342" i="1" s="1"/>
  <c r="F401" i="1"/>
  <c r="E401" i="1"/>
  <c r="F400" i="1"/>
  <c r="E400" i="1"/>
  <c r="F340" i="1" s="1"/>
  <c r="F399" i="1"/>
  <c r="E399" i="1"/>
  <c r="F339" i="1" s="1"/>
  <c r="F398" i="1"/>
  <c r="E398" i="1"/>
  <c r="F397" i="1"/>
  <c r="E397" i="1"/>
  <c r="F396" i="1"/>
  <c r="E396" i="1"/>
  <c r="F336" i="1" s="1"/>
  <c r="F395" i="1"/>
  <c r="E395" i="1"/>
  <c r="F335" i="1" s="1"/>
  <c r="F394" i="1"/>
  <c r="E394" i="1"/>
  <c r="F334" i="1" s="1"/>
  <c r="F393" i="1"/>
  <c r="E393" i="1"/>
  <c r="F333" i="1" s="1"/>
  <c r="F392" i="1"/>
  <c r="E392" i="1"/>
  <c r="F332" i="1" s="1"/>
  <c r="F391" i="1"/>
  <c r="E391" i="1"/>
  <c r="F390" i="1"/>
  <c r="E390" i="1"/>
  <c r="F389" i="1"/>
  <c r="E389" i="1"/>
  <c r="F330" i="1" s="1"/>
  <c r="F388" i="1"/>
  <c r="E388" i="1"/>
  <c r="F387" i="1"/>
  <c r="E387" i="1"/>
  <c r="F386" i="1"/>
  <c r="E386" i="1"/>
  <c r="F385" i="1"/>
  <c r="E385" i="1"/>
  <c r="F326" i="1" s="1"/>
  <c r="F384" i="1"/>
  <c r="E384" i="1"/>
  <c r="F325" i="1" s="1"/>
  <c r="F383" i="1"/>
  <c r="E383" i="1"/>
  <c r="F382" i="1"/>
  <c r="E382" i="1"/>
  <c r="F381" i="1"/>
  <c r="E381" i="1"/>
  <c r="F322" i="1" s="1"/>
  <c r="F380" i="1"/>
  <c r="E380" i="1"/>
  <c r="F379" i="1"/>
  <c r="E379" i="1"/>
  <c r="F378" i="1"/>
  <c r="E378" i="1"/>
  <c r="F377" i="1"/>
  <c r="E377" i="1"/>
  <c r="F318" i="1" s="1"/>
  <c r="F376" i="1"/>
  <c r="E376" i="1"/>
  <c r="F375" i="1"/>
  <c r="E375" i="1"/>
  <c r="F316" i="1" s="1"/>
  <c r="F374" i="1"/>
  <c r="E374" i="1"/>
  <c r="F315" i="1" s="1"/>
  <c r="F373" i="1"/>
  <c r="E373" i="1"/>
  <c r="F314" i="1" s="1"/>
  <c r="F372" i="1"/>
  <c r="E372" i="1"/>
  <c r="F371" i="1"/>
  <c r="E371" i="1"/>
  <c r="F312" i="1" s="1"/>
  <c r="F370" i="1"/>
  <c r="E370" i="1"/>
  <c r="F369" i="1"/>
  <c r="E369" i="1"/>
  <c r="F368" i="1"/>
  <c r="E368" i="1"/>
  <c r="F367" i="1"/>
  <c r="E367" i="1"/>
  <c r="F308" i="1" s="1"/>
  <c r="F366" i="1"/>
  <c r="E366" i="1"/>
  <c r="F365" i="1"/>
  <c r="E365" i="1"/>
  <c r="F364" i="1"/>
  <c r="E364" i="1"/>
  <c r="F363" i="1"/>
  <c r="E363" i="1"/>
  <c r="F304" i="1" s="1"/>
  <c r="F362" i="1"/>
  <c r="E362" i="1"/>
  <c r="F361" i="1"/>
  <c r="E361" i="1"/>
  <c r="F302" i="1" s="1"/>
  <c r="F360" i="1"/>
  <c r="E360" i="1"/>
  <c r="F359" i="1"/>
  <c r="E359" i="1"/>
  <c r="F310" i="1" s="1"/>
  <c r="F358" i="1"/>
  <c r="E358" i="1"/>
  <c r="F299" i="1" s="1"/>
  <c r="F357" i="1"/>
  <c r="E357" i="1"/>
  <c r="F356" i="1"/>
  <c r="E356" i="1"/>
  <c r="F307" i="1" s="1"/>
  <c r="F355" i="1"/>
  <c r="E355" i="1"/>
  <c r="F296" i="1" s="1"/>
  <c r="F354" i="1"/>
  <c r="E354" i="1"/>
  <c r="F353" i="1"/>
  <c r="E353" i="1"/>
  <c r="F294" i="1" s="1"/>
  <c r="F352" i="1"/>
  <c r="E352" i="1"/>
  <c r="B352" i="1"/>
  <c r="A352" i="1"/>
  <c r="F351" i="1"/>
  <c r="E351" i="1"/>
  <c r="F292" i="1" s="1"/>
  <c r="B351" i="1"/>
  <c r="A351" i="1"/>
  <c r="E350" i="1"/>
  <c r="F291" i="1" s="1"/>
  <c r="B350" i="1"/>
  <c r="A350" i="1"/>
  <c r="E349" i="1"/>
  <c r="F290" i="1" s="1"/>
  <c r="B349" i="1"/>
  <c r="A349" i="1"/>
  <c r="E348" i="1"/>
  <c r="F289" i="1" s="1"/>
  <c r="B348" i="1"/>
  <c r="A348" i="1"/>
  <c r="E347" i="1"/>
  <c r="F288" i="1" s="1"/>
  <c r="B347" i="1"/>
  <c r="A347" i="1"/>
  <c r="E346" i="1"/>
  <c r="F287" i="1" s="1"/>
  <c r="B346" i="1"/>
  <c r="A346" i="1"/>
  <c r="E345" i="1"/>
  <c r="F286" i="1" s="1"/>
  <c r="B345" i="1"/>
  <c r="A345" i="1"/>
  <c r="E344" i="1"/>
  <c r="F285" i="1" s="1"/>
  <c r="B344" i="1"/>
  <c r="A344" i="1"/>
  <c r="E343" i="1"/>
  <c r="F284" i="1" s="1"/>
  <c r="B343" i="1"/>
  <c r="A343" i="1"/>
  <c r="E342" i="1"/>
  <c r="B342" i="1"/>
  <c r="A342" i="1"/>
  <c r="E341" i="1"/>
  <c r="F341" i="1" s="1"/>
  <c r="B341" i="1"/>
  <c r="A341" i="1"/>
  <c r="E340" i="1"/>
  <c r="B340" i="1"/>
  <c r="A340" i="1"/>
  <c r="E339" i="1"/>
  <c r="B339" i="1"/>
  <c r="A339" i="1"/>
  <c r="E338" i="1"/>
  <c r="F338" i="1" s="1"/>
  <c r="B338" i="1"/>
  <c r="A338" i="1"/>
  <c r="E337" i="1"/>
  <c r="F337" i="1" s="1"/>
  <c r="B337" i="1"/>
  <c r="A337" i="1"/>
  <c r="E336" i="1"/>
  <c r="B336" i="1"/>
  <c r="A336" i="1"/>
  <c r="E335" i="1"/>
  <c r="B335" i="1"/>
  <c r="A335" i="1"/>
  <c r="E334" i="1"/>
  <c r="B334" i="1"/>
  <c r="A334" i="1"/>
  <c r="E333" i="1"/>
  <c r="B333" i="1"/>
  <c r="A333" i="1"/>
  <c r="E332" i="1"/>
  <c r="B332" i="1"/>
  <c r="A332" i="1"/>
  <c r="E331" i="1"/>
  <c r="F331" i="1" s="1"/>
  <c r="E330" i="1"/>
  <c r="E329" i="1"/>
  <c r="F329" i="1" s="1"/>
  <c r="E328" i="1"/>
  <c r="F328" i="1" s="1"/>
  <c r="E327" i="1"/>
  <c r="F327" i="1" s="1"/>
  <c r="E326" i="1"/>
  <c r="E325" i="1"/>
  <c r="E324" i="1"/>
  <c r="F324" i="1" s="1"/>
  <c r="E323" i="1"/>
  <c r="F323" i="1" s="1"/>
  <c r="E322" i="1"/>
  <c r="E321" i="1"/>
  <c r="E320" i="1"/>
  <c r="E319" i="1"/>
  <c r="E318" i="1"/>
  <c r="F260" i="1" s="1"/>
  <c r="E317" i="1"/>
  <c r="E316" i="1"/>
  <c r="F258" i="1" s="1"/>
  <c r="E315" i="1"/>
  <c r="F257" i="1" s="1"/>
  <c r="E314" i="1"/>
  <c r="F256" i="1" s="1"/>
  <c r="E313" i="1"/>
  <c r="E312" i="1"/>
  <c r="F254" i="1" s="1"/>
  <c r="E311" i="1"/>
  <c r="E310" i="1"/>
  <c r="F252" i="1" s="1"/>
  <c r="E309" i="1"/>
  <c r="F251" i="1" s="1"/>
  <c r="E308" i="1"/>
  <c r="F250" i="1" s="1"/>
  <c r="E307" i="1"/>
  <c r="F249" i="1" s="1"/>
  <c r="E306" i="1"/>
  <c r="E305" i="1"/>
  <c r="E304" i="1"/>
  <c r="F246" i="1" s="1"/>
  <c r="E303" i="1"/>
  <c r="E302" i="1"/>
  <c r="F244" i="1" s="1"/>
  <c r="E301" i="1"/>
  <c r="F243" i="1" s="1"/>
  <c r="E300" i="1"/>
  <c r="E299" i="1"/>
  <c r="F241" i="1" s="1"/>
  <c r="E298" i="1"/>
  <c r="E297" i="1"/>
  <c r="B297" i="1"/>
  <c r="A297" i="1"/>
  <c r="E296" i="1"/>
  <c r="F238" i="1" s="1"/>
  <c r="B296" i="1"/>
  <c r="A296" i="1"/>
  <c r="E295" i="1"/>
  <c r="B295" i="1"/>
  <c r="A295" i="1"/>
  <c r="E294" i="1"/>
  <c r="F236" i="1" s="1"/>
  <c r="B294" i="1"/>
  <c r="A294" i="1"/>
  <c r="E293" i="1"/>
  <c r="B293" i="1"/>
  <c r="A293" i="1"/>
  <c r="E292" i="1"/>
  <c r="F234" i="1" s="1"/>
  <c r="B292" i="1"/>
  <c r="A292" i="1"/>
  <c r="E291" i="1"/>
  <c r="F233" i="1" s="1"/>
  <c r="B291" i="1"/>
  <c r="A291" i="1"/>
  <c r="E290" i="1"/>
  <c r="F232" i="1" s="1"/>
  <c r="B290" i="1"/>
  <c r="A290" i="1"/>
  <c r="E289" i="1"/>
  <c r="F231" i="1" s="1"/>
  <c r="B289" i="1"/>
  <c r="A289" i="1"/>
  <c r="E288" i="1"/>
  <c r="F230" i="1" s="1"/>
  <c r="B288" i="1"/>
  <c r="A288" i="1"/>
  <c r="E287" i="1"/>
  <c r="F229" i="1" s="1"/>
  <c r="B287" i="1"/>
  <c r="A287" i="1"/>
  <c r="E286" i="1"/>
  <c r="F228" i="1" s="1"/>
  <c r="B286" i="1"/>
  <c r="A286" i="1"/>
  <c r="E285" i="1"/>
  <c r="F227" i="1" s="1"/>
  <c r="B285" i="1"/>
  <c r="A285" i="1"/>
  <c r="E284" i="1"/>
  <c r="F226" i="1" s="1"/>
  <c r="B284" i="1"/>
  <c r="A284" i="1"/>
  <c r="E283" i="1"/>
  <c r="F225" i="1" s="1"/>
  <c r="B283" i="1"/>
  <c r="A283" i="1"/>
  <c r="F282" i="1"/>
  <c r="E282" i="1"/>
  <c r="F223" i="1" s="1"/>
  <c r="F281" i="1"/>
  <c r="E281" i="1"/>
  <c r="F222" i="1" s="1"/>
  <c r="F280" i="1"/>
  <c r="E280" i="1"/>
  <c r="F221" i="1" s="1"/>
  <c r="F279" i="1"/>
  <c r="E279" i="1"/>
  <c r="F220" i="1" s="1"/>
  <c r="F278" i="1"/>
  <c r="E278" i="1"/>
  <c r="F219" i="1" s="1"/>
  <c r="F277" i="1"/>
  <c r="E277" i="1"/>
  <c r="F218" i="1" s="1"/>
  <c r="F276" i="1"/>
  <c r="E276" i="1"/>
  <c r="F217" i="1" s="1"/>
  <c r="F275" i="1"/>
  <c r="E275" i="1"/>
  <c r="F216" i="1" s="1"/>
  <c r="F274" i="1"/>
  <c r="E274" i="1"/>
  <c r="F215" i="1" s="1"/>
  <c r="F273" i="1"/>
  <c r="E273" i="1"/>
  <c r="F214" i="1" s="1"/>
  <c r="F272" i="1"/>
  <c r="E272" i="1"/>
  <c r="F213" i="1" s="1"/>
  <c r="F271" i="1"/>
  <c r="E271" i="1"/>
  <c r="F212" i="1" s="1"/>
  <c r="F270" i="1"/>
  <c r="E270" i="1"/>
  <c r="F211" i="1" s="1"/>
  <c r="F269" i="1"/>
  <c r="E269" i="1"/>
  <c r="F210" i="1" s="1"/>
  <c r="F268" i="1"/>
  <c r="E268" i="1"/>
  <c r="F209" i="1" s="1"/>
  <c r="F267" i="1"/>
  <c r="E267" i="1"/>
  <c r="F208" i="1" s="1"/>
  <c r="F266" i="1"/>
  <c r="E266" i="1"/>
  <c r="F207" i="1" s="1"/>
  <c r="F265" i="1"/>
  <c r="E265" i="1"/>
  <c r="F206" i="1" s="1"/>
  <c r="F264" i="1"/>
  <c r="E264" i="1"/>
  <c r="F205" i="1" s="1"/>
  <c r="E263" i="1"/>
  <c r="E262" i="1"/>
  <c r="F202" i="1" s="1"/>
  <c r="E261" i="1"/>
  <c r="F201" i="1" s="1"/>
  <c r="E260" i="1"/>
  <c r="F200" i="1" s="1"/>
  <c r="E259" i="1"/>
  <c r="F199" i="1" s="1"/>
  <c r="E258" i="1"/>
  <c r="F198" i="1" s="1"/>
  <c r="E257" i="1"/>
  <c r="F197" i="1" s="1"/>
  <c r="E256" i="1"/>
  <c r="F196" i="1" s="1"/>
  <c r="E255" i="1"/>
  <c r="F195" i="1" s="1"/>
  <c r="E254" i="1"/>
  <c r="F194" i="1" s="1"/>
  <c r="E253" i="1"/>
  <c r="F193" i="1" s="1"/>
  <c r="E252" i="1"/>
  <c r="F192" i="1" s="1"/>
  <c r="E251" i="1"/>
  <c r="F191" i="1" s="1"/>
  <c r="E250" i="1"/>
  <c r="F190" i="1" s="1"/>
  <c r="E249" i="1"/>
  <c r="F189" i="1" s="1"/>
  <c r="E248" i="1"/>
  <c r="F188" i="1" s="1"/>
  <c r="E247" i="1"/>
  <c r="F187" i="1" s="1"/>
  <c r="E246" i="1"/>
  <c r="F186" i="1" s="1"/>
  <c r="E245" i="1"/>
  <c r="E244" i="1"/>
  <c r="E243" i="1"/>
  <c r="E242" i="1"/>
  <c r="E241" i="1"/>
  <c r="E240" i="1"/>
  <c r="E239" i="1"/>
  <c r="E238" i="1"/>
  <c r="E237" i="1"/>
  <c r="E236" i="1"/>
  <c r="E235" i="1"/>
  <c r="E234" i="1"/>
  <c r="E233" i="1"/>
  <c r="E232" i="1"/>
  <c r="E231" i="1"/>
  <c r="E230" i="1"/>
  <c r="E229" i="1"/>
  <c r="E228" i="1"/>
  <c r="E227" i="1"/>
  <c r="E226" i="1"/>
  <c r="E225" i="1"/>
  <c r="E224" i="1"/>
  <c r="F224" i="1" s="1"/>
  <c r="E223" i="1"/>
  <c r="E222" i="1"/>
  <c r="E221" i="1"/>
  <c r="E220" i="1"/>
  <c r="E219" i="1"/>
  <c r="E218" i="1"/>
  <c r="E217" i="1"/>
  <c r="E216" i="1"/>
  <c r="E215" i="1"/>
  <c r="E214" i="1"/>
  <c r="E213" i="1"/>
  <c r="E212" i="1"/>
  <c r="E211" i="1"/>
  <c r="E210" i="1"/>
  <c r="E209" i="1"/>
  <c r="E208" i="1"/>
  <c r="E207" i="1"/>
  <c r="E206" i="1"/>
  <c r="E205" i="1"/>
  <c r="E204" i="1"/>
  <c r="F204" i="1" s="1"/>
  <c r="E203" i="1"/>
  <c r="F203" i="1" s="1"/>
  <c r="E202" i="1"/>
  <c r="E201" i="1"/>
  <c r="E200" i="1"/>
  <c r="E199" i="1"/>
  <c r="E198" i="1"/>
  <c r="E197" i="1"/>
  <c r="B197" i="1"/>
  <c r="A197" i="1"/>
  <c r="E196" i="1"/>
  <c r="B196" i="1"/>
  <c r="A196" i="1"/>
  <c r="E195" i="1"/>
  <c r="B195" i="1"/>
  <c r="A195" i="1"/>
  <c r="E194" i="1"/>
  <c r="B194" i="1"/>
  <c r="A194" i="1"/>
  <c r="E193" i="1"/>
  <c r="B193" i="1"/>
  <c r="A193" i="1"/>
  <c r="E192" i="1"/>
  <c r="B192" i="1"/>
  <c r="A192" i="1"/>
  <c r="E191" i="1"/>
  <c r="B191" i="1"/>
  <c r="A191" i="1"/>
  <c r="E190" i="1"/>
  <c r="B190" i="1"/>
  <c r="A190" i="1"/>
  <c r="E189" i="1"/>
  <c r="B189" i="1"/>
  <c r="A189" i="1"/>
  <c r="E188" i="1"/>
  <c r="B188" i="1"/>
  <c r="A188" i="1"/>
  <c r="E187" i="1"/>
  <c r="B187" i="1"/>
  <c r="A187" i="1"/>
  <c r="E186" i="1"/>
  <c r="B186" i="1"/>
  <c r="A186" i="1"/>
  <c r="E185" i="1"/>
  <c r="F184" i="1" s="1"/>
  <c r="E184" i="1"/>
  <c r="F183" i="1" s="1"/>
  <c r="E183" i="1"/>
  <c r="F182" i="1" s="1"/>
  <c r="E182" i="1"/>
  <c r="F181" i="1" s="1"/>
  <c r="E181" i="1"/>
  <c r="F180" i="1" s="1"/>
  <c r="E180" i="1"/>
  <c r="F179" i="1" s="1"/>
  <c r="E179" i="1"/>
  <c r="F178" i="1" s="1"/>
  <c r="E178" i="1"/>
  <c r="F177" i="1" s="1"/>
  <c r="E177" i="1"/>
  <c r="F176" i="1" s="1"/>
  <c r="E176" i="1"/>
  <c r="F175" i="1" s="1"/>
  <c r="E175" i="1"/>
  <c r="F174" i="1" s="1"/>
  <c r="E174" i="1"/>
  <c r="F173" i="1" s="1"/>
  <c r="E173" i="1"/>
  <c r="F172" i="1" s="1"/>
  <c r="E172" i="1"/>
  <c r="F171" i="1" s="1"/>
  <c r="E171" i="1"/>
  <c r="F170" i="1" s="1"/>
  <c r="E170" i="1"/>
  <c r="F169" i="1" s="1"/>
  <c r="E169" i="1"/>
  <c r="F168" i="1" s="1"/>
  <c r="E168" i="1"/>
  <c r="F167" i="1" s="1"/>
  <c r="E167" i="1"/>
  <c r="F166" i="1" s="1"/>
  <c r="E166" i="1"/>
  <c r="F165" i="1" s="1"/>
  <c r="E165" i="1"/>
  <c r="F164" i="1" s="1"/>
  <c r="E164" i="1"/>
  <c r="F163" i="1" s="1"/>
  <c r="E163" i="1"/>
  <c r="F162" i="1" s="1"/>
  <c r="E162" i="1"/>
  <c r="F161" i="1" s="1"/>
  <c r="E161" i="1"/>
  <c r="F160" i="1" s="1"/>
  <c r="E160" i="1"/>
  <c r="F159" i="1" s="1"/>
  <c r="E159" i="1"/>
  <c r="F158" i="1" s="1"/>
  <c r="E158" i="1"/>
  <c r="F157" i="1" s="1"/>
  <c r="E157" i="1"/>
  <c r="F156" i="1" s="1"/>
  <c r="E156" i="1"/>
  <c r="F155" i="1" s="1"/>
  <c r="E155" i="1"/>
  <c r="F154" i="1" s="1"/>
  <c r="E154" i="1"/>
  <c r="F153" i="1" s="1"/>
  <c r="E153" i="1"/>
  <c r="F152" i="1" s="1"/>
  <c r="E152" i="1"/>
  <c r="F151" i="1" s="1"/>
  <c r="E151" i="1"/>
  <c r="F150" i="1" s="1"/>
  <c r="E150" i="1"/>
  <c r="F149" i="1" s="1"/>
  <c r="E149" i="1"/>
  <c r="F148" i="1" s="1"/>
  <c r="E148" i="1"/>
  <c r="F147" i="1" s="1"/>
  <c r="E147" i="1"/>
  <c r="F146" i="1" s="1"/>
  <c r="E146" i="1"/>
  <c r="F145" i="1" s="1"/>
  <c r="E145" i="1"/>
  <c r="F144" i="1" s="1"/>
  <c r="E144" i="1"/>
  <c r="F143" i="1" s="1"/>
  <c r="E143" i="1"/>
  <c r="F142" i="1" s="1"/>
  <c r="E142" i="1"/>
  <c r="F141" i="1" s="1"/>
  <c r="E141" i="1"/>
  <c r="F140" i="1" s="1"/>
  <c r="E140" i="1"/>
  <c r="F139" i="1" s="1"/>
  <c r="E139" i="1"/>
  <c r="F138" i="1" s="1"/>
  <c r="E138" i="1"/>
  <c r="F137" i="1" s="1"/>
  <c r="E137" i="1"/>
  <c r="F136" i="1" s="1"/>
  <c r="E136" i="1"/>
  <c r="F135" i="1" s="1"/>
  <c r="E135" i="1"/>
  <c r="F134" i="1" s="1"/>
  <c r="E134" i="1"/>
  <c r="F133" i="1" s="1"/>
  <c r="E133" i="1"/>
  <c r="F132" i="1" s="1"/>
  <c r="B133" i="1"/>
  <c r="A133" i="1"/>
  <c r="E132" i="1"/>
  <c r="F131" i="1" s="1"/>
  <c r="B132" i="1"/>
  <c r="A132" i="1"/>
  <c r="E131" i="1"/>
  <c r="F130" i="1" s="1"/>
  <c r="B131" i="1"/>
  <c r="A131" i="1"/>
  <c r="E130" i="1"/>
  <c r="F129" i="1" s="1"/>
  <c r="B130" i="1"/>
  <c r="A130" i="1"/>
  <c r="E129" i="1"/>
  <c r="F128" i="1" s="1"/>
  <c r="B129" i="1"/>
  <c r="A129" i="1"/>
  <c r="E128" i="1"/>
  <c r="B128" i="1"/>
  <c r="A128" i="1"/>
  <c r="E127" i="1"/>
  <c r="B127" i="1"/>
  <c r="A127" i="1"/>
  <c r="E126" i="1"/>
  <c r="F126" i="1" s="1"/>
  <c r="E125" i="1"/>
  <c r="F125" i="1" s="1"/>
  <c r="E124" i="1"/>
  <c r="F124" i="1" s="1"/>
  <c r="E123" i="1"/>
  <c r="F123" i="1" s="1"/>
  <c r="E122" i="1"/>
  <c r="F122" i="1" s="1"/>
  <c r="E121" i="1"/>
  <c r="F121" i="1" s="1"/>
  <c r="E120" i="1"/>
  <c r="F120" i="1" s="1"/>
  <c r="E119" i="1"/>
  <c r="F119" i="1" s="1"/>
  <c r="E118" i="1"/>
  <c r="F118" i="1" s="1"/>
  <c r="E117" i="1"/>
  <c r="F117" i="1" s="1"/>
  <c r="E116" i="1"/>
  <c r="F116" i="1" s="1"/>
  <c r="E115" i="1"/>
  <c r="F115" i="1" s="1"/>
  <c r="E114" i="1"/>
  <c r="F114" i="1" s="1"/>
  <c r="E113" i="1"/>
  <c r="F113" i="1" s="1"/>
  <c r="E112" i="1"/>
  <c r="F112" i="1" s="1"/>
  <c r="E111" i="1"/>
  <c r="F111" i="1" s="1"/>
  <c r="E110" i="1"/>
  <c r="F110" i="1" s="1"/>
  <c r="E109" i="1"/>
  <c r="F109" i="1" s="1"/>
  <c r="E108" i="1"/>
  <c r="F108" i="1" s="1"/>
  <c r="E107" i="1"/>
  <c r="F107" i="1" s="1"/>
  <c r="E106" i="1"/>
  <c r="F106" i="1" s="1"/>
  <c r="E105" i="1"/>
  <c r="F105" i="1" s="1"/>
  <c r="E104" i="1"/>
  <c r="F104" i="1" s="1"/>
  <c r="E103" i="1"/>
  <c r="F103" i="1" s="1"/>
  <c r="E102" i="1"/>
  <c r="F102" i="1" s="1"/>
  <c r="E101" i="1"/>
  <c r="F101" i="1" s="1"/>
  <c r="E100" i="1"/>
  <c r="F100" i="1" s="1"/>
  <c r="E99" i="1"/>
  <c r="F99" i="1" s="1"/>
  <c r="E98" i="1"/>
  <c r="F98" i="1" s="1"/>
  <c r="E97" i="1"/>
  <c r="F97" i="1" s="1"/>
  <c r="E96" i="1"/>
  <c r="F96" i="1" s="1"/>
  <c r="E95" i="1"/>
  <c r="F95" i="1" s="1"/>
  <c r="E94" i="1"/>
  <c r="F94" i="1" s="1"/>
  <c r="E93" i="1"/>
  <c r="F93" i="1" s="1"/>
  <c r="E92" i="1"/>
  <c r="F92" i="1" s="1"/>
  <c r="E91" i="1"/>
  <c r="F91" i="1" s="1"/>
  <c r="E90" i="1"/>
  <c r="F90" i="1" s="1"/>
  <c r="E89" i="1"/>
  <c r="F89" i="1" s="1"/>
  <c r="E88" i="1"/>
  <c r="E87" i="1"/>
  <c r="F87" i="1" s="1"/>
  <c r="E86" i="1"/>
  <c r="F86" i="1" s="1"/>
  <c r="E85" i="1"/>
  <c r="F85" i="1" s="1"/>
  <c r="E84" i="1"/>
  <c r="F84" i="1" s="1"/>
  <c r="E83" i="1"/>
  <c r="F83" i="1" s="1"/>
  <c r="E82" i="1"/>
  <c r="F82" i="1" s="1"/>
  <c r="E81" i="1"/>
  <c r="F81" i="1" s="1"/>
  <c r="E80" i="1"/>
  <c r="F80" i="1" s="1"/>
  <c r="E79" i="1"/>
  <c r="F79" i="1" s="1"/>
  <c r="E77" i="1"/>
  <c r="F77" i="1" s="1"/>
  <c r="E76" i="1"/>
  <c r="F76" i="1" s="1"/>
  <c r="E75" i="1"/>
  <c r="F75" i="1" s="1"/>
  <c r="E74" i="1"/>
  <c r="F74" i="1" s="1"/>
  <c r="E73" i="1"/>
  <c r="F73" i="1" s="1"/>
  <c r="E72" i="1"/>
  <c r="F72" i="1" s="1"/>
  <c r="E71" i="1"/>
  <c r="F71" i="1" s="1"/>
  <c r="E70" i="1"/>
  <c r="F70" i="1" s="1"/>
  <c r="E69" i="1"/>
  <c r="F69" i="1" s="1"/>
  <c r="E68" i="1"/>
  <c r="F68" i="1" s="1"/>
  <c r="E67" i="1"/>
  <c r="F67" i="1" s="1"/>
  <c r="E66" i="1"/>
  <c r="F66" i="1" s="1"/>
  <c r="E65" i="1"/>
  <c r="F65" i="1" s="1"/>
  <c r="E64" i="1"/>
  <c r="F64" i="1" s="1"/>
  <c r="E63" i="1"/>
  <c r="F63" i="1" s="1"/>
  <c r="E62" i="1"/>
  <c r="F62" i="1" s="1"/>
  <c r="E61" i="1"/>
  <c r="F61" i="1" s="1"/>
  <c r="E60" i="1"/>
  <c r="F60" i="1" s="1"/>
  <c r="E59" i="1"/>
  <c r="F59" i="1" s="1"/>
  <c r="E58" i="1"/>
  <c r="F58" i="1" s="1"/>
  <c r="E57" i="1"/>
  <c r="F57" i="1" s="1"/>
  <c r="E56" i="1"/>
  <c r="F56" i="1" s="1"/>
  <c r="E55" i="1"/>
  <c r="F55" i="1" s="1"/>
  <c r="E54" i="1"/>
  <c r="F54" i="1" s="1"/>
  <c r="E53" i="1"/>
  <c r="F53" i="1" s="1"/>
  <c r="E52" i="1"/>
  <c r="F52" i="1" s="1"/>
  <c r="B52" i="1"/>
  <c r="A52" i="1"/>
  <c r="E51" i="1"/>
  <c r="F51" i="1" s="1"/>
  <c r="B51" i="1"/>
  <c r="A51" i="1"/>
  <c r="E50" i="1"/>
  <c r="F50" i="1" s="1"/>
  <c r="B50" i="1"/>
  <c r="A50" i="1"/>
  <c r="E49" i="1"/>
  <c r="F49" i="1" s="1"/>
  <c r="B49" i="1"/>
  <c r="A49" i="1"/>
  <c r="E48" i="1"/>
  <c r="F48" i="1" s="1"/>
  <c r="B48" i="1"/>
  <c r="A48" i="1"/>
  <c r="E47" i="1"/>
  <c r="F47" i="1" s="1"/>
  <c r="B47" i="1"/>
  <c r="A47" i="1"/>
  <c r="E46" i="1"/>
  <c r="F46" i="1" s="1"/>
  <c r="B46" i="1"/>
  <c r="A46" i="1"/>
  <c r="E45" i="1"/>
  <c r="F45" i="1" s="1"/>
  <c r="B45" i="1"/>
  <c r="A45" i="1"/>
  <c r="E44" i="1"/>
  <c r="F44" i="1" s="1"/>
  <c r="B44" i="1"/>
  <c r="A44" i="1"/>
  <c r="E43" i="1"/>
  <c r="F43" i="1" s="1"/>
  <c r="B43" i="1"/>
  <c r="A43" i="1"/>
  <c r="E42" i="1"/>
  <c r="F42" i="1" s="1"/>
  <c r="B42" i="1"/>
  <c r="A42" i="1"/>
  <c r="E41" i="1"/>
  <c r="F41" i="1" s="1"/>
  <c r="B41" i="1"/>
  <c r="A41" i="1"/>
  <c r="E40" i="1"/>
  <c r="F40" i="1" s="1"/>
  <c r="B40" i="1"/>
  <c r="A40" i="1"/>
  <c r="E39" i="1"/>
  <c r="F39" i="1" s="1"/>
  <c r="B39" i="1"/>
  <c r="A39" i="1"/>
  <c r="E38" i="1"/>
  <c r="F38" i="1" s="1"/>
  <c r="B38" i="1"/>
  <c r="A38" i="1"/>
  <c r="E37" i="1"/>
  <c r="F37" i="1" s="1"/>
  <c r="B37" i="1"/>
  <c r="A37" i="1"/>
  <c r="E36" i="1"/>
  <c r="F36" i="1" s="1"/>
  <c r="B36" i="1"/>
  <c r="A36" i="1"/>
  <c r="E35" i="1"/>
  <c r="F35" i="1" s="1"/>
  <c r="B35" i="1"/>
  <c r="A35" i="1"/>
  <c r="E34" i="1"/>
  <c r="F34" i="1" s="1"/>
  <c r="B34" i="1"/>
  <c r="A34" i="1"/>
  <c r="E33" i="1"/>
  <c r="F33" i="1" s="1"/>
  <c r="B33" i="1"/>
  <c r="A33" i="1"/>
  <c r="E32" i="1"/>
  <c r="F32" i="1" s="1"/>
  <c r="B32" i="1"/>
  <c r="A32" i="1"/>
  <c r="E31" i="1"/>
  <c r="F31" i="1" s="1"/>
  <c r="B31" i="1"/>
  <c r="A31" i="1"/>
  <c r="E30" i="1"/>
  <c r="F30" i="1" s="1"/>
  <c r="B30" i="1"/>
  <c r="A30" i="1"/>
  <c r="E29" i="1"/>
  <c r="F29" i="1" s="1"/>
  <c r="B29" i="1"/>
  <c r="A29" i="1"/>
  <c r="E28" i="1"/>
  <c r="F28" i="1" s="1"/>
  <c r="B28" i="1"/>
  <c r="A28" i="1"/>
  <c r="E27" i="1"/>
  <c r="F27" i="1" s="1"/>
  <c r="B27" i="1"/>
  <c r="A27" i="1"/>
  <c r="E26" i="1"/>
  <c r="F26" i="1" s="1"/>
  <c r="B26" i="1"/>
  <c r="A26" i="1"/>
  <c r="E25" i="1"/>
  <c r="F25" i="1" s="1"/>
  <c r="E24" i="1"/>
  <c r="F24" i="1" s="1"/>
  <c r="E23" i="1"/>
  <c r="F23" i="1" s="1"/>
  <c r="E22" i="1"/>
  <c r="F22" i="1" s="1"/>
  <c r="E21" i="1"/>
  <c r="F21" i="1" s="1"/>
  <c r="E20" i="1"/>
  <c r="F20" i="1" s="1"/>
  <c r="E19" i="1"/>
  <c r="F19" i="1" s="1"/>
  <c r="E18" i="1"/>
  <c r="F18" i="1" s="1"/>
  <c r="E17" i="1"/>
  <c r="F17" i="1" s="1"/>
  <c r="E16" i="1"/>
  <c r="F16" i="1" s="1"/>
  <c r="E15" i="1"/>
  <c r="F15" i="1" s="1"/>
  <c r="E14" i="1"/>
  <c r="F14" i="1" s="1"/>
  <c r="E13" i="1"/>
  <c r="F13" i="1" s="1"/>
  <c r="B13" i="1"/>
  <c r="A13" i="1"/>
  <c r="E12" i="1"/>
  <c r="F12" i="1" s="1"/>
  <c r="B12" i="1"/>
  <c r="A12" i="1"/>
  <c r="E11" i="1"/>
  <c r="F11" i="1" s="1"/>
  <c r="B11" i="1"/>
  <c r="A11" i="1"/>
  <c r="E10" i="1"/>
  <c r="F10" i="1" s="1"/>
  <c r="B10" i="1"/>
  <c r="A10" i="1"/>
  <c r="E9" i="1"/>
  <c r="F9" i="1" s="1"/>
  <c r="B9" i="1"/>
  <c r="A9" i="1"/>
  <c r="E8" i="1"/>
  <c r="F8" i="1" s="1"/>
  <c r="B8" i="1"/>
  <c r="A8" i="1"/>
  <c r="E7" i="1"/>
  <c r="F7" i="1" s="1"/>
  <c r="B7" i="1"/>
  <c r="A7" i="1"/>
  <c r="E6" i="1"/>
  <c r="F6" i="1" s="1"/>
  <c r="B6" i="1"/>
  <c r="A6" i="1"/>
  <c r="E5" i="1"/>
  <c r="F5" i="1" s="1"/>
  <c r="B5" i="1"/>
  <c r="A5" i="1"/>
  <c r="E4" i="1"/>
  <c r="B4" i="1"/>
  <c r="A4" i="1"/>
  <c r="E3" i="1"/>
  <c r="F3" i="1" s="1"/>
  <c r="B3" i="1"/>
  <c r="A3" i="1"/>
  <c r="E2" i="1"/>
  <c r="F2" i="1" s="1"/>
  <c r="B2" i="1"/>
  <c r="A2" i="1"/>
  <c r="F11" i="2"/>
  <c r="F9" i="2"/>
  <c r="F245" i="1" l="1"/>
  <c r="F303" i="1"/>
  <c r="F261" i="1"/>
  <c r="F319" i="1"/>
  <c r="F239" i="1"/>
  <c r="F297" i="1"/>
  <c r="F255" i="1"/>
  <c r="F313" i="1"/>
  <c r="F237" i="1"/>
  <c r="F295" i="1"/>
  <c r="F253" i="1"/>
  <c r="F311" i="1"/>
  <c r="F262" i="1"/>
  <c r="F320" i="1"/>
  <c r="F240" i="1"/>
  <c r="F298" i="1"/>
  <c r="F248" i="1"/>
  <c r="F306" i="1"/>
  <c r="F242" i="1"/>
  <c r="F300" i="1"/>
  <c r="F247" i="1"/>
  <c r="F305" i="1"/>
  <c r="F263" i="1"/>
  <c r="F321" i="1"/>
  <c r="F235" i="1"/>
  <c r="F293" i="1"/>
  <c r="F259" i="1"/>
  <c r="F317" i="1"/>
  <c r="F185" i="1"/>
  <c r="F283" i="1"/>
  <c r="F301" i="1"/>
  <c r="F309" i="1"/>
  <c r="F12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<sst xmlns="http://schemas.openxmlformats.org/spreadsheetml/2006/main" count="3233" uniqueCount="464">
  <si>
    <t>Months</t>
  </si>
  <si>
    <t>WEEK NO</t>
  </si>
  <si>
    <t>mail received date</t>
  </si>
  <si>
    <t>mail complete date</t>
  </si>
  <si>
    <t>TAT</t>
  </si>
  <si>
    <t>TAT2</t>
  </si>
  <si>
    <t>ACTIVITY</t>
  </si>
  <si>
    <t>SLA</t>
  </si>
  <si>
    <t>Subject</t>
  </si>
  <si>
    <t>Port Agent</t>
  </si>
  <si>
    <t>User name</t>
  </si>
  <si>
    <t>Remarks</t>
  </si>
  <si>
    <t>AR</t>
  </si>
  <si>
    <t>ARRIVAL REPORT FOR -ZHONG GU NAN NING V.2406E ETA CMB 06.11.2024</t>
  </si>
  <si>
    <t>LKCMB</t>
  </si>
  <si>
    <t>Yuvaraj</t>
  </si>
  <si>
    <t>Arrival Report SM MANALI 0047  // REEL</t>
  </si>
  <si>
    <t>INMAA</t>
  </si>
  <si>
    <t>ARRIVAL REPORT SOL STRIDE V. 2416N //INCCU DISCHARGE A/C VUXX</t>
  </si>
  <si>
    <t>INCCU</t>
  </si>
  <si>
    <t>RE: Arrival Report SM MAHI 0075E  // REEL</t>
  </si>
  <si>
    <t>RE: Arrival Report X PRESS KAILASH V.1883W // REEL</t>
  </si>
  <si>
    <t>RE: AR /// AS ALEXANDRIA / 2417 /// 10 X 40HC - LADEN</t>
  </si>
  <si>
    <t>INTUT</t>
  </si>
  <si>
    <t>RE:  Arrival Report SM KAVERI V0082 // REEL</t>
  </si>
  <si>
    <t>RE: AR - SCI CHENNAI V.2414</t>
  </si>
  <si>
    <t>INCOK</t>
  </si>
  <si>
    <t>INMUN</t>
  </si>
  <si>
    <t>Oct</t>
  </si>
  <si>
    <t>Arrival Report SSL SABARIMALAI 157 // REEL</t>
  </si>
  <si>
    <t>Sasikala</t>
  </si>
  <si>
    <t>Arrival Report SSL THAMIRABARANI V. 050 // REEL</t>
  </si>
  <si>
    <t>AR - SCI CHENNAI V.2411</t>
  </si>
  <si>
    <t>Arrival Report  SITC HAIPHONG V.2436W  // REEL</t>
  </si>
  <si>
    <t>Arrival Report CELSIUS EINDHOVEN / 005  // REEL</t>
  </si>
  <si>
    <t>Arrival Report SM MANALI 0046  // REEL</t>
  </si>
  <si>
    <t>INKAT</t>
  </si>
  <si>
    <t>AR // INVTZ // MV SM MANALI V-0046W // ETA:10-10-2024</t>
  </si>
  <si>
    <t>INVIZ</t>
  </si>
  <si>
    <t>Arrival Report  MOGRAL 0087  // REEL</t>
  </si>
  <si>
    <t>ARRIVAL REPORT FOR  EVER LEGION V.056E  ETA CMB  24.10.2024</t>
  </si>
  <si>
    <t>Nov</t>
  </si>
  <si>
    <t>TDR</t>
  </si>
  <si>
    <t>TDR - MOGRAL V.0087W</t>
  </si>
  <si>
    <t>RE: TDR Vessel NAVIOS UTMOST / 001E  (6358) // B # VX87II24000031, VX87II24000032, VX87II24000065,VX87II24000074, VX87II24000075, VX87II24000080, VX87II24000081 &amp; VX87II24000085</t>
  </si>
  <si>
    <t>RE: // TDR ////  SSL BHARAT V. 164  /// INTUT - INMUN</t>
  </si>
  <si>
    <t>RE: INCCU (KOLKATA // TDR // FSL SINGAPOE 104E  // VUXX</t>
  </si>
  <si>
    <t xml:space="preserve">TDR Vessel NAVIOS UTMOST / 001E  (6358) // </t>
  </si>
  <si>
    <t>REEL SHIPPING ( SMR) 02X40'HC LADEN CNTRS TDR FOR NOVOROSSIYSK AND ST PETERSBURG T/S VIA PKG-WEST ON VSL MV. SKY WIND</t>
  </si>
  <si>
    <t>BDCGP</t>
  </si>
  <si>
    <t>RE: VISAKHAPATNAM - TDR Status - SITC ZHAOMING / 2409E - B # VX74IV24000017</t>
  </si>
  <si>
    <t>INVTZ</t>
  </si>
  <si>
    <t>RE: TDR - MOGRVarun Pahelwani  &lt;varun.pahelwani@gilshipping.com&gt;AL V.0087W</t>
  </si>
  <si>
    <t>RE: INCCU (KOLKATA // TDR // MTT SAMALAJU 24018S // VUXX</t>
  </si>
  <si>
    <t>RE: Chennai - TDR Status - Vessel SYNERGY KEELUNG / 019E  (6445)</t>
  </si>
  <si>
    <t>RE: CHITTAGONG - TDR Request &amp; Shipment Status // Vessel GREEN EARTH / OF24037S  (6407) ]</t>
  </si>
  <si>
    <t>RE: CHITTAGONG - TDR Request &amp; Shipment Status // Vessel GREEN EARTH / OF24037S  (6407) // B # VX98BH24000015, VX98BH24000016, VX98BH24000025 &amp; VX98BH24000026</t>
  </si>
  <si>
    <t>RE: VISAKHAPATNAM - TDR Status - TS VANCOUVER / 24008E -</t>
  </si>
  <si>
    <t>CHITTAGONG - TDR Request &amp; Shipment Status // Vessel GREEN EARTH / OF24037S  (6407) //</t>
  </si>
  <si>
    <t>VISAKHAPATNAM - TDR Status - TS VANCOUVER / 24008E</t>
  </si>
  <si>
    <t>RE: DEPARTURE REPORT FOR  1X40HC LOADED  ON SM MANALI V.047W ETD CMB 14 .11.2024</t>
  </si>
  <si>
    <t>Re: TDR - SM MANALI V.0047E</t>
  </si>
  <si>
    <t>URGNET //  TDR - SM MANALI V.047W // B # VX89II24000041 &amp; VX89II24000042</t>
  </si>
  <si>
    <t>RE: TUTICORIN - TDR &amp; Shipment Status for SSL GUJARAT / 163  (6610)</t>
  </si>
  <si>
    <t>RE: INCCU (KOLKATA // TDR //  X PRESS IRAWADDY 24016S  // VUXX</t>
  </si>
  <si>
    <t>RE: // TDR ////  SSL GUJARAT V. 163  /// INTUT - INMUN</t>
  </si>
  <si>
    <t>RE: TDR - Vessel  ZHONG GU LIN YI V.  24009E   // INMAA TO RUNVS/RULES//SAILED 26-11-2024</t>
  </si>
  <si>
    <t>RE: MYANMAR - TDR &amp; Shipment Status for XO LUCKY / 24009W  (6496) // B # VX07MY24000022 &amp; VX07MY24000023</t>
  </si>
  <si>
    <t>MMRGN</t>
  </si>
  <si>
    <t xml:space="preserve">RE: LRR FROM YANGON TO CHENNAI, INDIA ON MV. TCI ARJUN V. 100262024, ETD YGN : 30 NOV 2024 // DIRECT SVC // SRR # RSGFL112400002 </t>
  </si>
  <si>
    <t>RE: INCCU (KOLKATA // TDR // MTT LABUAN 24LB008S  // VUXX</t>
  </si>
  <si>
    <t>RE: TDR -PREALERT// M.V.SITC ZHAOMING V-2408E // INVTZ (T/S at WEST PORT KELANG) to ST.PETERSBURG // VX74IV24000009 &amp; VX74IV24000010 &amp; vVX74IV24000011 //</t>
  </si>
  <si>
    <t>RE: SYNERGY KEELUNG V. 0018 SLD INMAA : 03.10.2024 (T/S at WEST PORTKELANG ) to RUNVS &amp; RULED // REEL</t>
  </si>
  <si>
    <t>TDR M.V.MOGRAL V.086W</t>
  </si>
  <si>
    <t>RE: REEL SHIPPING) SMR, 03X40'HC LADEN CNTRS TDR FOR  NOVOROSSIYSK   T/S VIA PKG-WEST ON VSL MV. FITZ ROY ,VOY--186E, SLD CGP DT- 06.10.2024 . EX : CGP-- MYWSP  and  FPOD  to  NOVOROSSIYK (RUSSIA).</t>
  </si>
  <si>
    <t>RE: REQUEST FOR VESSEL / VOYAGE CREATION IN EBMS</t>
  </si>
  <si>
    <t>RE: TDR -PREALERT// M.V. SHINA V-009E // INVTZ (T/S at WEST PORT KELANG) to ST.PETERSBURG // VX74IV24000013, VX74IV24000014, VX74IV24000015 &amp; VX74IV24000016 - RULED</t>
  </si>
  <si>
    <t xml:space="preserve">TDR &amp; PRE ALERT//CEN // VX07MY24000003//24000013/24000014/24000015 //24000016/24000017/24000018//24000020/24000021 //ETD 09 OCT 2024 // MV.SITC HAIPHONG V.2436W // TOTAL 45 X20'GP // </t>
  </si>
  <si>
    <t>URGNET -  INCCU (KOLKATA // TDR //  FSL KELANG V. 239E // VOLTA</t>
  </si>
  <si>
    <t>// TDR ////  SSL GUJARAT V. 160  /// INTUT - INMUN</t>
  </si>
  <si>
    <t>COLOMBO - TDR &amp; Shipment Status for vessel MONACO / 109E // B # VX78CC24000013</t>
  </si>
  <si>
    <t>TOP URGENT //  INQUIRY FOR AR/TDR MUNDRA MOGRAL V.0086  // TDR PENDING FOR THE VESSEL : TS VANCOUVER V.24007E</t>
  </si>
  <si>
    <t>Chennai - TDR Status - Vessel Name - TS VANCOUVER / 24007W</t>
  </si>
  <si>
    <t xml:space="preserve"> INCCU (KOLKATA // TDR // MTT LIMBANG 24LG005S // VUXX</t>
  </si>
  <si>
    <t>TDR - SSL BHARAT V.163</t>
  </si>
  <si>
    <t>// TDR ////  SSL GUJARAT V. 161  /// INTUT - INMUN</t>
  </si>
  <si>
    <t>TDR // RE: SHIPMENT STATUS -  YANGON TO CHENNAI ON MV. ISEACO WISDOM / 133S // SRR # RSGFL102400002 // B # VX07MY24000019</t>
  </si>
  <si>
    <t>REEL SHIPPING ( SMR) 03X40'HC LADEN CNTRS TDR FOR  NOVOROSSIYSK   T/S VIA PKG-WEST ON VSL MV. SOL MALAYSIA ,VOY--2417S, SLD CGP DT- 28.10.2024 . EX : CGP-- MYWSP  and  FPOD  to  NOVOROSSIYK (RUSSIA).</t>
  </si>
  <si>
    <t>TDR// INTERASIA CATALYST V.  0046E</t>
  </si>
  <si>
    <t>DEPARTURE REPORT FOR 01X40HC LOADED  ON MOGRAL V.087W ETD CMB 01.11.2024</t>
  </si>
  <si>
    <t xml:space="preserve"> Chennai - TDR Status - Vessel XIN TIAN JIN  V. 93 E // BL # VX87II24000084</t>
  </si>
  <si>
    <t>INCCU (KOLKATA // TDR // MTT LIMBANG 24LG006S // VUXX</t>
  </si>
  <si>
    <t xml:space="preserve"> INCCU (KOLKATA // TDR // MTT LIMBANG 24LG006S // VUXX</t>
  </si>
  <si>
    <t>INCCU (KOLKATA // TDR // FSL SINGAPOE 104E  // VUXX</t>
  </si>
  <si>
    <t>DEPARTURE REPORT FOR 1X20 &amp; 1X40HC LOADED  ON SM KAVERI V.081W ETD CMB 08.11.2024</t>
  </si>
  <si>
    <t>ATA &amp; ATD updates</t>
  </si>
  <si>
    <t xml:space="preserve">RE: TDR -PREALERT// M.V.SITC ZHAOMING V-2408E // INVTZ (T/S at WEST PORT KELANG) to ST.PETERSBURG // VX74IV24000009 &amp; VX74IV24000010 &amp; vVX74IV24000011 // </t>
  </si>
  <si>
    <t>TDR - SSL BHARAT V.162</t>
  </si>
  <si>
    <t>SYNERGY KEELUNG V. 0018 SLD INMAA : 03.10.2024 (T/S at WEST PORTKELANG ) to RUNVS &amp; RULED // REEL</t>
  </si>
  <si>
    <t>RE: (REEL SHIPPING) SMR, 03X40'HC LADEN CNTRS TDR FOR  NOVOROSSIYSK   T/S VIA PKG-WEST ON VSL MV.SKY WIND ,VOY--049S, SLD CGP DT- 03.10.2024 . EX : CGP-- MYWSP  and  FPOD  to  NOVOROSSIYK (RUSSIA).</t>
  </si>
  <si>
    <t>RE: // TDR ////  SSL BHARAT V. 162  /// INTUT - INMUN</t>
  </si>
  <si>
    <t>Arrival Report SSL SABARIMALAI 158 // REEL</t>
  </si>
  <si>
    <t>REEL SHIPPING) SMR, 03X40'HC LADEN CNTRS TDR FOR  NOVOROSSIYSK   T/S VIA PKG-WEST ON VSL MV. FITZ ROY ,VOY--186E, SLD CGP DT- 06.10.2024 . EX : CGP-- MYWSP  and  FPOD  to  NOVOROSSIYK (RUSSIA).</t>
  </si>
  <si>
    <t xml:space="preserve">RE: TDR &amp; PRE ALERT//CEN // VX07MY24000003//24000013/24000014/24000015 //24000016/24000017/24000018//24000020/24000021 //ETD 09 OCT 2024 // MV.SITC HAIPHONG V.2436W // TOTAL 45 X20'GP // </t>
  </si>
  <si>
    <t>Urgent -  Inquiry for AR VSL/VOY SOL PIONEER / 2411N in Kolkata</t>
  </si>
  <si>
    <t xml:space="preserve"> AR - SCI CHENNAI V.2411</t>
  </si>
  <si>
    <t xml:space="preserve"> // TDR ////  SSL GUJARAT V. 160  /// INTUT - INMUN</t>
  </si>
  <si>
    <t>REEL SHIPPING ( SMR) 02X40'HC LADEN CNTRS TDR FOR  NOVOROSSIYSK   T/S VIA PKG-WEST ON VSL MV. BLPL BLESSING ,VOY--2416S, SLD CGP DT- 15.10.2024 . EX : CGP-- MYWSP  and  FPOD  to  NOVOROSSIYK (RUSSIA).</t>
  </si>
  <si>
    <t>DEPARTURE REPORT FOR 2X40HC LOADED  ON SM MANALI V.046W ETD CMB 17.10.2024</t>
  </si>
  <si>
    <t xml:space="preserve"> MONACO V.109E ETD CMB 19.10.2024</t>
  </si>
  <si>
    <t>COLOMBO - TDR &amp; Shipment Status for vessel EVER LEGION / 056E // B # VX78CC24000015 &amp; VX78CC24000016</t>
  </si>
  <si>
    <t>TDR RENJIAN 23  V . 2439 // REEL</t>
  </si>
  <si>
    <t>TDR - SSL GUJARAT V.161</t>
  </si>
  <si>
    <t>REVISED  Booking 3x40 HC CTG TO  NOVOROSSIYSK, RUSSIA  A/C; RAJBARI JUTE MILLS LTD // SRR # RSBCA102400007</t>
  </si>
  <si>
    <t>RE: // TDR ////  SSL GUJARAT V. 161  /// INTUT - INMUN</t>
  </si>
  <si>
    <t xml:space="preserve"> EVER LEGION V.056E ETD CMB 25.10.2024</t>
  </si>
  <si>
    <t>REEL SHIPPING ( SMR) 04X40'HC LADEN CNTRS TDR FOR  NOVOROSSIYSK   T/S VIA PKG-WEST ON VSL MV. FITZ ROY ,VOY--187E, SLD CGP DT- 24.10.2024 . EX : CGP-- MYWSP  and  FPOD  to  NOVOROSSIYK (RUSSIA).</t>
  </si>
  <si>
    <t xml:space="preserve">TDR// SNL HAIKOU V. 2408W </t>
  </si>
  <si>
    <t>TDR// SNL HAIKOU V. 2408W</t>
  </si>
  <si>
    <t>TDR - SSL BHARAT V.164</t>
  </si>
  <si>
    <t>REEL SHIPPING ( SMR) 02X40'HC LADEN CNTRS TDR FOR  NOVOROSSIYSK AND ST PETERSBURG   T/S VIA PKG-WEST ON VSL MV. SKY WIND ,VOY--051S, SLD CGP DT- 05.11.2024 . EX : CG</t>
  </si>
  <si>
    <t>// TDR ////  SSL GUJARAT V. 162  /// INTUT - INMUN</t>
  </si>
  <si>
    <t>VISAKHAPATNAM - TDR Status - SITC ZHAOMING / 2409E - B # VX74IV24000017,VX74IV24000018,VX74IV24000019,VX74IV24000020,VX74IV24000021,VX74IV24000022,VX74IV24000023 &amp; VX74IV24000025</t>
  </si>
  <si>
    <t>ARRIVAL REPORT FOR X-PRESS CAPELLA V.24007E ETA CMB 20.11.2024</t>
  </si>
  <si>
    <t>AR//M.V.SM KAVERI V 0082E ATA 27-11-2024</t>
  </si>
  <si>
    <t>D&amp;D</t>
  </si>
  <si>
    <t>RE: 1669594 / Reel Shipping LLC / CTSP St.Petersburg / SEP281024 / APO291003 / tba</t>
  </si>
  <si>
    <t>REEL // D&amp; D COLLECTION // MYANMAR // MMYGN+MMTLA+MMRGN // NOVEMBER WEEK 3</t>
  </si>
  <si>
    <t>REEL// D&amp; D Collection report // COCHIN  INCOK // NOVEMBER WEEK 3</t>
  </si>
  <si>
    <t>REEL // D&amp; D COLLECTION // BANGLADESH // CHITTAGONG // NOVEMBER WEEK 3</t>
  </si>
  <si>
    <t>REEL // D &amp; D Collection report /// Visakhapatnam INVTZ // NOVEMBER WEEK 3</t>
  </si>
  <si>
    <t>REEL// D&amp; D Collection report // TUTICORIN INTUT //NOVEMBER WEEK 3</t>
  </si>
  <si>
    <t>REEL /// D &amp; D Collection report/// Chennai INMAA // NOVEMBER WEEK 3</t>
  </si>
  <si>
    <t>REEL// D &amp; D Collection report  //SRILANKA  COLOMBO // SEPTEMBER WEEK 4</t>
  </si>
  <si>
    <t>REEL // D&amp; D COLLECTION // MYANMAR // MMYGN+MMTLA+MMRGN // SEPTEMBER WEEK 4</t>
  </si>
  <si>
    <t>REEL// D&amp; D Collection report // TUTICORIN INTUT //SEPTEMBER WEEK 4</t>
  </si>
  <si>
    <t>REEL /// D &amp; D Collection report/// Chennai INMAA // SEPTEMBER WEEK 4</t>
  </si>
  <si>
    <t xml:space="preserve"> REEL// D&amp; D Collection report // COCHIN  INCOK // SEPTEMBER WEEK 4</t>
  </si>
  <si>
    <t>REEL // D &amp; D Collection report /// Visakhapatnam INVTZ //SEPTEMBER WEEK 4</t>
  </si>
  <si>
    <t>REEL // D&amp; D COLLECTION // BANGLADESH // CHITTAGONG // SEPTEMBER WEEK 4</t>
  </si>
  <si>
    <t>REEL// D &amp; D Collection report  //SRILANKA  COLOMBO // SEPTEMBER WEEK 3</t>
  </si>
  <si>
    <t>REEL// D&amp; D Collection report // COCHIN  INCOK // SEPTEMBER WEEK 3</t>
  </si>
  <si>
    <t>REEL /// D &amp; D Collection report/// Chennai INMAA // SEPTEMBER WEEK 3</t>
  </si>
  <si>
    <t>REEL// D&amp; D Collection report // TUTICORIN INTUT //SEPTEMBER WEEK 3</t>
  </si>
  <si>
    <t>REEL // D&amp; D COLLECTION // MYANMAR // MMYGN+MMTLA+MMRGN // SEPTEMBER WEEK 3</t>
  </si>
  <si>
    <t>REEL //D &amp; D Collection report /// KOLKATA+HALDIA  // INCCU+INHAL /// OCTOBER WEEK 1</t>
  </si>
  <si>
    <t>REEL// D &amp; D Collection report  //SRILANKA  COLOMBO // OCTOBER WEEK 1</t>
  </si>
  <si>
    <t>REEL // D&amp; D COLLECTION // MYANMAR // MMYGN+MMTLA+MMRGN // OCTOBER WEEK 1</t>
  </si>
  <si>
    <t>REEL// D&amp; D Collection report // TUTICORIN INTUT //OCTOBER WEEK 1</t>
  </si>
  <si>
    <t>REEL /// D &amp; D Collection report/// Chennai INMAA // OCTOBER WEEK 1</t>
  </si>
  <si>
    <t>REEL // D &amp; D Collection report /// Visakhapatnam INVTZ // OCTOBER WEEK 1</t>
  </si>
  <si>
    <t>REEL // D&amp; D COLLECTION // BANGLADESH // CHITTAGONG // OCTOBER WEEK 1</t>
  </si>
  <si>
    <t>REEL //D &amp; D Collection report /// KOLKATA+HALDIA  // INCCU+INHAL /// OCTOBER WEEK 2</t>
  </si>
  <si>
    <t>REEL// D &amp; D Collection report  //SRILANKA  COLOMBO // OCTOBER WEEK 2</t>
  </si>
  <si>
    <t>REEL // D&amp; D COLLECTION // MYANMAR // MMYGN+MMTLA+MMRGN // OCTOBER WEEK 2</t>
  </si>
  <si>
    <t>REEL// D&amp; D Collection report // TUTICORIN INTUT //OCTOBER WEEK 2</t>
  </si>
  <si>
    <t>REEL /// D &amp; D Collection report/// Chennai INMAA // OCTOBER WEEK 2</t>
  </si>
  <si>
    <t>REEL // D &amp; D Collection report /// Visakhapatnam INVTZ // OCTOBER WEEK 2</t>
  </si>
  <si>
    <t>REEL // D&amp; D COLLECTION // BANGLADESH // CHITTAGONG // OCTOBER WEEK 2</t>
  </si>
  <si>
    <t>REEL// D&amp; D Collection report // COCHIN  INCOK // OCTOBER WEEK 2</t>
  </si>
  <si>
    <t>REEL //D &amp; D Collection report /// KOLKATA+HALDIA  // INCCU+INHAL /// OCTOBER WEEK 3</t>
  </si>
  <si>
    <t>REEL// D &amp; D Collection report  //SRILANKA  COLOMBO // OCTOBER WEEK 3</t>
  </si>
  <si>
    <t>REEL // D&amp; D COLLECTION // MYANMAR // MMYGN+MMTLA+MMRGN // OCTOBER WEEK 3</t>
  </si>
  <si>
    <t>REEL /// D &amp; D Collection report/// Chennai INMAA // OCTOBER WEEK 3</t>
  </si>
  <si>
    <t>REEL// D&amp; D Collection report // TUTICORIN INTUT //OCTOBER WEEK 3</t>
  </si>
  <si>
    <t>REEL // D &amp; D Collection report /// Visakhapatnam INVTZ // OCTOBER WEEK 3</t>
  </si>
  <si>
    <t>REEL // D&amp; D COLLECTION // BANGLADESH // CHITTAGONG // OCTOBER WEEK 3</t>
  </si>
  <si>
    <t>REEL// D&amp; D Collection report // COCHIN  INCOK // OCTOBER WEEK 3</t>
  </si>
  <si>
    <t>REEL //D &amp; D Collection report /// KOLKATA+HALDIA  // INCCU+INHAL /// OCTOBER WEEK 4</t>
  </si>
  <si>
    <t>REEL// D &amp; D Collection report  //SRILANKA  COLOMBO // OCTOBER WEEK 4</t>
  </si>
  <si>
    <t>REEL // D&amp; D COLLECTION // MYANMAR // MMYGN+MMTLA+MMRGN // OCTOBER WEEK 4</t>
  </si>
  <si>
    <t>REEL// D&amp; D Collection report // TUTICORIN INTUT //OCTOBER WEEK 4</t>
  </si>
  <si>
    <t>REEL // D &amp; D Collection report /// Visakhapatnam INVTZ // OCTOBER WEEK 4</t>
  </si>
  <si>
    <t>REEL // D&amp; D COLLECTION // BANGLADESH // CHITTAGONG // OCTOBER WEEK 4</t>
  </si>
  <si>
    <t xml:space="preserve"> REEL// D&amp; D Collection report // COCHIN  INCOK // OCTOBER WEEK 4</t>
  </si>
  <si>
    <t>REEL //D &amp; D Collection report /// KOLKATA+HALDIA  // INCCU+INHAL /// NOVEMBER WEEK 1</t>
  </si>
  <si>
    <t>REEL// D &amp; D Collection report  //SRILANKA  COLOMBO // NOVEMBER WEEK 1</t>
  </si>
  <si>
    <t>REEL // D&amp; D COLLECTION // MYANMAR // MMYGN+MMTLA+MMRGN // NOVEMBER WEEK 1</t>
  </si>
  <si>
    <t>REEL /// D &amp; D Collection report/// Chennai INMAA // NOVEMBER WEEK 1</t>
  </si>
  <si>
    <t>REEL// D&amp; D Collection report // TUTICORIN INTUT //NOVEMBER WEEK 1</t>
  </si>
  <si>
    <t>REEL // D &amp; D Collection report /// Visakhapatnam INVTZ // NOVEMBER WEEK 1</t>
  </si>
  <si>
    <t>REEL // D&amp; D COLLECTION // BANGLADESH // CHITTAGONG // NOVEMBER WEEK 1</t>
  </si>
  <si>
    <t>REEL// D&amp; D Collection report // COCHIN  INCOK // NOVEMBER WEEK 1</t>
  </si>
  <si>
    <t>Due diligence</t>
  </si>
  <si>
    <t>Due diligence MUARA 24131N</t>
  </si>
  <si>
    <t>REEL</t>
  </si>
  <si>
    <t>CM file</t>
  </si>
  <si>
    <t>Due diligence files 5CX BIGLI 24035W</t>
  </si>
  <si>
    <t>SEA LEAD</t>
  </si>
  <si>
    <t>Due diligence Bigli 24035W (5 files)</t>
  </si>
  <si>
    <t>RE: Due diligence files 5CX BIGLI 24035W</t>
  </si>
  <si>
    <t>RE: Due diligence files PINOCCHIO - 5CX</t>
  </si>
  <si>
    <t>RE: Due diligence files SIMBA 24037W - 5CX</t>
  </si>
  <si>
    <t>RE: Due diligence files TIMON - 5CX</t>
  </si>
  <si>
    <t>RE: Due diligence files MOANA - 5CX (5 Files)</t>
  </si>
  <si>
    <t>FW: Due Diligence report TIMON 24036W / CNNGB - SEA LEAD  [MCaaS #25564897]</t>
  </si>
  <si>
    <t>RE: Due diligence files ZHONG GU LAN ZHOU 24040W</t>
  </si>
  <si>
    <t>Due diligence VICTORIA FORTUNE 24065N</t>
  </si>
  <si>
    <t>REEL service</t>
  </si>
  <si>
    <t>Due diligence ACE 2435N</t>
  </si>
  <si>
    <t>Due diligence Victoria Fortune 24065S</t>
  </si>
  <si>
    <t xml:space="preserve">Due diligence TB ANPING RUBLT </t>
  </si>
  <si>
    <t>Due diligence DHANU 2466S</t>
  </si>
  <si>
    <t xml:space="preserve">Crios // Due Diligence CERUS 24013S - </t>
  </si>
  <si>
    <t>Due diligence MUARA 24030N</t>
  </si>
  <si>
    <t>MV AEOLUS - RU Waters DD V24045 N</t>
  </si>
  <si>
    <t>Due diligence -  ACE 2435S - export from RULED</t>
  </si>
  <si>
    <t xml:space="preserve"> Due diligence report // RUKLD // MUARA 24030S</t>
  </si>
  <si>
    <t>Due diligence CERUS 24018N</t>
  </si>
  <si>
    <t>Due diligence ACE 2435S</t>
  </si>
  <si>
    <t>Due diligence VICTORIA FORTUNE 24066S</t>
  </si>
  <si>
    <t>VICTORIA FORTUNE - DD</t>
  </si>
  <si>
    <t>AEOLUS - DD</t>
  </si>
  <si>
    <t>Due diligence ANDREI TITOV 24027N</t>
  </si>
  <si>
    <t xml:space="preserve">REEL DUE DILIGENCE//Hong Yong Lan Tian 24082S ex VRA </t>
  </si>
  <si>
    <t>Due diligence YUAN XIANG FEN JIN 24135S</t>
  </si>
  <si>
    <t>Due diligence ANDREI TITOV 24027S</t>
  </si>
  <si>
    <t>Due diligence ROB 2486N</t>
  </si>
  <si>
    <t>Due diligence ROB 2486N POL MACAS</t>
  </si>
  <si>
    <t>Due diligence ACE 2436N</t>
  </si>
  <si>
    <t>24067 Victoria Fortune manifest DD</t>
  </si>
  <si>
    <t>Due diligence DHANU 2468N TRALI/MACAS</t>
  </si>
  <si>
    <t>24068 Victoria Fortune manifest DD</t>
  </si>
  <si>
    <t>ANDREI TITOV 24028N TRMPT &amp; TRALI</t>
  </si>
  <si>
    <t>ANDREI TITOV 24028S</t>
  </si>
  <si>
    <t xml:space="preserve">  CERUS 24018S</t>
  </si>
  <si>
    <t>REEL DUE DILIGENCE//HAO HAI JI YUN 24210S</t>
  </si>
  <si>
    <t>REEL DUE DILIGENCE//Hong Yong Lan Tian 24083S ex VRA</t>
  </si>
  <si>
    <t>ACE 2436N MACAS</t>
  </si>
  <si>
    <t>ANDREI TITOV 24029N</t>
  </si>
  <si>
    <t>VICTORIA FORTUNE 24068S</t>
  </si>
  <si>
    <t>CUL JAKARTA</t>
  </si>
  <si>
    <t>Reel Due diligence // Format // RUSSIA _POL RUBLT DHANU 2468S</t>
  </si>
  <si>
    <t>1. BIGLI 24035W</t>
  </si>
  <si>
    <t>Sea-lead service</t>
  </si>
  <si>
    <t>2. TIMON 24036W</t>
  </si>
  <si>
    <t>4. YOGI 24038W</t>
  </si>
  <si>
    <t>5. RANTANPLAN</t>
  </si>
  <si>
    <t>6. ZHONG GU LAN ZHOU 24040W</t>
  </si>
  <si>
    <t>RUNVS-TDR-ANDREI TITOV 24029S</t>
  </si>
  <si>
    <t>MUARA</t>
  </si>
  <si>
    <t>VICTORIA FORTUNE - DD docs and SPIRE inf V.24069N</t>
  </si>
  <si>
    <t>Reel Due diligence // Format // RUSSIA _POL RUBLT TB ANPING 24071S</t>
  </si>
  <si>
    <t>Due diligence -  ACE 2436S - export from RULED</t>
  </si>
  <si>
    <t>MV CERUS / DD docs and SPIRE inf V.24019N</t>
  </si>
  <si>
    <t>TEX - Declaration / Documents needed to send for Russian port call - 240001N</t>
  </si>
  <si>
    <t>RUNVS-TDR-ANDREI TITOV 24029N</t>
  </si>
  <si>
    <t>AEOLUS DD DOCS &amp; SPIRE FILE - 24046N</t>
  </si>
  <si>
    <t>Due diligence files ZHONG GU LAN ZHOU 24040W</t>
  </si>
  <si>
    <t>REEL DUE DILIGENCE//ex HT Honor 2401S  RUVVO+RUVRA</t>
  </si>
  <si>
    <t>1. BIGLI 24036E (not yet receive)</t>
  </si>
  <si>
    <t>2. SIMBA / 24037E (not yet receive)</t>
  </si>
  <si>
    <t>1. TIMON  24036E</t>
  </si>
  <si>
    <t>2. YOGI  24038E</t>
  </si>
  <si>
    <t>3. RANTANPLAN 24039E</t>
  </si>
  <si>
    <t>4. ZHONG GU LAN ZHOU  24040E</t>
  </si>
  <si>
    <t>5. MOANA 24041E</t>
  </si>
  <si>
    <t xml:space="preserve">1. HAKUNA MATATA 24042W </t>
  </si>
  <si>
    <t xml:space="preserve">2. ZHON GU CHENG DU 24043W </t>
  </si>
  <si>
    <t>3. LIANG XIANG 85 24044W</t>
  </si>
  <si>
    <t>4. BIGLI 24045W</t>
  </si>
  <si>
    <t>Due diligence  AEOLUS 24044N TRALI MACAS</t>
  </si>
  <si>
    <t>ETD extension</t>
  </si>
  <si>
    <t>RE: KOLKATA - TDR &amp; Shipment Status for vessel FSL KELANG / 239E // B # VX90IK24000003 &amp; VX90IK24000004</t>
  </si>
  <si>
    <t>RE: LRR YANGON TO CHENNAI, INDIA ON MV. MV. SITC HAIPHONG V. 2436W, ETD ( YGN ) 09 OCT 2024 // DIRECT SVC ) // SRR # RSGFL102400001 // B # VX07MY24000003, VX07MY24000013, to VX07MY24000021</t>
  </si>
  <si>
    <t>RE: MOST URGENT // BKG # VX90IK24000003 &amp; VX90IK24000004 //  URGNET - INCCU (KOLKATA // TDR //  FSL KELANG V. 239E // VOLTA</t>
  </si>
  <si>
    <t>LRR YANGON TO CHENNAI, INDIA ON MV. MV. SITC HAIPHONG V. 2436W, ETD ( YGN ) 09 OCT 2024 // DIRECT SVC ) // SRR # RSGFL102400001 // B # VX07MY24000003, VX07MY24000013, to VX07MY24000021</t>
  </si>
  <si>
    <t>VESSEL ETD EXTENTION // MTT LIMBANG VOY 24LG005S</t>
  </si>
  <si>
    <t>Internal Mail: LRR YANGON TO CHENNAI, INDIA ON MV. MV. SITC HAIPHONG V. 2436W, ETD ( YGN ) 09 OCT 2024 // DIRECT SVC ) // SRR # RSGFL102400001 // B # VX07MY24000003, VX07MY24000013, to VX07MY24000021</t>
  </si>
  <si>
    <t>Request to amend the ETD for VSL REN JIAN 23  Voy : 2439E</t>
  </si>
  <si>
    <t>Chennai - TDR Status - Vessel REN JIAN 23 / 2439</t>
  </si>
  <si>
    <t xml:space="preserve"> Chennai - TDR Status - Vessel SNL ZHANGJIAGANG / 2408W</t>
  </si>
  <si>
    <t>KOLKATA - TDR &amp; Shipment Status for vessel SOL STRIDE / 2415S // B # VX90IK24000006 &amp; VX90IK24000007</t>
  </si>
  <si>
    <t>VSL CREATION AND ETD EXTEND VSL: SNL HAIKOU V 2408   &amp;    INTERASIA CATALYST  Voy : 0046E </t>
  </si>
  <si>
    <t>EVER LEGION V.056E ETD CMB 25.10.2024</t>
  </si>
  <si>
    <t>VESSEL ETD EXTENTION // MTT LIMBANG 24LG006S</t>
  </si>
  <si>
    <t>VISAKHAPATNAM - TDR Status - SNL HAIKOU / 2408W  (5853) - B # VX74IV24000012</t>
  </si>
  <si>
    <t>COCHIN - Request for TDR Report for Vessel - SSL BHARAT / 164  (6233) // B # VX89II24000030, VX89II24000032, VX89II24000035 &amp; VX89II24000036</t>
  </si>
  <si>
    <t>COLOMBO - TDR &amp; Shipment Status for vessel SM KAVERI / 0081W // B # VX78CC24000015, VX78CC24000018 &amp; VX78CC24000020</t>
  </si>
  <si>
    <t>Vessel creation</t>
  </si>
  <si>
    <t xml:space="preserve"> vessel creation request COCHIN</t>
  </si>
  <si>
    <t>VSL CREATION - SYNERGY KEELUNG V. 019E</t>
  </si>
  <si>
    <t>DRU071005/VX98BH24000016  /UX457 / FOB Chittagong_l - Sankt Peterburg 1*40hc_new vessel is needed</t>
  </si>
  <si>
    <t>NOS211016 /  Sovcont / Chennai / Novorossiysk / VX87II24000075_VESSEL CREATION REQUEST</t>
  </si>
  <si>
    <t>RUNVS</t>
  </si>
  <si>
    <t>Reel Shipping LLC / CTSP St.Petersburg / SEP281024 / APO291003 / tba</t>
  </si>
  <si>
    <t>RULED</t>
  </si>
  <si>
    <t>vessel creation request HALDIA KOLKATTA</t>
  </si>
  <si>
    <t xml:space="preserve">vessel creation request TUTICORIN </t>
  </si>
  <si>
    <t>RE: vessel creation request COCHIN</t>
  </si>
  <si>
    <t>RE: vessel creation request HALDIA/KOLKATA</t>
  </si>
  <si>
    <t xml:space="preserve">RE: vessel creation request TUTICORIN </t>
  </si>
  <si>
    <t>RE: COLOMBO - Revise Booking for B # VX78CC24000015</t>
  </si>
  <si>
    <t>RE: VESSEL CREATION // REEL // XPRESS IRRAWADDY VOY 24017S</t>
  </si>
  <si>
    <t>RE: vessel creation request TUTICORIN  kolkata COCHIN</t>
  </si>
  <si>
    <t>SUSPICIOUS:] RE: [SUSPICIOUS:] RE: VSL CREATION // REN JIAN 23 2445E</t>
  </si>
  <si>
    <t>RE: Vessel schedule updation - VUXX - M.V. SSL BHARAT / 166</t>
  </si>
  <si>
    <t>RE: REQUEST TO CREATE VESSEL VOYAGE IN EBMS // MV SHINA V-009E ETA: 07-10-2024</t>
  </si>
  <si>
    <t>vessel creation request HALDIA</t>
  </si>
  <si>
    <t>RE: Booking 3x40 HC CTG TO  NOVOROSSIYSK, RUSSIA  A/C; RAJBARI JUTE MILLS LTD // SRR  # RSBCA102400001</t>
  </si>
  <si>
    <t>RE: LRR YANGON TO CHENNAI, INDIA ON MV. MV. SITC HAIPHONG V. 2436W, ETD ( YGN ) 09 OCT 2024 // DIRECT SVC ) // SRR # RSGFL102400001</t>
  </si>
  <si>
    <t>RE: Urgent - Chennai - Shipment Status - B # VX87II24000025 &amp; VX87II24000026 // SNL HAIKOU / 2407E</t>
  </si>
  <si>
    <t xml:space="preserve">RE: Booking 2X40HC CTG TO  NOVOROSSIYSK, RUSSIA  A/C; FARIDPUR JUTE FIBRES LTD // SRR # RSBCA102400002 // </t>
  </si>
  <si>
    <t>RE: vessel creation request  COLOMBO</t>
  </si>
  <si>
    <t>TDR &amp; PRE ALERT//CEN // VX07MY24000003//24000013/24000014/24000015 //24000016/24000017/24000018//24000020/24000021 //ETD 09 OCT 2024 // MV.SITC HAIPHONG V.2436W // TOTAL 45 X20'GP //</t>
  </si>
  <si>
    <t xml:space="preserve">LRR YANGON TO CHENNAI, INDIA ON MV. ISEACO WISDOM V. 133S, ETD ( YGN ) 23 OCT 2024 // THRU SVC ) // FOR SHUT OUT SHIPMENT : VX07MY24000019 </t>
  </si>
  <si>
    <t>EMA091004/Ruscon/ Cochin/ Novorossiysk/VX89II24000027</t>
  </si>
  <si>
    <t>RE: Booking 2X40HC CTG TO  NOVOROSSIYSK, RUSSIA  A/C; FARIDPUR JUTE FIBRES LTD // SRR # RSBCA102400002 // B # VX98BH24000017</t>
  </si>
  <si>
    <t>VISAKHAPATNAM - TDR Status - SM MANALI / 0046E - B # VX74IV24000012</t>
  </si>
  <si>
    <t>create vessels X-PRESS NUPTSE 189S for CHITTAGONG - vessel creation request</t>
  </si>
  <si>
    <t>Urgent - Chennai - Shipment Status - VX87II24000026 //</t>
  </si>
  <si>
    <t>create vessels GREEN EARTH,V-24036S for CHITTAGONG - vessel creation request</t>
  </si>
  <si>
    <t>vessel creation request COCHIN</t>
  </si>
  <si>
    <t>MRG REF#/6*40 HC/1610470/TUTICORIN - St.Petersburg / APO120902 /VX91IU24000032 tba</t>
  </si>
  <si>
    <t xml:space="preserve"> vessel creation request TUTICORIN </t>
  </si>
  <si>
    <t>DRU211002/VX78CC24000018 /SWA241283 //  Colombo - STP / 1*20' //_new vessel is needed</t>
  </si>
  <si>
    <t xml:space="preserve">VESSEL CREATION // FSL SINGAPORE VOY 104E </t>
  </si>
  <si>
    <t>REQUEST TO CREATE VESSEL VOYAGE IN EBMS</t>
  </si>
  <si>
    <t>VSL CREATION - XIN TIAN JIN V.93E</t>
  </si>
  <si>
    <t>Booking 1x40 HC CTG TO  ST. PETERSBURG, RUSSIA  A/C; SUPER JUTE MILLS LTD // SRR # RSBCA102400009</t>
  </si>
  <si>
    <t>Chittagong_ebms schedule</t>
  </si>
  <si>
    <t xml:space="preserve">LRR FROM YANGON TO CHENNAI, INDIA ON MV. XO LUCKY V-24009W ETD YGN : 21/NOV/2024 // DIRECT SVC // </t>
  </si>
  <si>
    <t>EMA271116/Marco-Logistic/Colombo/ Novorossiysk/VX78CC24000023ONE RESPONSIBILITY</t>
  </si>
  <si>
    <t xml:space="preserve">vessel creation request kolkata </t>
  </si>
  <si>
    <t>WDR</t>
  </si>
  <si>
    <t>REEL// WDR // SRILANKA  COLOMBO // WEEK 43+44</t>
  </si>
  <si>
    <t>RE: REEL //WDR // KOLKATA+HALDIA  // INCCU+INHAL // WEEK 45</t>
  </si>
  <si>
    <t>RE: REEL// WDR // SRILANKA  COLOMBO // WEEK 45</t>
  </si>
  <si>
    <t>RE: REEL // WDR // VISHAKAPATNAM  INVTZ // WEEK 45</t>
  </si>
  <si>
    <t>RE: REEL // WDR  // MYANMAR // MMYGN+MMTLA+MMRGN // WEEK 45</t>
  </si>
  <si>
    <t>RE: REEL // WDR report// CHENNAI INMAA // WEEK 45</t>
  </si>
  <si>
    <t>RE: REEL // WDR // BANGLADESH // CHITTAGONG // WEEK 45</t>
  </si>
  <si>
    <t>RE: AR FOR REEL // WDR  // MYANMAR // MMYGN+MMTLA+MMRGN // WEEK 45</t>
  </si>
  <si>
    <t>REEL // WDR // BANGLADESH // CHITTAGONG // WEEK 46</t>
  </si>
  <si>
    <t>REEL // WDR report// CHENNAI INMAA // WEEK 46</t>
  </si>
  <si>
    <t>REEL // WDR // COCHIN INCOK // WEEK 46</t>
  </si>
  <si>
    <t>RE: REEL // WDR // VISHAKAPATNAM  INVTZ // WEEK 46</t>
  </si>
  <si>
    <t>RE: REEL // WDR  // MYANMAR // MMYGN+MMTLA+MMRGN // WEEK 46</t>
  </si>
  <si>
    <t>Re: REEL // WDR report/// TUTICORIN INTUT // WEEK 46</t>
  </si>
  <si>
    <t>RE: REEL// WDR // SRILANKA  COLOMBO // WEEK 46</t>
  </si>
  <si>
    <t>RE: REEL // WDR // COCHIN INCOK // WEEK 47</t>
  </si>
  <si>
    <t>RE: REEL// WDR // SRILANKA  COLOMBO // WEEK 47</t>
  </si>
  <si>
    <t>RE: REEL //WDR // KOLKATA+HALDIA  // INCCU+INHAL // WEEK 47</t>
  </si>
  <si>
    <t>RE: REEL // WDR report// CHENNAI INMAA // WEEK 47</t>
  </si>
  <si>
    <t>RE: REEL // WDR  // MYANMAR // MMYGN+MMTLA+MMRGN // WEEK 47</t>
  </si>
  <si>
    <t xml:space="preserve"> REEL // WDR // BANGLADESH // CHITTAGONG // WEEK 39</t>
  </si>
  <si>
    <t>REEL// WDR // SRILANKA  COLOMBO // WEEK 39</t>
  </si>
  <si>
    <t>REEL // WDR report/// TUTICORIN INTUT // WEEK 39</t>
  </si>
  <si>
    <t>REEL // WDR  // MYANMAR // MMYGN+MMTLA+MMRGN // WEEK 39</t>
  </si>
  <si>
    <t xml:space="preserve"> REEL // WDR // VISHAKAPATNAM  INVTZ // WEEK 39</t>
  </si>
  <si>
    <t xml:space="preserve"> REEL // WDR report// CHENNAI INMAA // WEEK 39</t>
  </si>
  <si>
    <t xml:space="preserve"> REEL // WDR // COCHIN INCOK // WEEK 39</t>
  </si>
  <si>
    <t>REEL //WDR // KOLKATA+HALDIA  // INCCU+INHAL // WEEK 39</t>
  </si>
  <si>
    <t>REEL// WDR // SRILANKA  COLOMBO // WEEK 40</t>
  </si>
  <si>
    <t>REEL // WDR report/// TUTICORIN INTUT // WEEK 40</t>
  </si>
  <si>
    <t>REEL // WDR  // MYANMAR // MMYGN+MMTLA+MMRGN // WEEK 40</t>
  </si>
  <si>
    <t>REEL // WDR // VISHAKAPATNAM  INVTZ // WEEK 40</t>
  </si>
  <si>
    <t>REEL // WDR report// CHENNAI INMAA // WEEK 40</t>
  </si>
  <si>
    <t>REEL // WDR // COCHIN INCOK // WEEK 40</t>
  </si>
  <si>
    <t>REEL //WDR // KOLKATA+HALDIA  // INCCU+INHAL // WEEK 40</t>
  </si>
  <si>
    <t>REEL // WDR // BANGLADESH // CHITTAGONG // WEEK 40</t>
  </si>
  <si>
    <t>REEL// WDR // SRILANKA  COLOMBO // WEEK 41</t>
  </si>
  <si>
    <t>REEL // WDR report/// TUTICORIN INTUT // WEEK 41</t>
  </si>
  <si>
    <t>REEL // WDR // VISHAKAPATNAM  INVTZ // WEEK 41</t>
  </si>
  <si>
    <t>REEL // WDR report// CHENNAI INMAA // WEEK 41</t>
  </si>
  <si>
    <t>REEL // WDR // COCHIN INCOK // WEEK 41</t>
  </si>
  <si>
    <t>REEL //WDR // KOLKATA+HALDIA  // INCCU+INHAL // WEEK 41</t>
  </si>
  <si>
    <t>REEL // WDR // BANGLADESH // CHITTAGONG // WEEK 41</t>
  </si>
  <si>
    <t>REEL // WDR  // MYANMAR // MMYGN+MMTLA+MMRGN // WEEK 41</t>
  </si>
  <si>
    <t>REEL// WDR // SRILANKA  COLOMBO // WEEK 42</t>
  </si>
  <si>
    <t>REEL //WDR // KOLKATA+HALDIA  // INCCU+INHAL // WEEK 42</t>
  </si>
  <si>
    <t>REEL // WDR // VISHAKAPATNAM  INVTZ // WEEK 42</t>
  </si>
  <si>
    <t>REEL // WDR // COCHIN INCOK // WEEK 42</t>
  </si>
  <si>
    <t xml:space="preserve"> REEL // WDR // BANGLADESH // CHITTAGONG // WEEK 42</t>
  </si>
  <si>
    <t>REEL // WDR  // MYANMAR // MMYGN+MMTLA+MMRGN // WEEK 42</t>
  </si>
  <si>
    <t>REEL // WDR // BANGLADESH // CHITTAGONG // WEEK 43+44</t>
  </si>
  <si>
    <t xml:space="preserve"> REEL //WDR // KOLKATA+HALDIA  // INCCU+INHAL // WEEK 43+44</t>
  </si>
  <si>
    <t>REEL // WDR report// CHENNAI INMAA // WEEK 43+44</t>
  </si>
  <si>
    <t>REEL // WDR // VISHAKAPATNAM  INVTZ // WEEK 43+44</t>
  </si>
  <si>
    <t>REEL // WDR  // MYANMAR // MMYGN+MMTLA+MMRGN // WEEK 43+44</t>
  </si>
  <si>
    <t>REEL // WDR report/// TUTICORIN INTUT // WEEK 43+44</t>
  </si>
  <si>
    <t>REEL //WDR // KOLKATA+HALDIA  // INCCU+INHAL // WEEK 43+44</t>
  </si>
  <si>
    <t>REEL // WDR // COCHIN INCOK // WEEK 43+44</t>
  </si>
  <si>
    <t>REEL // WDR // BANGLADESH // CHITTAGONG // WEEK 45</t>
  </si>
  <si>
    <t>REEL //WDR // KOLKATA+HALDIA  // INCCU+INHAL // WEEK 45</t>
  </si>
  <si>
    <t>REEL // WDR report// CHENNAI INMAA // WEEK 45</t>
  </si>
  <si>
    <t>REEL // WDR // COCHIN INCOK // WEEK 45</t>
  </si>
  <si>
    <t>REEL // WDR // VISHAKAPATNAM  INVTZ // WEEK 45</t>
  </si>
  <si>
    <t>REEL // WDR  // MYANMAR // MMYGN+MMTLA+MMRGN // WEEK 45</t>
  </si>
  <si>
    <t>REEL // WDR report/// TUTICORIN INTUT // WEEK 45</t>
  </si>
  <si>
    <t>REEL// WDR // SRILANKA  COLOMBO // WEEK 45</t>
  </si>
  <si>
    <t>Row Labels</t>
  </si>
  <si>
    <t>Grand Total</t>
  </si>
  <si>
    <t>Count of ACTIVITY</t>
  </si>
  <si>
    <t>total</t>
  </si>
  <si>
    <t>OFF SLA</t>
  </si>
  <si>
    <t>ON SLA</t>
  </si>
  <si>
    <t>Count of TAT2</t>
  </si>
  <si>
    <t>AVERAGE TAT</t>
  </si>
  <si>
    <t xml:space="preserve">MAX TAT </t>
  </si>
  <si>
    <t>PRO</t>
  </si>
  <si>
    <t>BLANK</t>
  </si>
  <si>
    <t>SPEEDOMETER</t>
  </si>
  <si>
    <t>START</t>
  </si>
  <si>
    <t>MIDDLE</t>
  </si>
  <si>
    <t>HIGH</t>
  </si>
  <si>
    <t>END</t>
  </si>
  <si>
    <t>TOTAL</t>
  </si>
  <si>
    <t>VALUE</t>
  </si>
  <si>
    <t>POINTER SIZE</t>
  </si>
  <si>
    <t>Count of User name</t>
  </si>
  <si>
    <t>v</t>
  </si>
  <si>
    <t>average tat</t>
  </si>
  <si>
    <t>pro</t>
  </si>
  <si>
    <t>max</t>
  </si>
  <si>
    <t>blank</t>
  </si>
  <si>
    <t>ar</t>
  </si>
  <si>
    <t>off</t>
  </si>
  <si>
    <t>on</t>
  </si>
  <si>
    <t>pont</t>
  </si>
  <si>
    <t>end</t>
  </si>
  <si>
    <t>tdr</t>
  </si>
  <si>
    <t>Count of SLA</t>
  </si>
  <si>
    <t>Month</t>
  </si>
  <si>
    <t>year</t>
  </si>
  <si>
    <t>Week #</t>
  </si>
  <si>
    <t>Week1</t>
  </si>
  <si>
    <t>Week2</t>
  </si>
  <si>
    <t>TAT3</t>
  </si>
  <si>
    <t>Received</t>
  </si>
  <si>
    <t>Completed</t>
  </si>
  <si>
    <t>TAT 2</t>
  </si>
  <si>
    <t>Process</t>
  </si>
  <si>
    <t xml:space="preserve">POL </t>
  </si>
  <si>
    <t>FPOD</t>
  </si>
  <si>
    <t>Dec</t>
  </si>
  <si>
    <t>Week_2</t>
  </si>
  <si>
    <t>WITH_IN_TAT</t>
  </si>
  <si>
    <t xml:space="preserve">SRR   </t>
  </si>
  <si>
    <t>RUBLT</t>
  </si>
  <si>
    <t>Week_4</t>
  </si>
  <si>
    <t>BKG</t>
  </si>
  <si>
    <t>MYRGN</t>
  </si>
  <si>
    <t>R BKG</t>
  </si>
  <si>
    <t>Week_5</t>
  </si>
  <si>
    <t>BL</t>
  </si>
  <si>
    <t>BDCGT</t>
  </si>
  <si>
    <t>Week_1</t>
  </si>
  <si>
    <t>BL COR</t>
  </si>
  <si>
    <t>Week_3</t>
  </si>
  <si>
    <t>DR</t>
  </si>
  <si>
    <t xml:space="preserve">INMAA </t>
  </si>
  <si>
    <t>RULED/RUNVS</t>
  </si>
  <si>
    <t>RUVVO</t>
  </si>
  <si>
    <r>
      <t xml:space="preserve">EGDAM &amp; </t>
    </r>
    <r>
      <rPr>
        <sz val="12"/>
        <color rgb="FF000000"/>
        <rFont val="Calibri"/>
        <family val="2"/>
      </rPr>
      <t>TRALI</t>
    </r>
  </si>
  <si>
    <t>INHAL</t>
  </si>
  <si>
    <t>SWB</t>
  </si>
  <si>
    <t>Change to OBL</t>
  </si>
  <si>
    <t>SURR</t>
  </si>
  <si>
    <t>BDCTG</t>
  </si>
  <si>
    <t>Count of Port Agent</t>
  </si>
  <si>
    <t>Location</t>
  </si>
  <si>
    <t>port agent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</si>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</sst>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14009]dd\ mmmm\ yyyy;@"/>
    <numFmt numFmtId="165" formatCode="[$-F400]h:mm:ss\ AM/PM"/>
    <numFmt numFmtId="166" formatCode="[$-14009]h:mm:ss;@"/>
    <numFmt numFmtId="167" formatCode="[$-14009]hh:mm:ss;@"/>
  </numFmts>
  <fonts count="11"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2"/>
      <color theme="1"/>
      <name val="Aptos Narrow"/>
      <family val="2"/>
      <scheme val="minor"/>
    </font>
    <font>
      <b/>
      <sz val="12"/>
      <color theme="1"/>
      <name val="Aptos Narrow"/>
      <family val="2"/>
      <scheme val="minor"/>
    </font>
    <font>
      <sz val="11"/>
      <color theme="1"/>
      <name val="Calibri"/>
      <family val="2"/>
    </font>
    <font>
      <sz val="11"/>
      <color theme="1"/>
      <name val="Calibri"/>
      <family val="2"/>
    </font>
    <font>
      <sz val="11"/>
      <color theme="1"/>
      <name val="Aptos Narrow"/>
      <family val="2"/>
      <scheme val="minor"/>
    </font>
    <font>
      <sz val="10"/>
      <color theme="1"/>
      <name val="Aptos Narrow"/>
      <family val="2"/>
      <scheme val="minor"/>
    </font>
    <font>
      <sz val="11"/>
      <name val="Aptos Narrow"/>
      <family val="2"/>
      <scheme val="minor"/>
    </font>
    <font>
      <sz val="12"/>
      <color rgb="FF000000"/>
      <name val="Calibri"/>
      <family val="2"/>
    </font>
  </fonts>
  <fills count="15">
    <fill>
      <patternFill patternType="none"/>
    </fill>
    <fill>
      <patternFill patternType="gray125"/>
    </fill>
    <fill>
      <patternFill patternType="solid">
        <fgColor theme="4" tint="0.59999389629810485"/>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rgb="FFFFFF0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9900"/>
        <bgColor indexed="64"/>
      </patternFill>
    </fill>
    <fill>
      <patternFill patternType="solid">
        <fgColor rgb="FFC3EFE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theme="7" tint="0.79998168889431442"/>
        <bgColor indexed="64"/>
      </patternFill>
    </fill>
    <fill>
      <patternFill patternType="solid">
        <fgColor theme="6" tint="0.79995117038483843"/>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theme="4" tint="0.3999755851924192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diagonal/>
    </border>
    <border>
      <left style="thin">
        <color rgb="FFABABAB"/>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43" fontId="7" fillId="0" borderId="0" applyFont="0" applyFill="0" applyBorder="0" applyAlignment="0" applyProtection="0"/>
    <xf numFmtId="9" fontId="7" fillId="0" borderId="0" applyFont="0" applyFill="0" applyBorder="0" applyAlignment="0" applyProtection="0"/>
  </cellStyleXfs>
  <cellXfs count="85">
    <xf numFmtId="0" fontId="0" fillId="0" borderId="0" xfId="0"/>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164" fontId="3"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22" fontId="5" fillId="0" borderId="1" xfId="0" applyNumberFormat="1" applyFont="1" applyBorder="1" applyAlignment="1">
      <alignment horizontal="center"/>
    </xf>
    <xf numFmtId="0" fontId="0" fillId="0" borderId="1" xfId="0" applyBorder="1" applyAlignment="1">
      <alignment horizontal="center"/>
    </xf>
    <xf numFmtId="165" fontId="6" fillId="0" borderId="1" xfId="0" applyNumberFormat="1" applyFont="1" applyBorder="1" applyAlignment="1">
      <alignment horizontal="center"/>
    </xf>
    <xf numFmtId="1" fontId="6" fillId="0" borderId="1" xfId="0" applyNumberFormat="1" applyFont="1" applyBorder="1" applyAlignment="1">
      <alignment horizontal="center"/>
    </xf>
    <xf numFmtId="0" fontId="6" fillId="0" borderId="1" xfId="0" applyFont="1" applyBorder="1" applyAlignment="1">
      <alignment horizontal="center"/>
    </xf>
    <xf numFmtId="166" fontId="6" fillId="0" borderId="1" xfId="0" applyNumberFormat="1" applyFont="1" applyBorder="1" applyAlignment="1">
      <alignment horizontal="center"/>
    </xf>
    <xf numFmtId="0" fontId="6" fillId="0" borderId="1" xfId="0" applyFont="1" applyBorder="1" applyAlignment="1">
      <alignment horizontal="center" vertical="center"/>
    </xf>
    <xf numFmtId="167" fontId="6" fillId="0" borderId="1" xfId="0" applyNumberFormat="1" applyFont="1" applyBorder="1" applyAlignment="1">
      <alignment horizontal="center"/>
    </xf>
    <xf numFmtId="46" fontId="6" fillId="0" borderId="1" xfId="0" applyNumberFormat="1" applyFont="1" applyBorder="1" applyAlignment="1">
      <alignment horizontal="center"/>
    </xf>
    <xf numFmtId="21" fontId="6" fillId="0" borderId="1" xfId="0" applyNumberFormat="1" applyFont="1" applyBorder="1" applyAlignment="1">
      <alignment horizontal="center"/>
    </xf>
    <xf numFmtId="0" fontId="0" fillId="0" borderId="0" xfId="0" pivotButton="1"/>
    <xf numFmtId="0" fontId="0" fillId="0" borderId="0" xfId="0" applyAlignment="1">
      <alignment horizontal="left"/>
    </xf>
    <xf numFmtId="0" fontId="2" fillId="3" borderId="3" xfId="0" applyFont="1" applyFill="1" applyBorder="1"/>
    <xf numFmtId="0" fontId="0" fillId="0" borderId="1" xfId="0" applyBorder="1" applyAlignment="1">
      <alignment horizontal="left"/>
    </xf>
    <xf numFmtId="0" fontId="0" fillId="0" borderId="1" xfId="0" applyBorder="1"/>
    <xf numFmtId="0" fontId="0" fillId="0" borderId="0" xfId="0" applyAlignment="1">
      <alignment horizontal="left" indent="1"/>
    </xf>
    <xf numFmtId="0" fontId="2" fillId="0" borderId="3" xfId="0" applyFont="1" applyBorder="1" applyAlignment="1">
      <alignment horizontal="left"/>
    </xf>
    <xf numFmtId="0" fontId="2" fillId="0" borderId="3" xfId="0" applyFont="1" applyBorder="1"/>
    <xf numFmtId="0" fontId="2" fillId="0" borderId="1" xfId="0" applyFont="1" applyBorder="1" applyAlignment="1">
      <alignment horizontal="left"/>
    </xf>
    <xf numFmtId="0" fontId="2" fillId="0" borderId="1" xfId="0" applyFont="1" applyBorder="1"/>
    <xf numFmtId="0" fontId="0" fillId="0" borderId="1" xfId="0" applyBorder="1" applyAlignment="1">
      <alignment horizontal="left" indent="1"/>
    </xf>
    <xf numFmtId="0" fontId="2" fillId="3" borderId="1" xfId="0" applyFont="1" applyFill="1" applyBorder="1" applyAlignment="1">
      <alignment horizontal="left"/>
    </xf>
    <xf numFmtId="0" fontId="2" fillId="3" borderId="1" xfId="0" applyFont="1" applyFill="1" applyBorder="1"/>
    <xf numFmtId="2" fontId="0" fillId="0" borderId="1" xfId="0" applyNumberFormat="1" applyBorder="1"/>
    <xf numFmtId="0" fontId="0" fillId="4" borderId="0" xfId="0" applyFill="1"/>
    <xf numFmtId="0" fontId="0" fillId="0" borderId="4" xfId="0" applyBorder="1"/>
    <xf numFmtId="0" fontId="1" fillId="4" borderId="1" xfId="0" applyFont="1" applyFill="1" applyBorder="1"/>
    <xf numFmtId="0" fontId="0" fillId="4" borderId="1" xfId="0" applyFill="1" applyBorder="1"/>
    <xf numFmtId="2" fontId="0" fillId="0" borderId="4" xfId="0" applyNumberFormat="1" applyBorder="1"/>
    <xf numFmtId="0" fontId="0" fillId="0" borderId="1" xfId="0" pivotButton="1" applyBorder="1"/>
    <xf numFmtId="2" fontId="0" fillId="0" borderId="0" xfId="0" applyNumberFormat="1"/>
    <xf numFmtId="9" fontId="0" fillId="0" borderId="0" xfId="0" applyNumberFormat="1"/>
    <xf numFmtId="9" fontId="0" fillId="0" borderId="0" xfId="2" applyFont="1"/>
    <xf numFmtId="43" fontId="0" fillId="0" borderId="0" xfId="1" applyFont="1"/>
    <xf numFmtId="43" fontId="0" fillId="0" borderId="1" xfId="1" applyFont="1" applyBorder="1"/>
    <xf numFmtId="9" fontId="0" fillId="0" borderId="1" xfId="2" applyFont="1" applyBorder="1"/>
    <xf numFmtId="43" fontId="0" fillId="0" borderId="0" xfId="1" applyFont="1" applyBorder="1"/>
    <xf numFmtId="9" fontId="0" fillId="0" borderId="1" xfId="0" applyNumberFormat="1" applyBorder="1"/>
    <xf numFmtId="0" fontId="0" fillId="0" borderId="5" xfId="0" applyBorder="1"/>
    <xf numFmtId="43" fontId="0" fillId="0" borderId="1" xfId="0" applyNumberFormat="1" applyBorder="1"/>
    <xf numFmtId="9" fontId="2" fillId="0" borderId="1" xfId="0" applyNumberFormat="1" applyFont="1" applyBorder="1"/>
    <xf numFmtId="0" fontId="2" fillId="3" borderId="5" xfId="0" applyFont="1" applyFill="1" applyBorder="1" applyAlignment="1">
      <alignment horizontal="left"/>
    </xf>
    <xf numFmtId="0" fontId="2" fillId="5" borderId="1" xfId="0" applyFont="1" applyFill="1" applyBorder="1" applyAlignment="1">
      <alignment horizontal="left"/>
    </xf>
    <xf numFmtId="0" fontId="0" fillId="5" borderId="1" xfId="0" applyFill="1" applyBorder="1"/>
    <xf numFmtId="0" fontId="2" fillId="6" borderId="1" xfId="0" applyFont="1" applyFill="1" applyBorder="1" applyAlignment="1">
      <alignment horizontal="left"/>
    </xf>
    <xf numFmtId="0" fontId="0" fillId="6" borderId="1" xfId="0" applyFill="1" applyBorder="1"/>
    <xf numFmtId="0" fontId="0" fillId="6" borderId="1" xfId="0" applyFill="1" applyBorder="1" applyAlignment="1">
      <alignment horizontal="left" indent="1"/>
    </xf>
    <xf numFmtId="9" fontId="0" fillId="6" borderId="1" xfId="0" applyNumberFormat="1" applyFill="1" applyBorder="1"/>
    <xf numFmtId="0" fontId="0" fillId="7" borderId="1" xfId="0" applyFill="1" applyBorder="1"/>
    <xf numFmtId="9" fontId="0" fillId="7" borderId="1" xfId="2" applyFont="1" applyFill="1" applyBorder="1"/>
    <xf numFmtId="9" fontId="0" fillId="5" borderId="1" xfId="2" applyFont="1" applyFill="1" applyBorder="1"/>
    <xf numFmtId="0" fontId="2" fillId="8" borderId="1" xfId="0" applyFont="1" applyFill="1" applyBorder="1" applyAlignment="1">
      <alignment horizontal="center" vertical="center"/>
    </xf>
    <xf numFmtId="0" fontId="8" fillId="9" borderId="1" xfId="0" applyFont="1" applyFill="1" applyBorder="1" applyAlignment="1">
      <alignment horizontal="center" vertical="center"/>
    </xf>
    <xf numFmtId="22" fontId="0" fillId="9" borderId="1" xfId="0" applyNumberFormat="1" applyFill="1" applyBorder="1" applyAlignment="1">
      <alignment horizontal="center" vertical="center"/>
    </xf>
    <xf numFmtId="20" fontId="0" fillId="9" borderId="1" xfId="0" applyNumberFormat="1" applyFill="1" applyBorder="1"/>
    <xf numFmtId="0" fontId="0" fillId="9" borderId="1" xfId="0" applyFill="1" applyBorder="1"/>
    <xf numFmtId="0" fontId="0" fillId="9" borderId="1" xfId="0" applyFill="1" applyBorder="1" applyAlignment="1">
      <alignment horizontal="center" vertical="center"/>
    </xf>
    <xf numFmtId="0" fontId="8" fillId="0" borderId="1" xfId="0" applyFont="1" applyBorder="1" applyAlignment="1">
      <alignment horizontal="center" vertical="center"/>
    </xf>
    <xf numFmtId="22" fontId="0" fillId="0" borderId="1" xfId="0" applyNumberFormat="1" applyBorder="1" applyAlignment="1">
      <alignment horizontal="center" vertical="center"/>
    </xf>
    <xf numFmtId="20" fontId="0" fillId="10" borderId="1" xfId="0" applyNumberFormat="1" applyFill="1" applyBorder="1"/>
    <xf numFmtId="0" fontId="0" fillId="0" borderId="1" xfId="0" applyBorder="1" applyAlignment="1">
      <alignment horizontal="center" vertical="center"/>
    </xf>
    <xf numFmtId="20" fontId="1" fillId="11" borderId="1" xfId="0" applyNumberFormat="1" applyFont="1" applyFill="1" applyBorder="1"/>
    <xf numFmtId="20" fontId="0" fillId="11" borderId="1" xfId="0" applyNumberFormat="1" applyFill="1" applyBorder="1"/>
    <xf numFmtId="22" fontId="7" fillId="0" borderId="1" xfId="0" applyNumberFormat="1" applyFont="1" applyBorder="1" applyAlignment="1">
      <alignment horizontal="center" vertical="center"/>
    </xf>
    <xf numFmtId="0" fontId="9" fillId="0" borderId="1" xfId="0" applyFont="1" applyBorder="1" applyAlignment="1">
      <alignment horizontal="center" vertical="center"/>
    </xf>
    <xf numFmtId="20" fontId="0" fillId="12" borderId="1" xfId="0" applyNumberFormat="1" applyFill="1" applyBorder="1"/>
    <xf numFmtId="20" fontId="0" fillId="13" borderId="1" xfId="0" applyNumberFormat="1" applyFill="1" applyBorder="1"/>
    <xf numFmtId="0" fontId="7" fillId="0" borderId="1" xfId="0" applyFont="1" applyBorder="1" applyAlignment="1">
      <alignment horizontal="center" vertical="center"/>
    </xf>
    <xf numFmtId="20" fontId="1" fillId="12" borderId="1" xfId="0" applyNumberFormat="1" applyFont="1" applyFill="1" applyBorder="1"/>
    <xf numFmtId="0" fontId="1" fillId="14" borderId="1" xfId="0" applyFont="1" applyFill="1" applyBorder="1"/>
    <xf numFmtId="0" fontId="0" fillId="11" borderId="1" xfId="0" applyFill="1" applyBorder="1"/>
    <xf numFmtId="20" fontId="0" fillId="7" borderId="1" xfId="0" applyNumberFormat="1"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3" borderId="6" xfId="0" applyFont="1" applyFill="1" applyBorder="1"/>
    <xf numFmtId="0" fontId="5" fillId="0" borderId="1" xfId="0" applyFont="1" applyBorder="1" applyAlignment="1">
      <alignment horizontal="center"/>
    </xf>
  </cellXfs>
  <cellStyles count="3">
    <cellStyle name="Comma" xfId="1" builtinId="3"/>
    <cellStyle name="Normal" xfId="0" builtinId="0"/>
    <cellStyle name="Percent" xfId="2" builtinId="5"/>
  </cellStyles>
  <dxfs count="68">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07024E"/>
      <color rgb="FF85F5BA"/>
      <color rgb="FF0A0361"/>
      <color rgb="FF0F0595"/>
      <color rgb="FF0013CC"/>
      <color rgb="FF9187F3"/>
      <color rgb="FF4ABABA"/>
      <color rgb="FF77CAC7"/>
      <color rgb="FF1C81C5"/>
      <color rgb="FF3CA6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1.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4.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rgbClr val="1C81C5"/>
                </a:solidFill>
              </a:rPr>
              <a:t>24</a:t>
            </a:r>
            <a:r>
              <a:rPr lang="en-IN" sz="1050" b="1" baseline="0">
                <a:solidFill>
                  <a:srgbClr val="1C81C5"/>
                </a:solidFill>
              </a:rPr>
              <a:t> HOUR</a:t>
            </a:r>
            <a:endParaRPr lang="en-IN" sz="1050" b="1">
              <a:solidFill>
                <a:srgbClr val="1C81C5"/>
              </a:solidFill>
            </a:endParaRPr>
          </a:p>
        </c:rich>
      </c:tx>
      <c:layout>
        <c:manualLayout>
          <c:xMode val="edge"/>
          <c:yMode val="edge"/>
          <c:x val="0.44684081596621966"/>
          <c:y val="4.06157388653177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9407151842397583"/>
          <c:y val="0.18066594887320644"/>
          <c:w val="0.47725490484562699"/>
          <c:h val="0.69160394857471807"/>
        </c:manualLayout>
      </c:layout>
      <c:doughnutChart>
        <c:varyColors val="1"/>
        <c:ser>
          <c:idx val="0"/>
          <c:order val="0"/>
          <c:spPr>
            <a:ln>
              <a:noFill/>
            </a:ln>
            <a:scene3d>
              <a:camera prst="orthographicFront"/>
              <a:lightRig rig="threePt" dir="t"/>
            </a:scene3d>
            <a:sp3d>
              <a:bevelT/>
            </a:sp3d>
          </c:spPr>
          <c:dPt>
            <c:idx val="0"/>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1-B598-427B-BD4C-B7B29C80179D}"/>
              </c:ext>
            </c:extLst>
          </c:dPt>
          <c:dPt>
            <c:idx val="1"/>
            <c:bubble3D val="0"/>
            <c:spPr>
              <a:noFill/>
              <a:ln w="19050">
                <a:noFill/>
              </a:ln>
              <a:effectLst/>
            </c:spPr>
            <c:extLst>
              <c:ext xmlns:c16="http://schemas.microsoft.com/office/drawing/2014/chart" uri="{C3380CC4-5D6E-409C-BE32-E72D297353CC}">
                <c16:uniqueId val="{00000003-B598-427B-BD4C-B7B29C80179D}"/>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98-427B-BD4C-B7B29C80179D}"/>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Sheet2!$M$53:$M$54</c:f>
              <c:numCache>
                <c:formatCode>0%</c:formatCode>
                <c:ptCount val="2"/>
                <c:pt idx="0">
                  <c:v>1</c:v>
                </c:pt>
                <c:pt idx="1">
                  <c:v>1</c:v>
                </c:pt>
              </c:numCache>
            </c:numRef>
          </c:val>
          <c:extLst>
            <c:ext xmlns:c16="http://schemas.microsoft.com/office/drawing/2014/chart" uri="{C3380CC4-5D6E-409C-BE32-E72D297353CC}">
              <c16:uniqueId val="{00000004-B598-427B-BD4C-B7B29C80179D}"/>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rgbClr val="1C81C5"/>
                </a:solidFill>
              </a:rPr>
              <a:t>1</a:t>
            </a:r>
            <a:r>
              <a:rPr lang="en-IN" sz="1050" b="1" baseline="0">
                <a:solidFill>
                  <a:srgbClr val="1C81C5"/>
                </a:solidFill>
              </a:rPr>
              <a:t> HOUR</a:t>
            </a:r>
            <a:endParaRPr lang="en-IN" sz="1050" b="1">
              <a:solidFill>
                <a:srgbClr val="1C81C5"/>
              </a:solidFill>
            </a:endParaRPr>
          </a:p>
        </c:rich>
      </c:tx>
      <c:layout>
        <c:manualLayout>
          <c:xMode val="edge"/>
          <c:yMode val="edge"/>
          <c:x val="0.33128065843621401"/>
          <c:y val="4.92368291482028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5888971193415638"/>
          <c:y val="0.20388374535714981"/>
          <c:w val="0.49965514403292188"/>
          <c:h val="0.76319814040846412"/>
        </c:manualLayout>
      </c:layout>
      <c:doughnutChart>
        <c:varyColors val="1"/>
        <c:ser>
          <c:idx val="0"/>
          <c:order val="0"/>
          <c:spPr>
            <a:noFill/>
            <a:ln>
              <a:noFill/>
            </a:ln>
          </c:spPr>
          <c:explosion val="2"/>
          <c:dPt>
            <c:idx val="0"/>
            <c:bubble3D val="0"/>
            <c:spPr>
              <a:solidFill>
                <a:srgbClr val="3CA6BB"/>
              </a:solidFill>
              <a:ln w="19050">
                <a:noFill/>
              </a:ln>
              <a:effectLst/>
              <a:scene3d>
                <a:camera prst="orthographicFront"/>
                <a:lightRig rig="threePt" dir="t"/>
              </a:scene3d>
              <a:sp3d>
                <a:bevelT/>
              </a:sp3d>
            </c:spPr>
            <c:extLst>
              <c:ext xmlns:c16="http://schemas.microsoft.com/office/drawing/2014/chart" uri="{C3380CC4-5D6E-409C-BE32-E72D297353CC}">
                <c16:uniqueId val="{00000001-0CE7-4116-9CC7-70D829069B52}"/>
              </c:ext>
            </c:extLst>
          </c:dPt>
          <c:dPt>
            <c:idx val="1"/>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3-0CE7-4116-9CC7-70D829069B52}"/>
              </c:ext>
            </c:extLst>
          </c:dPt>
          <c:dPt>
            <c:idx val="2"/>
            <c:bubble3D val="0"/>
            <c:spPr>
              <a:noFill/>
              <a:ln w="19050">
                <a:noFill/>
              </a:ln>
              <a:effectLst/>
            </c:spPr>
            <c:extLst>
              <c:ext xmlns:c16="http://schemas.microsoft.com/office/drawing/2014/chart" uri="{C3380CC4-5D6E-409C-BE32-E72D297353CC}">
                <c16:uniqueId val="{00000005-0CE7-4116-9CC7-70D829069B52}"/>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CE7-4116-9CC7-70D829069B52}"/>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CE7-4116-9CC7-70D829069B5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Sheet2!$M$68:$M$70</c:f>
              <c:numCache>
                <c:formatCode>0%</c:formatCode>
                <c:ptCount val="3"/>
                <c:pt idx="0">
                  <c:v>0.40816326530612246</c:v>
                </c:pt>
                <c:pt idx="1">
                  <c:v>0.59183673469387754</c:v>
                </c:pt>
                <c:pt idx="2">
                  <c:v>1</c:v>
                </c:pt>
              </c:numCache>
            </c:numRef>
          </c:val>
          <c:extLst>
            <c:ext xmlns:c16="http://schemas.microsoft.com/office/drawing/2014/chart" uri="{C3380CC4-5D6E-409C-BE32-E72D297353CC}">
              <c16:uniqueId val="{00000006-0CE7-4116-9CC7-70D829069B52}"/>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rgbClr val="1C81C5"/>
                </a:solidFill>
              </a:rPr>
              <a:t>1</a:t>
            </a:r>
            <a:r>
              <a:rPr lang="en-IN" sz="1050" b="1" baseline="0">
                <a:solidFill>
                  <a:srgbClr val="1C81C5"/>
                </a:solidFill>
              </a:rPr>
              <a:t> HOUR</a:t>
            </a:r>
            <a:endParaRPr lang="en-IN" sz="1050" b="1">
              <a:solidFill>
                <a:srgbClr val="1C81C5"/>
              </a:solidFill>
            </a:endParaRPr>
          </a:p>
        </c:rich>
      </c:tx>
      <c:layout>
        <c:manualLayout>
          <c:xMode val="edge"/>
          <c:yMode val="edge"/>
          <c:x val="0.39635021672769727"/>
          <c:y val="2.6608506571275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7933439528847315"/>
          <c:y val="0.15198312983740145"/>
          <c:w val="0.4207646077006556"/>
          <c:h val="0.8044424923287109"/>
        </c:manualLayout>
      </c:layout>
      <c:doughnutChart>
        <c:varyColors val="1"/>
        <c:ser>
          <c:idx val="0"/>
          <c:order val="0"/>
          <c:spPr>
            <a:ln>
              <a:noFill/>
            </a:ln>
            <a:scene3d>
              <a:camera prst="orthographicFront"/>
              <a:lightRig rig="threePt" dir="t"/>
            </a:scene3d>
            <a:sp3d>
              <a:bevelT/>
            </a:sp3d>
          </c:spPr>
          <c:explosion val="2"/>
          <c:dPt>
            <c:idx val="0"/>
            <c:bubble3D val="0"/>
            <c:spPr>
              <a:solidFill>
                <a:srgbClr val="4ABABA"/>
              </a:solidFill>
              <a:ln w="19050">
                <a:noFill/>
              </a:ln>
              <a:effectLst/>
              <a:scene3d>
                <a:camera prst="orthographicFront"/>
                <a:lightRig rig="threePt" dir="t"/>
              </a:scene3d>
              <a:sp3d>
                <a:bevelT/>
              </a:sp3d>
            </c:spPr>
            <c:extLst>
              <c:ext xmlns:c16="http://schemas.microsoft.com/office/drawing/2014/chart" uri="{C3380CC4-5D6E-409C-BE32-E72D297353CC}">
                <c16:uniqueId val="{00000001-F9BF-433D-817A-56CDD756B0E2}"/>
              </c:ext>
            </c:extLst>
          </c:dPt>
          <c:dPt>
            <c:idx val="1"/>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3-F9BF-433D-817A-56CDD756B0E2}"/>
              </c:ext>
            </c:extLst>
          </c:dPt>
          <c:dPt>
            <c:idx val="2"/>
            <c:bubble3D val="0"/>
            <c:spPr>
              <a:noFill/>
              <a:ln w="19050">
                <a:noFill/>
              </a:ln>
              <a:effectLst/>
            </c:spPr>
            <c:extLst>
              <c:ext xmlns:c16="http://schemas.microsoft.com/office/drawing/2014/chart" uri="{C3380CC4-5D6E-409C-BE32-E72D297353CC}">
                <c16:uniqueId val="{00000005-F9BF-433D-817A-56CDD756B0E2}"/>
              </c:ext>
            </c:extLst>
          </c:dPt>
          <c:dLbls>
            <c:dLbl>
              <c:idx val="2"/>
              <c:delete val="1"/>
              <c:extLst>
                <c:ext xmlns:c15="http://schemas.microsoft.com/office/drawing/2012/chart" uri="{CE6537A1-D6FC-4f65-9D91-7224C49458BB}"/>
                <c:ext xmlns:c16="http://schemas.microsoft.com/office/drawing/2014/chart" uri="{C3380CC4-5D6E-409C-BE32-E72D297353CC}">
                  <c16:uniqueId val="{00000005-F9BF-433D-817A-56CDD756B0E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Sheet2!$M$45:$M$47</c:f>
              <c:numCache>
                <c:formatCode>0%</c:formatCode>
                <c:ptCount val="3"/>
                <c:pt idx="0">
                  <c:v>0.41666666666666669</c:v>
                </c:pt>
                <c:pt idx="1">
                  <c:v>0.58333333333333337</c:v>
                </c:pt>
                <c:pt idx="2">
                  <c:v>1</c:v>
                </c:pt>
              </c:numCache>
            </c:numRef>
          </c:val>
          <c:extLst>
            <c:ext xmlns:c16="http://schemas.microsoft.com/office/drawing/2014/chart" uri="{C3380CC4-5D6E-409C-BE32-E72D297353CC}">
              <c16:uniqueId val="{00000006-F9BF-433D-817A-56CDD756B0E2}"/>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solidFill>
                  <a:srgbClr val="1C81C5"/>
                </a:solidFill>
              </a:rPr>
              <a:t>1</a:t>
            </a:r>
            <a:r>
              <a:rPr lang="en-IN" sz="1000" b="1" baseline="0">
                <a:solidFill>
                  <a:srgbClr val="1C81C5"/>
                </a:solidFill>
              </a:rPr>
              <a:t> HOUR</a:t>
            </a:r>
            <a:endParaRPr lang="en-IN" sz="1000" b="1">
              <a:solidFill>
                <a:srgbClr val="1C81C5"/>
              </a:solidFill>
            </a:endParaRPr>
          </a:p>
        </c:rich>
      </c:tx>
      <c:layout>
        <c:manualLayout>
          <c:xMode val="edge"/>
          <c:yMode val="edge"/>
          <c:x val="0.50526476697448997"/>
          <c:y val="9.77711872023007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doughnutChart>
        <c:varyColors val="1"/>
        <c:ser>
          <c:idx val="0"/>
          <c:order val="0"/>
          <c:spPr>
            <a:ln>
              <a:noFill/>
            </a:ln>
            <a:scene3d>
              <a:camera prst="orthographicFront"/>
              <a:lightRig rig="threePt" dir="t"/>
            </a:scene3d>
            <a:sp3d>
              <a:bevelT/>
            </a:sp3d>
          </c:spPr>
          <c:dPt>
            <c:idx val="0"/>
            <c:bubble3D val="0"/>
            <c:spPr>
              <a:solidFill>
                <a:srgbClr val="3CA6BB"/>
              </a:solidFill>
              <a:ln w="19050">
                <a:noFill/>
              </a:ln>
              <a:effectLst/>
              <a:scene3d>
                <a:camera prst="orthographicFront"/>
                <a:lightRig rig="threePt" dir="t"/>
              </a:scene3d>
              <a:sp3d>
                <a:bevelT/>
              </a:sp3d>
            </c:spPr>
            <c:extLst>
              <c:ext xmlns:c16="http://schemas.microsoft.com/office/drawing/2014/chart" uri="{C3380CC4-5D6E-409C-BE32-E72D297353CC}">
                <c16:uniqueId val="{00000001-4C25-499A-BF73-BF520197FB85}"/>
              </c:ext>
            </c:extLst>
          </c:dPt>
          <c:dPt>
            <c:idx val="1"/>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3-4C25-499A-BF73-BF520197FB85}"/>
              </c:ext>
            </c:extLst>
          </c:dPt>
          <c:dPt>
            <c:idx val="2"/>
            <c:bubble3D val="0"/>
            <c:spPr>
              <a:noFill/>
              <a:ln w="19050">
                <a:noFill/>
              </a:ln>
              <a:effectLst/>
            </c:spPr>
            <c:extLst>
              <c:ext xmlns:c16="http://schemas.microsoft.com/office/drawing/2014/chart" uri="{C3380CC4-5D6E-409C-BE32-E72D297353CC}">
                <c16:uniqueId val="{00000005-4C25-499A-BF73-BF520197FB85}"/>
              </c:ext>
            </c:extLst>
          </c:dPt>
          <c:dLbls>
            <c:dLbl>
              <c:idx val="0"/>
              <c:layout>
                <c:manualLayout>
                  <c:x val="-5.5555555555555558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C25-499A-BF73-BF520197FB85}"/>
                </c:ext>
              </c:extLst>
            </c:dLbl>
            <c:dLbl>
              <c:idx val="1"/>
              <c:layout>
                <c:manualLayout>
                  <c:x val="-2.2839467318880369E-2"/>
                  <c:y val="-6.407976164346928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C25-499A-BF73-BF520197FB85}"/>
                </c:ext>
              </c:extLst>
            </c:dLbl>
            <c:dLbl>
              <c:idx val="2"/>
              <c:delete val="1"/>
              <c:extLst>
                <c:ext xmlns:c15="http://schemas.microsoft.com/office/drawing/2012/chart" uri="{CE6537A1-D6FC-4f65-9D91-7224C49458BB}"/>
                <c:ext xmlns:c16="http://schemas.microsoft.com/office/drawing/2014/chart" uri="{C3380CC4-5D6E-409C-BE32-E72D297353CC}">
                  <c16:uniqueId val="{00000005-4C25-499A-BF73-BF520197FB85}"/>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Sheet2!$M$60:$M$62</c:f>
              <c:numCache>
                <c:formatCode>0%</c:formatCode>
                <c:ptCount val="3"/>
                <c:pt idx="0">
                  <c:v>0.26315789473684209</c:v>
                </c:pt>
                <c:pt idx="1">
                  <c:v>0.73684210526315785</c:v>
                </c:pt>
                <c:pt idx="2">
                  <c:v>1</c:v>
                </c:pt>
              </c:numCache>
            </c:numRef>
          </c:val>
          <c:extLst>
            <c:ext xmlns:c16="http://schemas.microsoft.com/office/drawing/2014/chart" uri="{C3380CC4-5D6E-409C-BE32-E72D297353CC}">
              <c16:uniqueId val="{00000006-4C25-499A-BF73-BF520197FB85}"/>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rgbClr val="1C81C5"/>
                </a:solidFill>
              </a:rPr>
              <a:t>48</a:t>
            </a:r>
            <a:r>
              <a:rPr lang="en-IN" sz="1050" b="1" baseline="0">
                <a:solidFill>
                  <a:srgbClr val="1C81C5"/>
                </a:solidFill>
              </a:rPr>
              <a:t> HOUR</a:t>
            </a:r>
            <a:endParaRPr lang="en-IN" sz="1050" b="1">
              <a:solidFill>
                <a:srgbClr val="1C81C5"/>
              </a:solidFill>
            </a:endParaRPr>
          </a:p>
        </c:rich>
      </c:tx>
      <c:layout>
        <c:manualLayout>
          <c:xMode val="edge"/>
          <c:yMode val="edge"/>
          <c:x val="0.39179389034704004"/>
          <c:y val="0.2635701108171077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7724190726159234"/>
          <c:y val="0.3940073730657474"/>
          <c:w val="0.63981955380577427"/>
          <c:h val="0.6059926269342526"/>
        </c:manualLayout>
      </c:layout>
      <c:doughnutChart>
        <c:varyColors val="1"/>
        <c:ser>
          <c:idx val="0"/>
          <c:order val="0"/>
          <c:spPr>
            <a:ln>
              <a:noFill/>
            </a:ln>
            <a:scene3d>
              <a:camera prst="orthographicFront"/>
              <a:lightRig rig="threePt" dir="t"/>
            </a:scene3d>
            <a:sp3d>
              <a:bevelT/>
            </a:sp3d>
          </c:spPr>
          <c:dPt>
            <c:idx val="0"/>
            <c:bubble3D val="0"/>
            <c:spPr>
              <a:solidFill>
                <a:schemeClr val="accent1"/>
              </a:solidFill>
              <a:ln w="19050">
                <a:noFill/>
              </a:ln>
              <a:effectLst/>
              <a:scene3d>
                <a:camera prst="orthographicFront"/>
                <a:lightRig rig="threePt" dir="t"/>
              </a:scene3d>
              <a:sp3d>
                <a:bevelT/>
              </a:sp3d>
            </c:spPr>
            <c:extLst>
              <c:ext xmlns:c16="http://schemas.microsoft.com/office/drawing/2014/chart" uri="{C3380CC4-5D6E-409C-BE32-E72D297353CC}">
                <c16:uniqueId val="{00000001-8970-4059-8202-D41F22B6A84D}"/>
              </c:ext>
            </c:extLst>
          </c:dPt>
          <c:dPt>
            <c:idx val="1"/>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3-8970-4059-8202-D41F22B6A84D}"/>
              </c:ext>
            </c:extLst>
          </c:dPt>
          <c:dPt>
            <c:idx val="2"/>
            <c:bubble3D val="0"/>
            <c:spPr>
              <a:noFill/>
              <a:ln w="19050">
                <a:noFill/>
              </a:ln>
              <a:effectLst/>
            </c:spPr>
            <c:extLst>
              <c:ext xmlns:c16="http://schemas.microsoft.com/office/drawing/2014/chart" uri="{C3380CC4-5D6E-409C-BE32-E72D297353CC}">
                <c16:uniqueId val="{00000005-8970-4059-8202-D41F22B6A84D}"/>
              </c:ext>
            </c:extLst>
          </c:dPt>
          <c:dLbls>
            <c:dLbl>
              <c:idx val="0"/>
              <c:layout>
                <c:manualLayout>
                  <c:x val="7.1296296296296344E-2"/>
                  <c:y val="-4.629654578997487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970-4059-8202-D41F22B6A84D}"/>
                </c:ext>
              </c:extLst>
            </c:dLbl>
            <c:dLbl>
              <c:idx val="1"/>
              <c:layout>
                <c:manualLayout>
                  <c:x val="-3.7037037037037077E-2"/>
                  <c:y val="-1.1406850936709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970-4059-8202-D41F22B6A84D}"/>
                </c:ext>
              </c:extLst>
            </c:dLbl>
            <c:dLbl>
              <c:idx val="2"/>
              <c:delete val="1"/>
              <c:extLst>
                <c:ext xmlns:c15="http://schemas.microsoft.com/office/drawing/2012/chart" uri="{CE6537A1-D6FC-4f65-9D91-7224C49458BB}"/>
                <c:ext xmlns:c16="http://schemas.microsoft.com/office/drawing/2014/chart" uri="{C3380CC4-5D6E-409C-BE32-E72D297353CC}">
                  <c16:uniqueId val="{00000005-8970-4059-8202-D41F22B6A84D}"/>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Sheet2!$M$56:$M$58</c:f>
              <c:numCache>
                <c:formatCode>0%</c:formatCode>
                <c:ptCount val="3"/>
                <c:pt idx="0">
                  <c:v>1.282051282051282E-2</c:v>
                </c:pt>
                <c:pt idx="1">
                  <c:v>0.98717948717948723</c:v>
                </c:pt>
                <c:pt idx="2">
                  <c:v>1</c:v>
                </c:pt>
              </c:numCache>
            </c:numRef>
          </c:val>
          <c:extLst>
            <c:ext xmlns:c16="http://schemas.microsoft.com/office/drawing/2014/chart" uri="{C3380CC4-5D6E-409C-BE32-E72D297353CC}">
              <c16:uniqueId val="{00000006-8970-4059-8202-D41F22B6A84D}"/>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rgbClr val="1C81C5"/>
                </a:solidFill>
              </a:rPr>
              <a:t>2</a:t>
            </a:r>
            <a:r>
              <a:rPr lang="en-IN" sz="1050" b="1" baseline="0">
                <a:solidFill>
                  <a:srgbClr val="1C81C5"/>
                </a:solidFill>
              </a:rPr>
              <a:t> HOURS</a:t>
            </a:r>
            <a:endParaRPr lang="en-IN" sz="1050" b="1">
              <a:solidFill>
                <a:srgbClr val="1C81C5"/>
              </a:solidFill>
            </a:endParaRPr>
          </a:p>
        </c:rich>
      </c:tx>
      <c:layout>
        <c:manualLayout>
          <c:xMode val="edge"/>
          <c:yMode val="edge"/>
          <c:x val="0.66081268215706157"/>
          <c:y val="0.103152005283456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47213379385858978"/>
          <c:y val="0.24835585844551522"/>
          <c:w val="0.52608046310162149"/>
          <c:h val="0.76308000432092815"/>
        </c:manualLayout>
      </c:layout>
      <c:doughnutChart>
        <c:varyColors val="1"/>
        <c:ser>
          <c:idx val="0"/>
          <c:order val="0"/>
          <c:spPr>
            <a:ln>
              <a:noFill/>
            </a:ln>
            <a:scene3d>
              <a:camera prst="orthographicFront"/>
              <a:lightRig rig="threePt" dir="t"/>
            </a:scene3d>
            <a:sp3d>
              <a:bevelT/>
            </a:sp3d>
          </c:spPr>
          <c:dPt>
            <c:idx val="0"/>
            <c:bubble3D val="0"/>
            <c:spPr>
              <a:solidFill>
                <a:srgbClr val="4ABABA"/>
              </a:solidFill>
              <a:ln w="19050">
                <a:noFill/>
              </a:ln>
              <a:effectLst/>
              <a:scene3d>
                <a:camera prst="orthographicFront"/>
                <a:lightRig rig="threePt" dir="t"/>
              </a:scene3d>
              <a:sp3d>
                <a:bevelT/>
              </a:sp3d>
            </c:spPr>
            <c:extLst>
              <c:ext xmlns:c16="http://schemas.microsoft.com/office/drawing/2014/chart" uri="{C3380CC4-5D6E-409C-BE32-E72D297353CC}">
                <c16:uniqueId val="{00000001-90C0-47E8-B503-795FB546EA3E}"/>
              </c:ext>
            </c:extLst>
          </c:dPt>
          <c:dPt>
            <c:idx val="1"/>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3-90C0-47E8-B503-795FB546EA3E}"/>
              </c:ext>
            </c:extLst>
          </c:dPt>
          <c:dPt>
            <c:idx val="2"/>
            <c:bubble3D val="0"/>
            <c:spPr>
              <a:noFill/>
              <a:ln w="19050">
                <a:noFill/>
              </a:ln>
              <a:effectLst/>
            </c:spPr>
            <c:extLst>
              <c:ext xmlns:c16="http://schemas.microsoft.com/office/drawing/2014/chart" uri="{C3380CC4-5D6E-409C-BE32-E72D297353CC}">
                <c16:uniqueId val="{00000005-90C0-47E8-B503-795FB546EA3E}"/>
              </c:ext>
            </c:extLst>
          </c:dPt>
          <c:dLbls>
            <c:dLbl>
              <c:idx val="2"/>
              <c:delete val="1"/>
              <c:extLst>
                <c:ext xmlns:c15="http://schemas.microsoft.com/office/drawing/2012/chart" uri="{CE6537A1-D6FC-4f65-9D91-7224C49458BB}"/>
                <c:ext xmlns:c16="http://schemas.microsoft.com/office/drawing/2014/chart" uri="{C3380CC4-5D6E-409C-BE32-E72D297353CC}">
                  <c16:uniqueId val="{00000005-90C0-47E8-B503-795FB546EA3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Sheet2!$M$64:$M$66</c:f>
              <c:numCache>
                <c:formatCode>0%</c:formatCode>
                <c:ptCount val="3"/>
                <c:pt idx="0">
                  <c:v>0.33333333333333331</c:v>
                </c:pt>
                <c:pt idx="1">
                  <c:v>0.66666666666666663</c:v>
                </c:pt>
                <c:pt idx="2">
                  <c:v>1</c:v>
                </c:pt>
              </c:numCache>
            </c:numRef>
          </c:val>
          <c:extLst>
            <c:ext xmlns:c16="http://schemas.microsoft.com/office/drawing/2014/chart" uri="{C3380CC4-5D6E-409C-BE32-E72D297353CC}">
              <c16:uniqueId val="{00000006-90C0-47E8-B503-795FB546EA3E}"/>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IN" sz="1000" b="1">
                <a:solidFill>
                  <a:srgbClr val="1C81C5"/>
                </a:solidFill>
              </a:rPr>
              <a:t>1</a:t>
            </a:r>
            <a:r>
              <a:rPr lang="en-IN" sz="1000" b="1" baseline="0">
                <a:solidFill>
                  <a:srgbClr val="1C81C5"/>
                </a:solidFill>
              </a:rPr>
              <a:t> HOUR</a:t>
            </a:r>
            <a:endParaRPr lang="en-IN" sz="1000" b="1">
              <a:solidFill>
                <a:srgbClr val="1C81C5"/>
              </a:solidFill>
            </a:endParaRPr>
          </a:p>
        </c:rich>
      </c:tx>
      <c:layout>
        <c:manualLayout>
          <c:xMode val="edge"/>
          <c:yMode val="edge"/>
          <c:x val="0.52758130777131129"/>
          <c:y val="8.5212538186288031E-3"/>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3065225950017117"/>
          <c:y val="0.10308334310548169"/>
          <c:w val="0.51387666894899009"/>
          <c:h val="0.89691665689451827"/>
        </c:manualLayout>
      </c:layout>
      <c:doughnutChart>
        <c:varyColors val="1"/>
        <c:ser>
          <c:idx val="0"/>
          <c:order val="0"/>
          <c:spPr>
            <a:ln>
              <a:noFill/>
            </a:ln>
            <a:scene3d>
              <a:camera prst="orthographicFront"/>
              <a:lightRig rig="threePt" dir="t"/>
            </a:scene3d>
            <a:sp3d>
              <a:bevelT/>
            </a:sp3d>
          </c:spPr>
          <c:dPt>
            <c:idx val="0"/>
            <c:bubble3D val="0"/>
            <c:spPr>
              <a:solidFill>
                <a:srgbClr val="4ABABA"/>
              </a:solidFill>
              <a:ln w="19050">
                <a:noFill/>
              </a:ln>
              <a:effectLst/>
              <a:scene3d>
                <a:camera prst="orthographicFront"/>
                <a:lightRig rig="threePt" dir="t"/>
              </a:scene3d>
              <a:sp3d>
                <a:bevelT/>
              </a:sp3d>
            </c:spPr>
            <c:extLst>
              <c:ext xmlns:c16="http://schemas.microsoft.com/office/drawing/2014/chart" uri="{C3380CC4-5D6E-409C-BE32-E72D297353CC}">
                <c16:uniqueId val="{00000001-B9D8-45EA-AFE1-1E3FD5C267FF}"/>
              </c:ext>
            </c:extLst>
          </c:dPt>
          <c:dPt>
            <c:idx val="1"/>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3-B9D8-45EA-AFE1-1E3FD5C267FF}"/>
              </c:ext>
            </c:extLst>
          </c:dPt>
          <c:dPt>
            <c:idx val="2"/>
            <c:bubble3D val="0"/>
            <c:spPr>
              <a:noFill/>
              <a:ln w="19050">
                <a:noFill/>
              </a:ln>
              <a:effectLst/>
            </c:spPr>
            <c:extLst>
              <c:ext xmlns:c16="http://schemas.microsoft.com/office/drawing/2014/chart" uri="{C3380CC4-5D6E-409C-BE32-E72D297353CC}">
                <c16:uniqueId val="{00000005-B9D8-45EA-AFE1-1E3FD5C267FF}"/>
              </c:ext>
            </c:extLst>
          </c:dPt>
          <c:dLbls>
            <c:dLbl>
              <c:idx val="2"/>
              <c:delete val="1"/>
              <c:extLst>
                <c:ext xmlns:c15="http://schemas.microsoft.com/office/drawing/2012/chart" uri="{CE6537A1-D6FC-4f65-9D91-7224C49458BB}"/>
                <c:ext xmlns:c16="http://schemas.microsoft.com/office/drawing/2014/chart" uri="{C3380CC4-5D6E-409C-BE32-E72D297353CC}">
                  <c16:uniqueId val="{00000005-B9D8-45EA-AFE1-1E3FD5C267FF}"/>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Sheet2!$M$49:$M$51</c:f>
              <c:numCache>
                <c:formatCode>0%</c:formatCode>
                <c:ptCount val="3"/>
                <c:pt idx="0">
                  <c:v>0.27659574468085107</c:v>
                </c:pt>
                <c:pt idx="1">
                  <c:v>0.72340425531914898</c:v>
                </c:pt>
                <c:pt idx="2">
                  <c:v>1</c:v>
                </c:pt>
              </c:numCache>
            </c:numRef>
          </c:val>
          <c:extLst>
            <c:ext xmlns:c16="http://schemas.microsoft.com/office/drawing/2014/chart" uri="{C3380CC4-5D6E-409C-BE32-E72D297353CC}">
              <c16:uniqueId val="{00000006-B9D8-45EA-AFE1-1E3FD5C267FF}"/>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1" i="0" u="none" strike="noStrike" kern="1200" spc="0" baseline="0">
                <a:solidFill>
                  <a:srgbClr val="1C81C5"/>
                </a:solidFill>
                <a:latin typeface="+mn-lt"/>
                <a:ea typeface="+mn-ea"/>
                <a:cs typeface="+mn-cs"/>
              </a:defRPr>
            </a:pPr>
            <a:r>
              <a:rPr lang="en-IN" sz="1000" b="1">
                <a:solidFill>
                  <a:srgbClr val="1C81C5"/>
                </a:solidFill>
              </a:rPr>
              <a:t>24</a:t>
            </a:r>
            <a:r>
              <a:rPr lang="en-IN" sz="1000" b="1" baseline="0">
                <a:solidFill>
                  <a:srgbClr val="1C81C5"/>
                </a:solidFill>
              </a:rPr>
              <a:t> HOUR</a:t>
            </a:r>
            <a:endParaRPr lang="en-IN" sz="1000" b="1">
              <a:solidFill>
                <a:srgbClr val="1C81C5"/>
              </a:solidFill>
            </a:endParaRPr>
          </a:p>
        </c:rich>
      </c:tx>
      <c:layout>
        <c:manualLayout>
          <c:xMode val="edge"/>
          <c:yMode val="edge"/>
          <c:x val="0.46638543844068603"/>
          <c:y val="4.8572776297505067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rgbClr val="1C81C5"/>
              </a:solidFill>
              <a:latin typeface="+mn-lt"/>
              <a:ea typeface="+mn-ea"/>
              <a:cs typeface="+mn-cs"/>
            </a:defRPr>
          </a:pPr>
          <a:endParaRPr lang="en-IN"/>
        </a:p>
      </c:txPr>
    </c:title>
    <c:autoTitleDeleted val="0"/>
    <c:plotArea>
      <c:layout>
        <c:manualLayout>
          <c:layoutTarget val="inner"/>
          <c:xMode val="edge"/>
          <c:yMode val="edge"/>
          <c:x val="0.21519970371174721"/>
          <c:y val="0.20664174738347527"/>
          <c:w val="0.5916181255502081"/>
          <c:h val="0.79335825261652471"/>
        </c:manualLayout>
      </c:layout>
      <c:doughnutChart>
        <c:varyColors val="1"/>
        <c:ser>
          <c:idx val="0"/>
          <c:order val="0"/>
          <c:spPr>
            <a:ln>
              <a:noFill/>
            </a:ln>
          </c:spPr>
          <c:dPt>
            <c:idx val="0"/>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1-04D6-43A3-ACB3-274FFF7A75AE}"/>
              </c:ext>
            </c:extLst>
          </c:dPt>
          <c:dPt>
            <c:idx val="1"/>
            <c:bubble3D val="0"/>
            <c:spPr>
              <a:noFill/>
              <a:ln w="19050">
                <a:noFill/>
              </a:ln>
              <a:effectLst/>
            </c:spPr>
            <c:extLst>
              <c:ext xmlns:c16="http://schemas.microsoft.com/office/drawing/2014/chart" uri="{C3380CC4-5D6E-409C-BE32-E72D297353CC}">
                <c16:uniqueId val="{00000003-04D6-43A3-ACB3-274FFF7A75AE}"/>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4D6-43A3-ACB3-274FFF7A75A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Sheet2!$M$72:$M$73</c:f>
              <c:numCache>
                <c:formatCode>0%</c:formatCode>
                <c:ptCount val="2"/>
                <c:pt idx="0">
                  <c:v>1</c:v>
                </c:pt>
                <c:pt idx="1">
                  <c:v>1</c:v>
                </c:pt>
              </c:numCache>
            </c:numRef>
          </c:val>
          <c:extLst>
            <c:ext xmlns:c16="http://schemas.microsoft.com/office/drawing/2014/chart" uri="{C3380CC4-5D6E-409C-BE32-E72D297353CC}">
              <c16:uniqueId val="{00000004-04D6-43A3-ACB3-274FFF7A75AE}"/>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50" b="1">
                <a:solidFill>
                  <a:srgbClr val="1C81C5"/>
                </a:solidFill>
              </a:rPr>
              <a:t>24</a:t>
            </a:r>
            <a:r>
              <a:rPr lang="en-IN" sz="1050" b="1" baseline="0">
                <a:solidFill>
                  <a:srgbClr val="1C81C5"/>
                </a:solidFill>
              </a:rPr>
              <a:t> HOUR</a:t>
            </a:r>
            <a:endParaRPr lang="en-IN" sz="1050" b="1">
              <a:solidFill>
                <a:srgbClr val="1C81C5"/>
              </a:solidFill>
            </a:endParaRPr>
          </a:p>
        </c:rich>
      </c:tx>
      <c:layout>
        <c:manualLayout>
          <c:xMode val="edge"/>
          <c:yMode val="edge"/>
          <c:x val="0.44684081596621966"/>
          <c:y val="4.06157388653177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29407151842397583"/>
          <c:y val="0.18066594887320644"/>
          <c:w val="0.47725490484562699"/>
          <c:h val="0.69160394857471807"/>
        </c:manualLayout>
      </c:layout>
      <c:doughnutChart>
        <c:varyColors val="1"/>
        <c:ser>
          <c:idx val="0"/>
          <c:order val="0"/>
          <c:spPr>
            <a:ln>
              <a:noFill/>
            </a:ln>
            <a:scene3d>
              <a:camera prst="orthographicFront"/>
              <a:lightRig rig="threePt" dir="t"/>
            </a:scene3d>
            <a:sp3d>
              <a:bevelT/>
            </a:sp3d>
          </c:spPr>
          <c:dPt>
            <c:idx val="0"/>
            <c:bubble3D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1-B577-486C-B981-340E210F8172}"/>
              </c:ext>
            </c:extLst>
          </c:dPt>
          <c:dPt>
            <c:idx val="1"/>
            <c:bubble3D val="0"/>
            <c:spPr>
              <a:noFill/>
              <a:ln w="19050">
                <a:noFill/>
              </a:ln>
              <a:effectLst/>
            </c:spPr>
            <c:extLst>
              <c:ext xmlns:c16="http://schemas.microsoft.com/office/drawing/2014/chart" uri="{C3380CC4-5D6E-409C-BE32-E72D297353CC}">
                <c16:uniqueId val="{00000003-B577-486C-B981-340E210F8172}"/>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577-486C-B981-340E210F8172}"/>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Sheet2!$M$53:$M$54</c:f>
              <c:numCache>
                <c:formatCode>0%</c:formatCode>
                <c:ptCount val="2"/>
                <c:pt idx="0">
                  <c:v>1</c:v>
                </c:pt>
                <c:pt idx="1">
                  <c:v>1</c:v>
                </c:pt>
              </c:numCache>
            </c:numRef>
          </c:val>
          <c:extLst>
            <c:ext xmlns:c16="http://schemas.microsoft.com/office/drawing/2014/chart" uri="{C3380CC4-5D6E-409C-BE32-E72D297353CC}">
              <c16:uniqueId val="{00000004-B577-486C-B981-340E210F8172}"/>
            </c:ext>
          </c:extLst>
        </c:ser>
        <c:dLbls>
          <c:showLegendKey val="0"/>
          <c:showVal val="0"/>
          <c:showCatName val="0"/>
          <c:showSerName val="0"/>
          <c:showPercent val="0"/>
          <c:showBubbleSize val="0"/>
          <c:showLeaderLines val="1"/>
        </c:dLbls>
        <c:firstSliceAng val="27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[reel yuvi&amp;sasi.xlsx]Sheet2!PivotTable8</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1C81C5"/>
          </a:solidFill>
          <a:ln>
            <a:noFill/>
          </a:ln>
          <a:effectLst/>
          <a:scene3d>
            <a:camera prst="orthographicFront"/>
            <a:lightRig rig="threePt" dir="t"/>
          </a:scene3d>
          <a:sp3d>
            <a:bevelT/>
          </a:sp3d>
        </c:spPr>
      </c:pivotFmt>
      <c:pivotFmt>
        <c:idx val="3"/>
        <c:spPr>
          <a:solidFill>
            <a:srgbClr val="1C81C5"/>
          </a:solidFill>
          <a:ln>
            <a:noFill/>
          </a:ln>
          <a:effectLst/>
          <a:scene3d>
            <a:camera prst="orthographicFront"/>
            <a:lightRig rig="threePt" dir="t"/>
          </a:scene3d>
          <a:sp3d>
            <a:bevelT/>
          </a:sp3d>
        </c:spPr>
      </c:pivotFmt>
      <c:pivotFmt>
        <c:idx val="4"/>
        <c:spPr>
          <a:solidFill>
            <a:srgbClr val="1C81C5"/>
          </a:solidFill>
          <a:ln>
            <a:noFill/>
          </a:ln>
          <a:effectLst/>
          <a:scene3d>
            <a:camera prst="orthographicFront"/>
            <a:lightRig rig="threePt" dir="t"/>
          </a:scene3d>
          <a:sp3d>
            <a:bevelT/>
          </a:sp3d>
        </c:spPr>
      </c:pivotFmt>
      <c:pivotFmt>
        <c:idx val="5"/>
        <c:spPr>
          <a:solidFill>
            <a:srgbClr val="1C81C5"/>
          </a:solidFill>
          <a:ln>
            <a:noFill/>
          </a:ln>
          <a:effectLst/>
          <a:scene3d>
            <a:camera prst="orthographicFront"/>
            <a:lightRig rig="threePt" dir="t"/>
          </a:scene3d>
          <a:sp3d>
            <a:bevelT/>
          </a:sp3d>
        </c:spPr>
      </c:pivotFmt>
      <c:pivotFmt>
        <c:idx val="6"/>
        <c:spPr>
          <a:solidFill>
            <a:srgbClr val="1C81C5"/>
          </a:solidFill>
          <a:ln>
            <a:noFill/>
          </a:ln>
          <a:effectLst/>
          <a:scene3d>
            <a:camera prst="orthographicFront"/>
            <a:lightRig rig="threePt" dir="t"/>
          </a:scene3d>
          <a:sp3d>
            <a:bevelT/>
          </a:sp3d>
        </c:spPr>
      </c:pivotFmt>
      <c:pivotFmt>
        <c:idx val="7"/>
        <c:spPr>
          <a:solidFill>
            <a:srgbClr val="1C81C5"/>
          </a:solidFill>
          <a:ln>
            <a:noFill/>
          </a:ln>
          <a:effectLst/>
          <a:scene3d>
            <a:camera prst="orthographicFront"/>
            <a:lightRig rig="threePt" dir="t"/>
          </a:scene3d>
          <a:sp3d>
            <a:bevelT/>
          </a:sp3d>
        </c:spPr>
      </c:pivotFmt>
      <c:pivotFmt>
        <c:idx val="8"/>
        <c:spPr>
          <a:solidFill>
            <a:schemeClr val="accent3">
              <a:lumMod val="60000"/>
              <a:lumOff val="40000"/>
            </a:schemeClr>
          </a:solidFill>
          <a:ln>
            <a:noFill/>
          </a:ln>
          <a:effectLst/>
          <a:scene3d>
            <a:camera prst="orthographicFront"/>
            <a:lightRig rig="threePt" dir="t"/>
          </a:scene3d>
          <a:sp3d>
            <a:bevelT/>
          </a:sp3d>
        </c:spPr>
      </c:pivotFmt>
      <c:pivotFmt>
        <c:idx val="9"/>
        <c:spPr>
          <a:solidFill>
            <a:schemeClr val="accent3">
              <a:lumMod val="60000"/>
              <a:lumOff val="40000"/>
            </a:schemeClr>
          </a:solidFill>
          <a:ln>
            <a:noFill/>
          </a:ln>
          <a:effectLst/>
          <a:scene3d>
            <a:camera prst="orthographicFront"/>
            <a:lightRig rig="threePt" dir="t"/>
          </a:scene3d>
          <a:sp3d>
            <a:bevelT/>
          </a:sp3d>
        </c:spPr>
      </c:pivotFmt>
      <c:pivotFmt>
        <c:idx val="10"/>
        <c:spPr>
          <a:solidFill>
            <a:schemeClr val="accent3">
              <a:lumMod val="60000"/>
              <a:lumOff val="40000"/>
            </a:schemeClr>
          </a:solidFill>
          <a:ln>
            <a:noFill/>
          </a:ln>
          <a:effectLst/>
          <a:scene3d>
            <a:camera prst="orthographicFront"/>
            <a:lightRig rig="threePt" dir="t"/>
          </a:scene3d>
          <a:sp3d>
            <a:bevelT/>
          </a:sp3d>
        </c:spPr>
      </c:pivotFmt>
      <c:pivotFmt>
        <c:idx val="11"/>
        <c:spPr>
          <a:solidFill>
            <a:schemeClr val="accent3">
              <a:lumMod val="60000"/>
              <a:lumOff val="40000"/>
            </a:schemeClr>
          </a:solidFill>
          <a:ln>
            <a:noFill/>
          </a:ln>
          <a:effectLst/>
          <a:scene3d>
            <a:camera prst="orthographicFront"/>
            <a:lightRig rig="threePt" dir="t"/>
          </a:scene3d>
          <a:sp3d>
            <a:bevelT/>
          </a:sp3d>
        </c:spPr>
      </c:pivotFmt>
      <c:pivotFmt>
        <c:idx val="12"/>
        <c:spPr>
          <a:solidFill>
            <a:schemeClr val="accent3">
              <a:lumMod val="60000"/>
              <a:lumOff val="40000"/>
            </a:schemeClr>
          </a:solidFill>
          <a:ln>
            <a:noFill/>
          </a:ln>
          <a:effectLst/>
          <a:scene3d>
            <a:camera prst="orthographicFront"/>
            <a:lightRig rig="threePt" dir="t"/>
          </a:scene3d>
          <a:sp3d>
            <a:bevelT/>
          </a:sp3d>
        </c:spPr>
      </c:pivotFmt>
      <c:pivotFmt>
        <c:idx val="13"/>
        <c:spPr>
          <a:solidFill>
            <a:schemeClr val="accent3">
              <a:lumMod val="60000"/>
              <a:lumOff val="40000"/>
            </a:schemeClr>
          </a:solidFill>
          <a:ln>
            <a:noFill/>
          </a:ln>
          <a:effectLst/>
          <a:scene3d>
            <a:camera prst="orthographicFront"/>
            <a:lightRig rig="threePt" dir="t"/>
          </a:scene3d>
          <a:sp3d>
            <a:bevelT/>
          </a:sp3d>
        </c:spPr>
      </c:pivotFmt>
      <c:pivotFmt>
        <c:idx val="14"/>
        <c:spPr>
          <a:solidFill>
            <a:schemeClr val="accent3">
              <a:lumMod val="60000"/>
              <a:lumOff val="40000"/>
            </a:schemeClr>
          </a:solidFill>
          <a:ln>
            <a:noFill/>
          </a:ln>
          <a:effectLst/>
          <a:scene3d>
            <a:camera prst="orthographicFront"/>
            <a:lightRig rig="threePt" dir="t"/>
          </a:scene3d>
          <a:sp3d>
            <a:bevelT/>
          </a:sp3d>
        </c:spPr>
      </c:pivotFmt>
      <c:pivotFmt>
        <c:idx val="15"/>
        <c:spPr>
          <a:solidFill>
            <a:schemeClr val="accent3">
              <a:lumMod val="60000"/>
              <a:lumOff val="40000"/>
            </a:schemeClr>
          </a:solidFill>
          <a:ln>
            <a:noFill/>
          </a:ln>
          <a:effectLst/>
          <a:scene3d>
            <a:camera prst="orthographicFront"/>
            <a:lightRig rig="threePt" dir="t"/>
          </a:scene3d>
          <a:sp3d>
            <a:bevelT/>
          </a:sp3d>
        </c:spPr>
      </c:pivotFmt>
      <c:pivotFmt>
        <c:idx val="16"/>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1C81C5"/>
          </a:solidFill>
          <a:ln>
            <a:noFill/>
          </a:ln>
          <a:effectLst/>
          <a:scene3d>
            <a:camera prst="orthographicFront"/>
            <a:lightRig rig="threePt" dir="t"/>
          </a:scene3d>
          <a:sp3d>
            <a:bevelT/>
          </a:sp3d>
        </c:spPr>
      </c:pivotFmt>
      <c:pivotFmt>
        <c:idx val="18"/>
        <c:spPr>
          <a:solidFill>
            <a:schemeClr val="accent3">
              <a:lumMod val="60000"/>
              <a:lumOff val="40000"/>
            </a:schemeClr>
          </a:solidFill>
          <a:ln>
            <a:noFill/>
          </a:ln>
          <a:effectLst/>
          <a:scene3d>
            <a:camera prst="orthographicFront"/>
            <a:lightRig rig="threePt" dir="t"/>
          </a:scene3d>
          <a:sp3d>
            <a:bevelT/>
          </a:sp3d>
        </c:spPr>
      </c:pivotFmt>
      <c:pivotFmt>
        <c:idx val="19"/>
        <c:spPr>
          <a:solidFill>
            <a:srgbClr val="1C81C5"/>
          </a:solidFill>
          <a:ln>
            <a:noFill/>
          </a:ln>
          <a:effectLst/>
          <a:scene3d>
            <a:camera prst="orthographicFront"/>
            <a:lightRig rig="threePt" dir="t"/>
          </a:scene3d>
          <a:sp3d>
            <a:bevelT/>
          </a:sp3d>
        </c:spPr>
      </c:pivotFmt>
      <c:pivotFmt>
        <c:idx val="20"/>
        <c:spPr>
          <a:solidFill>
            <a:schemeClr val="accent3">
              <a:lumMod val="60000"/>
              <a:lumOff val="40000"/>
            </a:schemeClr>
          </a:solidFill>
          <a:ln>
            <a:noFill/>
          </a:ln>
          <a:effectLst/>
          <a:scene3d>
            <a:camera prst="orthographicFront"/>
            <a:lightRig rig="threePt" dir="t"/>
          </a:scene3d>
          <a:sp3d>
            <a:bevelT/>
          </a:sp3d>
        </c:spPr>
      </c:pivotFmt>
      <c:pivotFmt>
        <c:idx val="21"/>
        <c:spPr>
          <a:solidFill>
            <a:schemeClr val="accent3">
              <a:lumMod val="60000"/>
              <a:lumOff val="40000"/>
            </a:schemeClr>
          </a:solidFill>
          <a:ln>
            <a:noFill/>
          </a:ln>
          <a:effectLst/>
          <a:scene3d>
            <a:camera prst="orthographicFront"/>
            <a:lightRig rig="threePt" dir="t"/>
          </a:scene3d>
          <a:sp3d>
            <a:bevelT/>
          </a:sp3d>
        </c:spPr>
      </c:pivotFmt>
      <c:pivotFmt>
        <c:idx val="22"/>
        <c:spPr>
          <a:solidFill>
            <a:srgbClr val="1C81C5"/>
          </a:solidFill>
          <a:ln>
            <a:noFill/>
          </a:ln>
          <a:effectLst/>
          <a:scene3d>
            <a:camera prst="orthographicFront"/>
            <a:lightRig rig="threePt" dir="t"/>
          </a:scene3d>
          <a:sp3d>
            <a:bevelT/>
          </a:sp3d>
        </c:spPr>
      </c:pivotFmt>
      <c:pivotFmt>
        <c:idx val="23"/>
        <c:spPr>
          <a:solidFill>
            <a:schemeClr val="accent3">
              <a:lumMod val="60000"/>
              <a:lumOff val="40000"/>
            </a:schemeClr>
          </a:solidFill>
          <a:ln>
            <a:noFill/>
          </a:ln>
          <a:effectLst/>
          <a:scene3d>
            <a:camera prst="orthographicFront"/>
            <a:lightRig rig="threePt" dir="t"/>
          </a:scene3d>
          <a:sp3d>
            <a:bevelT/>
          </a:sp3d>
        </c:spPr>
      </c:pivotFmt>
      <c:pivotFmt>
        <c:idx val="24"/>
        <c:spPr>
          <a:solidFill>
            <a:srgbClr val="1C81C5"/>
          </a:solidFill>
          <a:ln>
            <a:noFill/>
          </a:ln>
          <a:effectLst/>
          <a:scene3d>
            <a:camera prst="orthographicFront"/>
            <a:lightRig rig="threePt" dir="t"/>
          </a:scene3d>
          <a:sp3d>
            <a:bevelT/>
          </a:sp3d>
        </c:spPr>
      </c:pivotFmt>
      <c:pivotFmt>
        <c:idx val="25"/>
        <c:spPr>
          <a:solidFill>
            <a:schemeClr val="accent3">
              <a:lumMod val="60000"/>
              <a:lumOff val="40000"/>
            </a:schemeClr>
          </a:solidFill>
          <a:ln>
            <a:noFill/>
          </a:ln>
          <a:effectLst/>
          <a:scene3d>
            <a:camera prst="orthographicFront"/>
            <a:lightRig rig="threePt" dir="t"/>
          </a:scene3d>
          <a:sp3d>
            <a:bevelT/>
          </a:sp3d>
        </c:spPr>
      </c:pivotFmt>
      <c:pivotFmt>
        <c:idx val="26"/>
        <c:spPr>
          <a:solidFill>
            <a:srgbClr val="1C81C5"/>
          </a:solidFill>
          <a:ln>
            <a:noFill/>
          </a:ln>
          <a:effectLst/>
          <a:scene3d>
            <a:camera prst="orthographicFront"/>
            <a:lightRig rig="threePt" dir="t"/>
          </a:scene3d>
          <a:sp3d>
            <a:bevelT/>
          </a:sp3d>
        </c:spPr>
      </c:pivotFmt>
      <c:pivotFmt>
        <c:idx val="27"/>
        <c:spPr>
          <a:solidFill>
            <a:schemeClr val="accent3">
              <a:lumMod val="60000"/>
              <a:lumOff val="40000"/>
            </a:schemeClr>
          </a:solidFill>
          <a:ln>
            <a:noFill/>
          </a:ln>
          <a:effectLst/>
          <a:scene3d>
            <a:camera prst="orthographicFront"/>
            <a:lightRig rig="threePt" dir="t"/>
          </a:scene3d>
          <a:sp3d>
            <a:bevelT/>
          </a:sp3d>
        </c:spPr>
      </c:pivotFmt>
      <c:pivotFmt>
        <c:idx val="28"/>
        <c:spPr>
          <a:solidFill>
            <a:srgbClr val="1C81C5"/>
          </a:solidFill>
          <a:ln>
            <a:noFill/>
          </a:ln>
          <a:effectLst/>
          <a:scene3d>
            <a:camera prst="orthographicFront"/>
            <a:lightRig rig="threePt" dir="t"/>
          </a:scene3d>
          <a:sp3d>
            <a:bevelT/>
          </a:sp3d>
        </c:spPr>
      </c:pivotFmt>
      <c:pivotFmt>
        <c:idx val="29"/>
        <c:spPr>
          <a:solidFill>
            <a:schemeClr val="accent3">
              <a:lumMod val="60000"/>
              <a:lumOff val="40000"/>
            </a:schemeClr>
          </a:solidFill>
          <a:ln>
            <a:noFill/>
          </a:ln>
          <a:effectLst/>
          <a:scene3d>
            <a:camera prst="orthographicFront"/>
            <a:lightRig rig="threePt" dir="t"/>
          </a:scene3d>
          <a:sp3d>
            <a:bevelT/>
          </a:sp3d>
        </c:spPr>
      </c:pivotFmt>
      <c:pivotFmt>
        <c:idx val="30"/>
        <c:spPr>
          <a:solidFill>
            <a:schemeClr val="accent3">
              <a:lumMod val="60000"/>
              <a:lumOff val="40000"/>
            </a:schemeClr>
          </a:solidFill>
          <a:ln>
            <a:noFill/>
          </a:ln>
          <a:effectLst/>
          <a:scene3d>
            <a:camera prst="orthographicFront"/>
            <a:lightRig rig="threePt" dir="t"/>
          </a:scene3d>
          <a:sp3d>
            <a:bevelT/>
          </a:sp3d>
        </c:spPr>
      </c:pivotFmt>
      <c:pivotFmt>
        <c:idx val="31"/>
        <c:spPr>
          <a:solidFill>
            <a:schemeClr val="accent1"/>
          </a:solidFill>
          <a:ln>
            <a:noFill/>
          </a:ln>
          <a:effectLst/>
          <a:scene3d>
            <a:camera prst="orthographicFront"/>
            <a:lightRig rig="threePt" dir="t"/>
          </a:scene3d>
          <a:sp3d>
            <a:bevel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1C81C5"/>
          </a:solidFill>
          <a:ln>
            <a:noFill/>
          </a:ln>
          <a:effectLst/>
          <a:scene3d>
            <a:camera prst="orthographicFront"/>
            <a:lightRig rig="threePt" dir="t"/>
          </a:scene3d>
          <a:sp3d>
            <a:bevelT/>
          </a:sp3d>
        </c:spPr>
      </c:pivotFmt>
      <c:pivotFmt>
        <c:idx val="33"/>
        <c:spPr>
          <a:solidFill>
            <a:schemeClr val="accent3">
              <a:lumMod val="60000"/>
              <a:lumOff val="40000"/>
            </a:schemeClr>
          </a:solidFill>
          <a:ln>
            <a:noFill/>
          </a:ln>
          <a:effectLst/>
          <a:scene3d>
            <a:camera prst="orthographicFront"/>
            <a:lightRig rig="threePt" dir="t"/>
          </a:scene3d>
          <a:sp3d>
            <a:bevelT/>
          </a:sp3d>
        </c:spPr>
      </c:pivotFmt>
      <c:pivotFmt>
        <c:idx val="34"/>
        <c:spPr>
          <a:solidFill>
            <a:srgbClr val="1C81C5"/>
          </a:solidFill>
          <a:ln>
            <a:noFill/>
          </a:ln>
          <a:effectLst/>
          <a:scene3d>
            <a:camera prst="orthographicFront"/>
            <a:lightRig rig="threePt" dir="t"/>
          </a:scene3d>
          <a:sp3d>
            <a:bevelT/>
          </a:sp3d>
        </c:spPr>
      </c:pivotFmt>
      <c:pivotFmt>
        <c:idx val="35"/>
        <c:spPr>
          <a:solidFill>
            <a:schemeClr val="accent3">
              <a:lumMod val="60000"/>
              <a:lumOff val="40000"/>
            </a:schemeClr>
          </a:solidFill>
          <a:ln>
            <a:noFill/>
          </a:ln>
          <a:effectLst/>
          <a:scene3d>
            <a:camera prst="orthographicFront"/>
            <a:lightRig rig="threePt" dir="t"/>
          </a:scene3d>
          <a:sp3d>
            <a:bevelT/>
          </a:sp3d>
        </c:spPr>
      </c:pivotFmt>
      <c:pivotFmt>
        <c:idx val="36"/>
        <c:spPr>
          <a:solidFill>
            <a:schemeClr val="accent3">
              <a:lumMod val="60000"/>
              <a:lumOff val="40000"/>
            </a:schemeClr>
          </a:solidFill>
          <a:ln>
            <a:noFill/>
          </a:ln>
          <a:effectLst/>
          <a:scene3d>
            <a:camera prst="orthographicFront"/>
            <a:lightRig rig="threePt" dir="t"/>
          </a:scene3d>
          <a:sp3d>
            <a:bevelT/>
          </a:sp3d>
        </c:spPr>
      </c:pivotFmt>
      <c:pivotFmt>
        <c:idx val="37"/>
        <c:spPr>
          <a:solidFill>
            <a:srgbClr val="1C81C5"/>
          </a:solidFill>
          <a:ln>
            <a:noFill/>
          </a:ln>
          <a:effectLst/>
          <a:scene3d>
            <a:camera prst="orthographicFront"/>
            <a:lightRig rig="threePt" dir="t"/>
          </a:scene3d>
          <a:sp3d>
            <a:bevelT/>
          </a:sp3d>
        </c:spPr>
      </c:pivotFmt>
      <c:pivotFmt>
        <c:idx val="38"/>
        <c:spPr>
          <a:solidFill>
            <a:schemeClr val="accent3">
              <a:lumMod val="60000"/>
              <a:lumOff val="40000"/>
            </a:schemeClr>
          </a:solidFill>
          <a:ln>
            <a:noFill/>
          </a:ln>
          <a:effectLst/>
          <a:scene3d>
            <a:camera prst="orthographicFront"/>
            <a:lightRig rig="threePt" dir="t"/>
          </a:scene3d>
          <a:sp3d>
            <a:bevelT/>
          </a:sp3d>
        </c:spPr>
      </c:pivotFmt>
      <c:pivotFmt>
        <c:idx val="39"/>
        <c:spPr>
          <a:solidFill>
            <a:srgbClr val="1C81C5"/>
          </a:solidFill>
          <a:ln>
            <a:noFill/>
          </a:ln>
          <a:effectLst/>
          <a:scene3d>
            <a:camera prst="orthographicFront"/>
            <a:lightRig rig="threePt" dir="t"/>
          </a:scene3d>
          <a:sp3d>
            <a:bevelT/>
          </a:sp3d>
        </c:spPr>
      </c:pivotFmt>
      <c:pivotFmt>
        <c:idx val="40"/>
        <c:spPr>
          <a:solidFill>
            <a:schemeClr val="accent3">
              <a:lumMod val="60000"/>
              <a:lumOff val="40000"/>
            </a:schemeClr>
          </a:solidFill>
          <a:ln>
            <a:noFill/>
          </a:ln>
          <a:effectLst/>
          <a:scene3d>
            <a:camera prst="orthographicFront"/>
            <a:lightRig rig="threePt" dir="t"/>
          </a:scene3d>
          <a:sp3d>
            <a:bevelT/>
          </a:sp3d>
        </c:spPr>
      </c:pivotFmt>
      <c:pivotFmt>
        <c:idx val="41"/>
        <c:spPr>
          <a:solidFill>
            <a:srgbClr val="1C81C5"/>
          </a:solidFill>
          <a:ln>
            <a:noFill/>
          </a:ln>
          <a:effectLst/>
          <a:scene3d>
            <a:camera prst="orthographicFront"/>
            <a:lightRig rig="threePt" dir="t"/>
          </a:scene3d>
          <a:sp3d>
            <a:bevelT/>
          </a:sp3d>
        </c:spPr>
      </c:pivotFmt>
      <c:pivotFmt>
        <c:idx val="42"/>
        <c:spPr>
          <a:solidFill>
            <a:schemeClr val="accent3">
              <a:lumMod val="60000"/>
              <a:lumOff val="40000"/>
            </a:schemeClr>
          </a:solidFill>
          <a:ln>
            <a:noFill/>
          </a:ln>
          <a:effectLst/>
          <a:scene3d>
            <a:camera prst="orthographicFront"/>
            <a:lightRig rig="threePt" dir="t"/>
          </a:scene3d>
          <a:sp3d>
            <a:bevelT/>
          </a:sp3d>
        </c:spPr>
      </c:pivotFmt>
      <c:pivotFmt>
        <c:idx val="43"/>
        <c:spPr>
          <a:solidFill>
            <a:srgbClr val="1C81C5"/>
          </a:solidFill>
          <a:ln>
            <a:noFill/>
          </a:ln>
          <a:effectLst/>
          <a:scene3d>
            <a:camera prst="orthographicFront"/>
            <a:lightRig rig="threePt" dir="t"/>
          </a:scene3d>
          <a:sp3d>
            <a:bevelT/>
          </a:sp3d>
        </c:spPr>
      </c:pivotFmt>
      <c:pivotFmt>
        <c:idx val="44"/>
        <c:spPr>
          <a:solidFill>
            <a:schemeClr val="accent3">
              <a:lumMod val="60000"/>
              <a:lumOff val="40000"/>
            </a:schemeClr>
          </a:solidFill>
          <a:ln>
            <a:noFill/>
          </a:ln>
          <a:effectLst/>
          <a:scene3d>
            <a:camera prst="orthographicFront"/>
            <a:lightRig rig="threePt" dir="t"/>
          </a:scene3d>
          <a:sp3d>
            <a:bevelT/>
          </a:sp3d>
        </c:spPr>
      </c:pivotFmt>
      <c:pivotFmt>
        <c:idx val="45"/>
        <c:spPr>
          <a:solidFill>
            <a:srgbClr val="85F5BA"/>
          </a:solidFill>
          <a:ln>
            <a:noFill/>
          </a:ln>
          <a:effectLst/>
          <a:scene3d>
            <a:camera prst="orthographicFront"/>
            <a:lightRig rig="threePt" dir="t"/>
          </a:scene3d>
          <a:sp3d>
            <a:bevelT/>
          </a:sp3d>
        </c:spPr>
      </c:pivotFmt>
    </c:pivotFmts>
    <c:plotArea>
      <c:layout>
        <c:manualLayout>
          <c:layoutTarget val="inner"/>
          <c:xMode val="edge"/>
          <c:yMode val="edge"/>
          <c:x val="3.6002736500042758E-2"/>
          <c:y val="0.13210912171415107"/>
          <c:w val="0.94840973825640218"/>
          <c:h val="0.52567169163496708"/>
        </c:manualLayout>
      </c:layout>
      <c:barChart>
        <c:barDir val="col"/>
        <c:grouping val="clustered"/>
        <c:varyColors val="0"/>
        <c:ser>
          <c:idx val="0"/>
          <c:order val="0"/>
          <c:tx>
            <c:strRef>
              <c:f>Sheet2!$I$43</c:f>
              <c:strCache>
                <c:ptCount val="1"/>
                <c:pt idx="0">
                  <c:v>Total</c:v>
                </c:pt>
              </c:strCache>
            </c:strRef>
          </c:tx>
          <c:spPr>
            <a:solidFill>
              <a:schemeClr val="accent1"/>
            </a:solidFill>
            <a:ln>
              <a:noFill/>
            </a:ln>
            <a:effectLst/>
            <a:scene3d>
              <a:camera prst="orthographicFront"/>
              <a:lightRig rig="threePt" dir="t"/>
            </a:scene3d>
            <a:sp3d>
              <a:bevelT/>
            </a:sp3d>
          </c:spPr>
          <c:invertIfNegative val="0"/>
          <c:dPt>
            <c:idx val="0"/>
            <c:invertIfNegative val="0"/>
            <c:bubble3D val="0"/>
            <c:spPr>
              <a:solidFill>
                <a:srgbClr val="1C81C5"/>
              </a:solidFill>
              <a:ln>
                <a:noFill/>
              </a:ln>
              <a:effectLst/>
              <a:scene3d>
                <a:camera prst="orthographicFront"/>
                <a:lightRig rig="threePt" dir="t"/>
              </a:scene3d>
              <a:sp3d>
                <a:bevelT/>
              </a:sp3d>
            </c:spPr>
            <c:extLst>
              <c:ext xmlns:c16="http://schemas.microsoft.com/office/drawing/2014/chart" uri="{C3380CC4-5D6E-409C-BE32-E72D297353CC}">
                <c16:uniqueId val="{00000001-BD75-441E-A1CE-0D4342D6B684}"/>
              </c:ext>
            </c:extLst>
          </c:dPt>
          <c:dPt>
            <c:idx val="1"/>
            <c:invertIfNegative val="0"/>
            <c:bubble3D val="0"/>
            <c:spPr>
              <a:solidFill>
                <a:schemeClr val="accent3">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03-BD75-441E-A1CE-0D4342D6B684}"/>
              </c:ext>
            </c:extLst>
          </c:dPt>
          <c:dPt>
            <c:idx val="2"/>
            <c:invertIfNegative val="0"/>
            <c:bubble3D val="0"/>
            <c:spPr>
              <a:solidFill>
                <a:srgbClr val="1C81C5"/>
              </a:solidFill>
              <a:ln>
                <a:noFill/>
              </a:ln>
              <a:effectLst/>
              <a:scene3d>
                <a:camera prst="orthographicFront"/>
                <a:lightRig rig="threePt" dir="t"/>
              </a:scene3d>
              <a:sp3d>
                <a:bevelT/>
              </a:sp3d>
            </c:spPr>
            <c:extLst>
              <c:ext xmlns:c16="http://schemas.microsoft.com/office/drawing/2014/chart" uri="{C3380CC4-5D6E-409C-BE32-E72D297353CC}">
                <c16:uniqueId val="{00000005-BD75-441E-A1CE-0D4342D6B684}"/>
              </c:ext>
            </c:extLst>
          </c:dPt>
          <c:dPt>
            <c:idx val="3"/>
            <c:invertIfNegative val="0"/>
            <c:bubble3D val="0"/>
            <c:spPr>
              <a:solidFill>
                <a:schemeClr val="accent3">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07-BD75-441E-A1CE-0D4342D6B684}"/>
              </c:ext>
            </c:extLst>
          </c:dPt>
          <c:dPt>
            <c:idx val="4"/>
            <c:invertIfNegative val="0"/>
            <c:bubble3D val="0"/>
            <c:spPr>
              <a:solidFill>
                <a:schemeClr val="accent3">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09-BD75-441E-A1CE-0D4342D6B684}"/>
              </c:ext>
            </c:extLst>
          </c:dPt>
          <c:dPt>
            <c:idx val="5"/>
            <c:invertIfNegative val="0"/>
            <c:bubble3D val="0"/>
            <c:spPr>
              <a:solidFill>
                <a:srgbClr val="1C81C5"/>
              </a:solidFill>
              <a:ln>
                <a:noFill/>
              </a:ln>
              <a:effectLst/>
              <a:scene3d>
                <a:camera prst="orthographicFront"/>
                <a:lightRig rig="threePt" dir="t"/>
              </a:scene3d>
              <a:sp3d>
                <a:bevelT/>
              </a:sp3d>
            </c:spPr>
            <c:extLst>
              <c:ext xmlns:c16="http://schemas.microsoft.com/office/drawing/2014/chart" uri="{C3380CC4-5D6E-409C-BE32-E72D297353CC}">
                <c16:uniqueId val="{0000000B-BD75-441E-A1CE-0D4342D6B684}"/>
              </c:ext>
            </c:extLst>
          </c:dPt>
          <c:dPt>
            <c:idx val="6"/>
            <c:invertIfNegative val="0"/>
            <c:bubble3D val="0"/>
            <c:spPr>
              <a:solidFill>
                <a:schemeClr val="accent3">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0D-BD75-441E-A1CE-0D4342D6B684}"/>
              </c:ext>
            </c:extLst>
          </c:dPt>
          <c:dPt>
            <c:idx val="7"/>
            <c:invertIfNegative val="0"/>
            <c:bubble3D val="0"/>
            <c:spPr>
              <a:solidFill>
                <a:srgbClr val="1C81C5"/>
              </a:solidFill>
              <a:ln>
                <a:noFill/>
              </a:ln>
              <a:effectLst/>
              <a:scene3d>
                <a:camera prst="orthographicFront"/>
                <a:lightRig rig="threePt" dir="t"/>
              </a:scene3d>
              <a:sp3d>
                <a:bevelT/>
              </a:sp3d>
            </c:spPr>
            <c:extLst>
              <c:ext xmlns:c16="http://schemas.microsoft.com/office/drawing/2014/chart" uri="{C3380CC4-5D6E-409C-BE32-E72D297353CC}">
                <c16:uniqueId val="{0000000F-BD75-441E-A1CE-0D4342D6B684}"/>
              </c:ext>
            </c:extLst>
          </c:dPt>
          <c:dPt>
            <c:idx val="8"/>
            <c:invertIfNegative val="0"/>
            <c:bubble3D val="0"/>
            <c:spPr>
              <a:solidFill>
                <a:schemeClr val="accent3">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11-BD75-441E-A1CE-0D4342D6B684}"/>
              </c:ext>
            </c:extLst>
          </c:dPt>
          <c:dPt>
            <c:idx val="9"/>
            <c:invertIfNegative val="0"/>
            <c:bubble3D val="0"/>
            <c:spPr>
              <a:solidFill>
                <a:srgbClr val="1C81C5"/>
              </a:solidFill>
              <a:ln>
                <a:noFill/>
              </a:ln>
              <a:effectLst/>
              <a:scene3d>
                <a:camera prst="orthographicFront"/>
                <a:lightRig rig="threePt" dir="t"/>
              </a:scene3d>
              <a:sp3d>
                <a:bevelT/>
              </a:sp3d>
            </c:spPr>
            <c:extLst>
              <c:ext xmlns:c16="http://schemas.microsoft.com/office/drawing/2014/chart" uri="{C3380CC4-5D6E-409C-BE32-E72D297353CC}">
                <c16:uniqueId val="{00000013-BD75-441E-A1CE-0D4342D6B684}"/>
              </c:ext>
            </c:extLst>
          </c:dPt>
          <c:dPt>
            <c:idx val="10"/>
            <c:invertIfNegative val="0"/>
            <c:bubble3D val="0"/>
            <c:spPr>
              <a:solidFill>
                <a:schemeClr val="accent3">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15-BD75-441E-A1CE-0D4342D6B684}"/>
              </c:ext>
            </c:extLst>
          </c:dPt>
          <c:dPt>
            <c:idx val="11"/>
            <c:invertIfNegative val="0"/>
            <c:bubble3D val="0"/>
            <c:spPr>
              <a:solidFill>
                <a:srgbClr val="1C81C5"/>
              </a:solidFill>
              <a:ln>
                <a:noFill/>
              </a:ln>
              <a:effectLst/>
              <a:scene3d>
                <a:camera prst="orthographicFront"/>
                <a:lightRig rig="threePt" dir="t"/>
              </a:scene3d>
              <a:sp3d>
                <a:bevelT/>
              </a:sp3d>
            </c:spPr>
            <c:extLst>
              <c:ext xmlns:c16="http://schemas.microsoft.com/office/drawing/2014/chart" uri="{C3380CC4-5D6E-409C-BE32-E72D297353CC}">
                <c16:uniqueId val="{00000017-BD75-441E-A1CE-0D4342D6B684}"/>
              </c:ext>
            </c:extLst>
          </c:dPt>
          <c:dPt>
            <c:idx val="12"/>
            <c:invertIfNegative val="0"/>
            <c:bubble3D val="0"/>
            <c:spPr>
              <a:solidFill>
                <a:schemeClr val="accent3">
                  <a:lumMod val="60000"/>
                  <a:lumOff val="40000"/>
                </a:schemeClr>
              </a:solidFill>
              <a:ln>
                <a:noFill/>
              </a:ln>
              <a:effectLst/>
              <a:scene3d>
                <a:camera prst="orthographicFront"/>
                <a:lightRig rig="threePt" dir="t"/>
              </a:scene3d>
              <a:sp3d>
                <a:bevelT/>
              </a:sp3d>
            </c:spPr>
            <c:extLst>
              <c:ext xmlns:c16="http://schemas.microsoft.com/office/drawing/2014/chart" uri="{C3380CC4-5D6E-409C-BE32-E72D297353CC}">
                <c16:uniqueId val="{00000019-BD75-441E-A1CE-0D4342D6B684}"/>
              </c:ext>
            </c:extLst>
          </c:dPt>
          <c:dPt>
            <c:idx val="13"/>
            <c:invertIfNegative val="0"/>
            <c:bubble3D val="0"/>
            <c:spPr>
              <a:solidFill>
                <a:srgbClr val="85F5BA"/>
              </a:solidFill>
              <a:ln>
                <a:noFill/>
              </a:ln>
              <a:effectLst/>
              <a:scene3d>
                <a:camera prst="orthographicFront"/>
                <a:lightRig rig="threePt" dir="t"/>
              </a:scene3d>
              <a:sp3d>
                <a:bevelT/>
              </a:sp3d>
            </c:spPr>
            <c:extLst>
              <c:ext xmlns:c16="http://schemas.microsoft.com/office/drawing/2014/chart" uri="{C3380CC4-5D6E-409C-BE32-E72D297353CC}">
                <c16:uniqueId val="{0000001B-BD75-441E-A1CE-0D4342D6B68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Sheet2!$H$44:$H$66</c:f>
              <c:multiLvlStrCache>
                <c:ptCount val="14"/>
                <c:lvl>
                  <c:pt idx="0">
                    <c:v>OFF SLA</c:v>
                  </c:pt>
                  <c:pt idx="1">
                    <c:v>ON SLA</c:v>
                  </c:pt>
                  <c:pt idx="2">
                    <c:v>OFF SLA</c:v>
                  </c:pt>
                  <c:pt idx="3">
                    <c:v>ON SLA</c:v>
                  </c:pt>
                  <c:pt idx="4">
                    <c:v>ON SLA</c:v>
                  </c:pt>
                  <c:pt idx="5">
                    <c:v>OFF SLA</c:v>
                  </c:pt>
                  <c:pt idx="6">
                    <c:v>ON SLA</c:v>
                  </c:pt>
                  <c:pt idx="7">
                    <c:v>OFF SLA</c:v>
                  </c:pt>
                  <c:pt idx="8">
                    <c:v>ON SLA</c:v>
                  </c:pt>
                  <c:pt idx="9">
                    <c:v>OFF SLA</c:v>
                  </c:pt>
                  <c:pt idx="10">
                    <c:v>ON SLA</c:v>
                  </c:pt>
                  <c:pt idx="11">
                    <c:v>OFF SLA</c:v>
                  </c:pt>
                  <c:pt idx="12">
                    <c:v>ON SLA</c:v>
                  </c:pt>
                  <c:pt idx="13">
                    <c:v>ON SLA</c:v>
                  </c:pt>
                </c:lvl>
                <c:lvl>
                  <c:pt idx="0">
                    <c:v>AR</c:v>
                  </c:pt>
                  <c:pt idx="2">
                    <c:v>ATA &amp; ATD updates</c:v>
                  </c:pt>
                  <c:pt idx="4">
                    <c:v>D&amp;D</c:v>
                  </c:pt>
                  <c:pt idx="5">
                    <c:v>Due diligence</c:v>
                  </c:pt>
                  <c:pt idx="7">
                    <c:v>ETD extension</c:v>
                  </c:pt>
                  <c:pt idx="9">
                    <c:v>TDR</c:v>
                  </c:pt>
                  <c:pt idx="11">
                    <c:v>Vessel creation</c:v>
                  </c:pt>
                  <c:pt idx="13">
                    <c:v>WDR</c:v>
                  </c:pt>
                </c:lvl>
              </c:multiLvlStrCache>
            </c:multiLvlStrRef>
          </c:cat>
          <c:val>
            <c:numRef>
              <c:f>Sheet2!$I$44:$I$66</c:f>
              <c:numCache>
                <c:formatCode>General</c:formatCode>
                <c:ptCount val="14"/>
                <c:pt idx="0">
                  <c:v>10</c:v>
                </c:pt>
                <c:pt idx="1">
                  <c:v>14</c:v>
                </c:pt>
                <c:pt idx="2">
                  <c:v>13</c:v>
                </c:pt>
                <c:pt idx="3">
                  <c:v>34</c:v>
                </c:pt>
                <c:pt idx="4">
                  <c:v>59</c:v>
                </c:pt>
                <c:pt idx="5">
                  <c:v>1</c:v>
                </c:pt>
                <c:pt idx="6">
                  <c:v>77</c:v>
                </c:pt>
                <c:pt idx="7">
                  <c:v>5</c:v>
                </c:pt>
                <c:pt idx="8">
                  <c:v>14</c:v>
                </c:pt>
                <c:pt idx="9">
                  <c:v>18</c:v>
                </c:pt>
                <c:pt idx="10">
                  <c:v>36</c:v>
                </c:pt>
                <c:pt idx="11">
                  <c:v>20</c:v>
                </c:pt>
                <c:pt idx="12">
                  <c:v>29</c:v>
                </c:pt>
                <c:pt idx="13">
                  <c:v>79</c:v>
                </c:pt>
              </c:numCache>
            </c:numRef>
          </c:val>
          <c:extLst>
            <c:ext xmlns:c16="http://schemas.microsoft.com/office/drawing/2014/chart" uri="{C3380CC4-5D6E-409C-BE32-E72D297353CC}">
              <c16:uniqueId val="{0000001C-BD75-441E-A1CE-0D4342D6B684}"/>
            </c:ext>
          </c:extLst>
        </c:ser>
        <c:dLbls>
          <c:dLblPos val="outEnd"/>
          <c:showLegendKey val="0"/>
          <c:showVal val="1"/>
          <c:showCatName val="0"/>
          <c:showSerName val="0"/>
          <c:showPercent val="0"/>
          <c:showBubbleSize val="0"/>
        </c:dLbls>
        <c:gapWidth val="208"/>
        <c:overlap val="-27"/>
        <c:axId val="1036139008"/>
        <c:axId val="1036145128"/>
      </c:barChart>
      <c:catAx>
        <c:axId val="103613900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036145128"/>
        <c:crosses val="autoZero"/>
        <c:auto val="1"/>
        <c:lblAlgn val="ctr"/>
        <c:lblOffset val="100"/>
        <c:noMultiLvlLbl val="0"/>
      </c:catAx>
      <c:valAx>
        <c:axId val="1036145128"/>
        <c:scaling>
          <c:orientation val="minMax"/>
        </c:scaling>
        <c:delete val="1"/>
        <c:axPos val="l"/>
        <c:numFmt formatCode="General" sourceLinked="1"/>
        <c:majorTickMark val="out"/>
        <c:minorTickMark val="none"/>
        <c:tickLblPos val="nextTo"/>
        <c:crossAx val="1036139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[reel yuvi&amp;sasi.xlsx]Sheet2!PivotTable9</c:name>
    <c:fmtId val="6"/>
  </c:pivotSource>
  <c:chart>
    <c:autoTitleDeleted val="1"/>
    <c:pivotFmts>
      <c:pivotFmt>
        <c:idx val="0"/>
        <c:spPr>
          <a:solidFill>
            <a:schemeClr val="accent1"/>
          </a:solidFill>
          <a:ln w="19050">
            <a:solidFill>
              <a:schemeClr val="lt1"/>
            </a:solidFill>
          </a:ln>
          <a:effectLst/>
          <a:scene3d>
            <a:camera prst="orthographicFront"/>
            <a:lightRig rig="threePt" dir="t"/>
          </a:scene3d>
          <a:sp3d>
            <a:bevelT/>
          </a:sp3d>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2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rgbClr val="4ABABA"/>
          </a:solidFill>
          <a:ln w="19050">
            <a:solidFill>
              <a:schemeClr val="lt1"/>
            </a:solidFill>
          </a:ln>
          <a:effectLst/>
          <a:scene3d>
            <a:camera prst="orthographicFront"/>
            <a:lightRig rig="threePt" dir="t"/>
          </a:scene3d>
          <a:sp3d>
            <a:bevelT/>
          </a:sp3d>
        </c:spPr>
      </c:pivotFmt>
      <c:pivotFmt>
        <c:idx val="2"/>
        <c:spPr>
          <a:solidFill>
            <a:srgbClr val="85F5BA"/>
          </a:solidFill>
          <a:ln w="19050">
            <a:solidFill>
              <a:schemeClr val="lt1"/>
            </a:solidFill>
          </a:ln>
          <a:effectLst/>
          <a:scene3d>
            <a:camera prst="orthographicFront"/>
            <a:lightRig rig="threePt" dir="t"/>
          </a:scene3d>
          <a:sp3d>
            <a:bevelT/>
          </a:sp3d>
        </c:spPr>
      </c:pivotFmt>
      <c:pivotFmt>
        <c:idx val="3"/>
        <c:spPr>
          <a:solidFill>
            <a:schemeClr val="accent1"/>
          </a:solidFill>
          <a:ln w="19050">
            <a:solidFill>
              <a:schemeClr val="lt1"/>
            </a:solidFill>
          </a:ln>
          <a:effectLst/>
          <a:scene3d>
            <a:camera prst="orthographicFront"/>
            <a:lightRig rig="threePt" dir="t"/>
          </a:scene3d>
          <a:sp3d>
            <a:bevelT/>
          </a:sp3d>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rgbClr val="4ABABA"/>
          </a:solidFill>
          <a:ln w="19050">
            <a:solidFill>
              <a:schemeClr val="lt1"/>
            </a:solidFill>
          </a:ln>
          <a:effectLst/>
          <a:scene3d>
            <a:camera prst="orthographicFront"/>
            <a:lightRig rig="threePt" dir="t"/>
          </a:scene3d>
          <a:sp3d>
            <a:bevelT/>
          </a:sp3d>
        </c:spPr>
      </c:pivotFmt>
      <c:pivotFmt>
        <c:idx val="5"/>
        <c:spPr>
          <a:solidFill>
            <a:srgbClr val="85F5BA"/>
          </a:solidFill>
          <a:ln w="19050">
            <a:solidFill>
              <a:schemeClr val="lt1"/>
            </a:solidFill>
          </a:ln>
          <a:effectLst/>
          <a:scene3d>
            <a:camera prst="orthographicFront"/>
            <a:lightRig rig="threePt" dir="t"/>
          </a:scene3d>
          <a:sp3d>
            <a:bevelT/>
          </a:sp3d>
        </c:spPr>
      </c:pivotFmt>
      <c:pivotFmt>
        <c:idx val="6"/>
        <c:spPr>
          <a:solidFill>
            <a:schemeClr val="accent1"/>
          </a:solidFill>
          <a:ln w="19050">
            <a:solidFill>
              <a:schemeClr val="lt1"/>
            </a:solidFill>
          </a:ln>
          <a:effectLst/>
          <a:scene3d>
            <a:camera prst="orthographicFront"/>
            <a:lightRig rig="threePt" dir="t"/>
          </a:scene3d>
          <a:sp3d>
            <a:bevelT/>
          </a:sp3d>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spPr>
          <a:solidFill>
            <a:srgbClr val="4ABABA"/>
          </a:solidFill>
          <a:ln w="19050">
            <a:solidFill>
              <a:schemeClr val="lt1"/>
            </a:solidFill>
          </a:ln>
          <a:effectLst/>
          <a:scene3d>
            <a:camera prst="orthographicFront"/>
            <a:lightRig rig="threePt" dir="t"/>
          </a:scene3d>
          <a:sp3d>
            <a:bevelT/>
          </a:sp3d>
        </c:spPr>
      </c:pivotFmt>
      <c:pivotFmt>
        <c:idx val="8"/>
        <c:spPr>
          <a:solidFill>
            <a:srgbClr val="85F5BA"/>
          </a:solidFill>
          <a:ln w="19050">
            <a:solidFill>
              <a:schemeClr val="lt1"/>
            </a:solidFill>
          </a:ln>
          <a:effectLst/>
          <a:scene3d>
            <a:camera prst="orthographicFront"/>
            <a:lightRig rig="threePt" dir="t"/>
          </a:scene3d>
          <a:sp3d>
            <a:bevelT/>
          </a:sp3d>
        </c:spPr>
      </c:pivotFmt>
      <c:pivotFmt>
        <c:idx val="9"/>
        <c:spPr>
          <a:solidFill>
            <a:schemeClr val="accent1"/>
          </a:solidFill>
          <a:ln w="19050">
            <a:noFill/>
          </a:ln>
          <a:effectLst/>
          <a:scene3d>
            <a:camera prst="orthographicFront"/>
            <a:lightRig rig="threePt" dir="t"/>
          </a:scene3d>
          <a:sp3d>
            <a:bevelT/>
          </a:sp3d>
        </c:spPr>
        <c:marker>
          <c:symbol val="none"/>
        </c:marker>
        <c:dLbl>
          <c:idx val="0"/>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0"/>
        <c:spPr>
          <a:solidFill>
            <a:srgbClr val="4ABABA"/>
          </a:solidFill>
          <a:ln w="19050">
            <a:noFill/>
          </a:ln>
          <a:effectLst/>
          <a:scene3d>
            <a:camera prst="orthographicFront"/>
            <a:lightRig rig="threePt" dir="t"/>
          </a:scene3d>
          <a:sp3d>
            <a:bevelT/>
          </a:sp3d>
        </c:spPr>
      </c:pivotFmt>
      <c:pivotFmt>
        <c:idx val="11"/>
        <c:spPr>
          <a:solidFill>
            <a:srgbClr val="85F5BA"/>
          </a:solidFill>
          <a:ln w="19050">
            <a:noFill/>
          </a:ln>
          <a:effectLst/>
          <a:scene3d>
            <a:camera prst="orthographicFront"/>
            <a:lightRig rig="threePt" dir="t"/>
          </a:scene3d>
          <a:sp3d>
            <a:bevelT/>
          </a:sp3d>
        </c:spPr>
      </c:pivotFmt>
    </c:pivotFmts>
    <c:plotArea>
      <c:layout>
        <c:manualLayout>
          <c:layoutTarget val="inner"/>
          <c:xMode val="edge"/>
          <c:yMode val="edge"/>
          <c:x val="0.19402145543993626"/>
          <c:y val="6.1009870226672903E-2"/>
          <c:w val="0.83242055786866354"/>
          <c:h val="0.93898990703698149"/>
        </c:manualLayout>
      </c:layout>
      <c:doughnutChart>
        <c:varyColors val="1"/>
        <c:ser>
          <c:idx val="0"/>
          <c:order val="0"/>
          <c:tx>
            <c:strRef>
              <c:f>Sheet2!$B$67</c:f>
              <c:strCache>
                <c:ptCount val="1"/>
                <c:pt idx="0">
                  <c:v>Total</c:v>
                </c:pt>
              </c:strCache>
            </c:strRef>
          </c:tx>
          <c:spPr>
            <a:ln>
              <a:noFill/>
            </a:ln>
            <a:scene3d>
              <a:camera prst="orthographicFront"/>
              <a:lightRig rig="threePt" dir="t"/>
            </a:scene3d>
            <a:sp3d>
              <a:bevelT/>
            </a:sp3d>
          </c:spPr>
          <c:explosion val="4"/>
          <c:dPt>
            <c:idx val="0"/>
            <c:bubble3D val="0"/>
            <c:spPr>
              <a:solidFill>
                <a:srgbClr val="4ABABA"/>
              </a:solidFill>
              <a:ln w="19050">
                <a:noFill/>
              </a:ln>
              <a:effectLst/>
              <a:scene3d>
                <a:camera prst="orthographicFront"/>
                <a:lightRig rig="threePt" dir="t"/>
              </a:scene3d>
              <a:sp3d>
                <a:bevelT/>
              </a:sp3d>
            </c:spPr>
            <c:extLst>
              <c:ext xmlns:c16="http://schemas.microsoft.com/office/drawing/2014/chart" uri="{C3380CC4-5D6E-409C-BE32-E72D297353CC}">
                <c16:uniqueId val="{00000001-0C4F-44DF-8C5D-5EC7F76CDA08}"/>
              </c:ext>
            </c:extLst>
          </c:dPt>
          <c:dPt>
            <c:idx val="1"/>
            <c:bubble3D val="0"/>
            <c:explosion val="0"/>
            <c:spPr>
              <a:solidFill>
                <a:srgbClr val="85F5BA"/>
              </a:solidFill>
              <a:ln w="19050">
                <a:noFill/>
              </a:ln>
              <a:effectLst/>
              <a:scene3d>
                <a:camera prst="orthographicFront"/>
                <a:lightRig rig="threePt" dir="t"/>
              </a:scene3d>
              <a:sp3d>
                <a:bevelT/>
              </a:sp3d>
            </c:spPr>
            <c:extLst>
              <c:ext xmlns:c16="http://schemas.microsoft.com/office/drawing/2014/chart" uri="{C3380CC4-5D6E-409C-BE32-E72D297353CC}">
                <c16:uniqueId val="{00000003-0C4F-44DF-8C5D-5EC7F76CDA08}"/>
              </c:ext>
            </c:extLst>
          </c:dPt>
          <c:dLbls>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11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roundRect">
                    <a:avLst/>
                  </a:prstGeom>
                  <a:noFill/>
                  <a:ln>
                    <a:noFill/>
                  </a:ln>
                </c15:spPr>
              </c:ext>
            </c:extLst>
          </c:dLbls>
          <c:cat>
            <c:strRef>
              <c:f>Sheet2!$A$68:$A$70</c:f>
              <c:strCache>
                <c:ptCount val="2"/>
                <c:pt idx="0">
                  <c:v>Sasikala</c:v>
                </c:pt>
                <c:pt idx="1">
                  <c:v>Yuvaraj</c:v>
                </c:pt>
              </c:strCache>
            </c:strRef>
          </c:cat>
          <c:val>
            <c:numRef>
              <c:f>Sheet2!$B$68:$B$70</c:f>
              <c:numCache>
                <c:formatCode>General</c:formatCode>
                <c:ptCount val="2"/>
                <c:pt idx="0">
                  <c:v>315</c:v>
                </c:pt>
                <c:pt idx="1">
                  <c:v>94</c:v>
                </c:pt>
              </c:numCache>
            </c:numRef>
          </c:val>
          <c:extLst>
            <c:ext xmlns:c16="http://schemas.microsoft.com/office/drawing/2014/chart" uri="{C3380CC4-5D6E-409C-BE32-E72D297353CC}">
              <c16:uniqueId val="{00000004-0C4F-44DF-8C5D-5EC7F76CDA08}"/>
            </c:ext>
          </c:extLst>
        </c:ser>
        <c:dLbls>
          <c:showLegendKey val="0"/>
          <c:showVal val="0"/>
          <c:showCatName val="0"/>
          <c:showSerName val="0"/>
          <c:showPercent val="0"/>
          <c:showBubbleSize val="0"/>
          <c:showLeaderLines val="1"/>
        </c:dLbls>
        <c:firstSliceAng val="139"/>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ata</a:t>
            </a:r>
            <a:r>
              <a:rPr lang="en-IN" baseline="0"/>
              <a:t> atd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76CE-4D06-9BCB-43A3E1FE68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76CE-4D06-9BCB-43A3E1FE6880}"/>
              </c:ext>
            </c:extLst>
          </c:dPt>
          <c:dPt>
            <c:idx val="2"/>
            <c:bubble3D val="0"/>
            <c:spPr>
              <a:noFill/>
              <a:ln w="19050">
                <a:noFill/>
              </a:ln>
              <a:effectLst/>
            </c:spPr>
            <c:extLst>
              <c:ext xmlns:c16="http://schemas.microsoft.com/office/drawing/2014/chart" uri="{C3380CC4-5D6E-409C-BE32-E72D297353CC}">
                <c16:uniqueId val="{00000001-76CE-4D06-9BCB-43A3E1FE6880}"/>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6CE-4D06-9BCB-43A3E1FE6880}"/>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6CE-4D06-9BCB-43A3E1FE68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val>
            <c:numRef>
              <c:f>Sheet5!$D$20:$D$22</c:f>
              <c:numCache>
                <c:formatCode>0%</c:formatCode>
                <c:ptCount val="3"/>
                <c:pt idx="0">
                  <c:v>0</c:v>
                </c:pt>
                <c:pt idx="1">
                  <c:v>0</c:v>
                </c:pt>
                <c:pt idx="2">
                  <c:v>1</c:v>
                </c:pt>
              </c:numCache>
            </c:numRef>
          </c:val>
          <c:extLst>
            <c:ext xmlns:c16="http://schemas.microsoft.com/office/drawing/2014/chart" uri="{C3380CC4-5D6E-409C-BE32-E72D297353CC}">
              <c16:uniqueId val="{00000000-76CE-4D06-9BCB-43A3E1FE6880}"/>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11839174677298"/>
          <c:y val="0.15361564997997115"/>
          <c:w val="0.49020840060607568"/>
          <c:h val="0.70795472889351241"/>
        </c:manualLayout>
      </c:layout>
      <c:doughnutChart>
        <c:varyColors val="1"/>
        <c:ser>
          <c:idx val="0"/>
          <c:order val="0"/>
          <c:spPr>
            <a:ln>
              <a:noFill/>
            </a:ln>
          </c:spPr>
          <c:dPt>
            <c:idx val="0"/>
            <c:bubble3D val="0"/>
            <c:spPr>
              <a:solidFill>
                <a:srgbClr val="4ABABA"/>
              </a:solidFill>
              <a:ln w="19050">
                <a:noFill/>
              </a:ln>
              <a:effectLst/>
            </c:spPr>
            <c:extLst>
              <c:ext xmlns:c16="http://schemas.microsoft.com/office/drawing/2014/chart" uri="{C3380CC4-5D6E-409C-BE32-E72D297353CC}">
                <c16:uniqueId val="{00000001-FBF4-451B-8DCF-86F37672AF9B}"/>
              </c:ext>
            </c:extLst>
          </c:dPt>
          <c:dPt>
            <c:idx val="1"/>
            <c:bubble3D val="0"/>
            <c:explosion val="1"/>
            <c:spPr>
              <a:solidFill>
                <a:srgbClr val="1C81C5"/>
              </a:solidFill>
              <a:ln w="19050">
                <a:noFill/>
              </a:ln>
              <a:effectLst/>
            </c:spPr>
            <c:extLst>
              <c:ext xmlns:c16="http://schemas.microsoft.com/office/drawing/2014/chart" uri="{C3380CC4-5D6E-409C-BE32-E72D297353CC}">
                <c16:uniqueId val="{00000003-FBF4-451B-8DCF-86F37672AF9B}"/>
              </c:ext>
            </c:extLst>
          </c:dPt>
          <c:dPt>
            <c:idx val="2"/>
            <c:bubble3D val="0"/>
            <c:spPr>
              <a:noFill/>
              <a:ln w="19050">
                <a:noFill/>
              </a:ln>
              <a:effectLst/>
            </c:spPr>
            <c:extLst>
              <c:ext xmlns:c16="http://schemas.microsoft.com/office/drawing/2014/chart" uri="{C3380CC4-5D6E-409C-BE32-E72D297353CC}">
                <c16:uniqueId val="{00000005-FBF4-451B-8DCF-86F37672AF9B}"/>
              </c:ext>
            </c:extLst>
          </c:dPt>
          <c:dLbls>
            <c:dLbl>
              <c:idx val="0"/>
              <c:layout>
                <c:manualLayout>
                  <c:x val="-0.14932562620423892"/>
                  <c:y val="-9.74658869395711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BF4-451B-8DCF-86F37672AF9B}"/>
                </c:ext>
              </c:extLst>
            </c:dLbl>
            <c:dLbl>
              <c:idx val="1"/>
              <c:layout>
                <c:manualLayout>
                  <c:x val="0.16377649325626195"/>
                  <c:y val="-5.19818063677712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BF4-451B-8DCF-86F37672AF9B}"/>
                </c:ext>
              </c:extLst>
            </c:dLbl>
            <c:dLbl>
              <c:idx val="2"/>
              <c:delete val="1"/>
              <c:extLst>
                <c:ext xmlns:c15="http://schemas.microsoft.com/office/drawing/2012/chart" uri="{CE6537A1-D6FC-4f65-9D91-7224C49458BB}"/>
                <c:ext xmlns:c16="http://schemas.microsoft.com/office/drawing/2014/chart" uri="{C3380CC4-5D6E-409C-BE32-E72D297353CC}">
                  <c16:uniqueId val="{00000005-FBF4-451B-8DCF-86F37672AF9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Sheet5!$E$5:$E$7</c:f>
              <c:numCache>
                <c:formatCode>0%</c:formatCode>
                <c:ptCount val="3"/>
                <c:pt idx="0">
                  <c:v>0.17647058823529413</c:v>
                </c:pt>
                <c:pt idx="1">
                  <c:v>0.82352941176470584</c:v>
                </c:pt>
                <c:pt idx="2">
                  <c:v>1</c:v>
                </c:pt>
              </c:numCache>
            </c:numRef>
          </c:val>
          <c:extLst>
            <c:ext xmlns:c16="http://schemas.microsoft.com/office/drawing/2014/chart" uri="{C3380CC4-5D6E-409C-BE32-E72D297353CC}">
              <c16:uniqueId val="{00000006-FBF4-451B-8DCF-86F37672AF9B}"/>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136338726889909"/>
          <c:y val="0.31147761935163515"/>
          <c:w val="0.40287467191601051"/>
          <c:h val="0.6714577865266842"/>
        </c:manualLayout>
      </c:layout>
      <c:doughnutChart>
        <c:varyColors val="1"/>
        <c:ser>
          <c:idx val="0"/>
          <c:order val="0"/>
          <c:spPr>
            <a:ln>
              <a:noFill/>
            </a:ln>
          </c:spPr>
          <c:explosion val="2"/>
          <c:dPt>
            <c:idx val="0"/>
            <c:bubble3D val="0"/>
            <c:spPr>
              <a:solidFill>
                <a:srgbClr val="FFC000"/>
              </a:solidFill>
              <a:ln w="19050">
                <a:noFill/>
              </a:ln>
              <a:effectLst/>
            </c:spPr>
            <c:extLst>
              <c:ext xmlns:c16="http://schemas.microsoft.com/office/drawing/2014/chart" uri="{C3380CC4-5D6E-409C-BE32-E72D297353CC}">
                <c16:uniqueId val="{00000001-3908-4D9B-880C-785499BCA119}"/>
              </c:ext>
            </c:extLst>
          </c:dPt>
          <c:dPt>
            <c:idx val="1"/>
            <c:bubble3D val="0"/>
            <c:spPr>
              <a:solidFill>
                <a:srgbClr val="92D050"/>
              </a:solidFill>
              <a:ln w="19050">
                <a:noFill/>
              </a:ln>
              <a:effectLst/>
            </c:spPr>
            <c:extLst>
              <c:ext xmlns:c16="http://schemas.microsoft.com/office/drawing/2014/chart" uri="{C3380CC4-5D6E-409C-BE32-E72D297353CC}">
                <c16:uniqueId val="{00000003-3908-4D9B-880C-785499BCA119}"/>
              </c:ext>
            </c:extLst>
          </c:dPt>
          <c:dPt>
            <c:idx val="2"/>
            <c:bubble3D val="0"/>
            <c:spPr>
              <a:noFill/>
              <a:ln w="19050">
                <a:noFill/>
              </a:ln>
              <a:effectLst/>
            </c:spPr>
            <c:extLst>
              <c:ext xmlns:c16="http://schemas.microsoft.com/office/drawing/2014/chart" uri="{C3380CC4-5D6E-409C-BE32-E72D297353CC}">
                <c16:uniqueId val="{00000005-3908-4D9B-880C-785499BCA119}"/>
              </c:ext>
            </c:extLst>
          </c:dPt>
          <c:dLbls>
            <c:dLbl>
              <c:idx val="0"/>
              <c:layout>
                <c:manualLayout>
                  <c:x val="-0.10385756676557868"/>
                  <c:y val="-8.59598853868195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908-4D9B-880C-785499BCA119}"/>
                </c:ext>
              </c:extLst>
            </c:dLbl>
            <c:dLbl>
              <c:idx val="1"/>
              <c:layout>
                <c:manualLayout>
                  <c:x val="5.9347181008902079E-2"/>
                  <c:y val="-8.59598853868195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08-4D9B-880C-785499BCA119}"/>
                </c:ext>
              </c:extLst>
            </c:dLbl>
            <c:dLbl>
              <c:idx val="2"/>
              <c:delete val="1"/>
              <c:extLst>
                <c:ext xmlns:c15="http://schemas.microsoft.com/office/drawing/2012/chart" uri="{CE6537A1-D6FC-4f65-9D91-7224C49458BB}"/>
                <c:ext xmlns:c16="http://schemas.microsoft.com/office/drawing/2014/chart" uri="{C3380CC4-5D6E-409C-BE32-E72D297353CC}">
                  <c16:uniqueId val="{00000005-3908-4D9B-880C-785499BCA1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ar!$K$3:$K$5</c:f>
              <c:numCache>
                <c:formatCode>0%</c:formatCode>
                <c:ptCount val="3"/>
                <c:pt idx="0">
                  <c:v>0.41666666666666669</c:v>
                </c:pt>
                <c:pt idx="1">
                  <c:v>0.58333333333333337</c:v>
                </c:pt>
                <c:pt idx="2">
                  <c:v>1</c:v>
                </c:pt>
              </c:numCache>
            </c:numRef>
          </c:val>
          <c:extLst>
            <c:ext xmlns:c16="http://schemas.microsoft.com/office/drawing/2014/chart" uri="{C3380CC4-5D6E-409C-BE32-E72D297353CC}">
              <c16:uniqueId val="{00000006-3908-4D9B-880C-785499BCA119}"/>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9D43-479D-90D1-9920F37D5164}"/>
              </c:ext>
            </c:extLst>
          </c:dPt>
          <c:dPt>
            <c:idx val="1"/>
            <c:bubble3D val="0"/>
            <c:spPr>
              <a:solidFill>
                <a:schemeClr val="accent2"/>
              </a:solidFill>
              <a:ln w="19050">
                <a:noFill/>
              </a:ln>
              <a:effectLst/>
            </c:spPr>
            <c:extLst>
              <c:ext xmlns:c16="http://schemas.microsoft.com/office/drawing/2014/chart" uri="{C3380CC4-5D6E-409C-BE32-E72D297353CC}">
                <c16:uniqueId val="{00000002-9D43-479D-90D1-9920F37D5164}"/>
              </c:ext>
            </c:extLst>
          </c:dPt>
          <c:dPt>
            <c:idx val="2"/>
            <c:bubble3D val="0"/>
            <c:spPr>
              <a:noFill/>
              <a:ln w="19050">
                <a:solidFill>
                  <a:schemeClr val="lt1"/>
                </a:solidFill>
              </a:ln>
              <a:effectLst/>
            </c:spPr>
            <c:extLst>
              <c:ext xmlns:c16="http://schemas.microsoft.com/office/drawing/2014/chart" uri="{C3380CC4-5D6E-409C-BE32-E72D297353CC}">
                <c16:uniqueId val="{00000001-9D43-479D-90D1-9920F37D5164}"/>
              </c:ext>
            </c:extLst>
          </c:dPt>
          <c:dLbls>
            <c:dLbl>
              <c:idx val="0"/>
              <c:layout>
                <c:manualLayout>
                  <c:x val="-0.12204424103737611"/>
                  <c:y val="-7.38916256157635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D43-479D-90D1-9920F37D5164}"/>
                </c:ext>
              </c:extLst>
            </c:dLbl>
            <c:dLbl>
              <c:idx val="1"/>
              <c:layout>
                <c:manualLayout>
                  <c:x val="5.7208237986270026E-2"/>
                  <c:y val="-0.172413793103448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D43-479D-90D1-9920F37D5164}"/>
                </c:ext>
              </c:extLst>
            </c:dLbl>
            <c:dLbl>
              <c:idx val="2"/>
              <c:delete val="1"/>
              <c:extLst>
                <c:ext xmlns:c15="http://schemas.microsoft.com/office/drawing/2012/chart" uri="{CE6537A1-D6FC-4f65-9D91-7224C49458BB}"/>
                <c:ext xmlns:c16="http://schemas.microsoft.com/office/drawing/2014/chart" uri="{C3380CC4-5D6E-409C-BE32-E72D297353CC}">
                  <c16:uniqueId val="{00000001-9D43-479D-90D1-9920F37D51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Sheet5!$E$5:$E$7</c:f>
              <c:numCache>
                <c:formatCode>0%</c:formatCode>
                <c:ptCount val="3"/>
                <c:pt idx="0">
                  <c:v>0.17647058823529413</c:v>
                </c:pt>
                <c:pt idx="1">
                  <c:v>0.82352941176470584</c:v>
                </c:pt>
                <c:pt idx="2">
                  <c:v>1</c:v>
                </c:pt>
              </c:numCache>
            </c:numRef>
          </c:val>
          <c:extLst>
            <c:ext xmlns:c16="http://schemas.microsoft.com/office/drawing/2014/chart" uri="{C3380CC4-5D6E-409C-BE32-E72D297353CC}">
              <c16:uniqueId val="{00000000-9D43-479D-90D1-9920F37D5164}"/>
            </c:ext>
          </c:extLst>
        </c:ser>
        <c:dLbls>
          <c:showLegendKey val="0"/>
          <c:showVal val="0"/>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Port of Agent</cx:v>
        </cx:txData>
      </cx:tx>
      <cx:txPr>
        <a:bodyPr spcFirstLastPara="1" vertOverflow="ellipsis" horzOverflow="overflow" wrap="square" lIns="0" tIns="0" rIns="0" bIns="0" anchor="ctr" anchorCtr="1"/>
        <a:lstStyle/>
        <a:p>
          <a:pPr algn="ctr" rtl="0">
            <a:defRPr/>
          </a:pPr>
          <a:r>
            <a:rPr lang="en-US" sz="800" b="1" i="0" u="none" strike="noStrike" spc="0" normalizeH="0" baseline="0">
              <a:solidFill>
                <a:schemeClr val="tx1"/>
              </a:solidFill>
              <a:latin typeface="Aptos Display" panose="02110004020202020204"/>
            </a:rPr>
            <a:t>Port of Agent</a:t>
          </a:r>
        </a:p>
      </cx:txPr>
    </cx:title>
    <cx:plotArea>
      <cx:plotAreaRegion>
        <cx:series layoutId="treemap" uniqueId="{098B7355-6EA3-498D-AC0A-0C4DC7F9CD8C}">
          <cx:tx>
            <cx:txData>
              <cx:f>_xlchart.v1.1</cx:f>
              <cx:v>port agent</cx:v>
            </cx:txData>
          </cx:tx>
          <cx:dataPt idx="0">
            <cx:spPr>
              <a:solidFill>
                <a:srgbClr val="0E2841">
                  <a:lumMod val="25000"/>
                  <a:lumOff val="75000"/>
                </a:srgbClr>
              </a:solidFill>
            </cx:spPr>
          </cx:dataPt>
          <cx:dataPt idx="1">
            <cx:spPr>
              <a:solidFill>
                <a:srgbClr val="E97132">
                  <a:lumMod val="40000"/>
                  <a:lumOff val="60000"/>
                </a:srgbClr>
              </a:solidFill>
            </cx:spPr>
          </cx:dataPt>
          <cx:dataPt idx="4">
            <cx:spPr>
              <a:solidFill>
                <a:srgbClr val="A02B93">
                  <a:lumMod val="40000"/>
                  <a:lumOff val="60000"/>
                </a:srgbClr>
              </a:solidFill>
            </cx:spPr>
          </cx:dataPt>
          <cx:dataLabels pos="inEnd">
            <cx:visibility seriesName="0" categoryName="1" value="0"/>
            <cx:separator>, </cx:separator>
            <cx:dataLabel idx="0">
              <cx:visibility seriesName="0" categoryName="1" value="0"/>
              <cx:separator>, </cx:separator>
            </cx:dataLabel>
            <cx:dataLabel idx="11">
              <cx:txPr>
                <a:bodyPr spcFirstLastPara="1" vertOverflow="ellipsis" horzOverflow="overflow" wrap="square" lIns="38100" tIns="19050" rIns="38100" bIns="19050" anchor="ctr" anchorCtr="1">
                  <a:spAutoFit/>
                </a:bodyPr>
                <a:lstStyle/>
                <a:p>
                  <a:pPr algn="ctr" rtl="0">
                    <a:defRPr/>
                  </a:pPr>
                  <a:r>
                    <a:rPr lang="en-US" sz="900" b="0" i="0" u="none" strike="noStrike" baseline="0">
                      <a:solidFill>
                        <a:sysClr val="windowText" lastClr="000000">
                          <a:lumMod val="75000"/>
                          <a:lumOff val="25000"/>
                        </a:sysClr>
                      </a:solidFill>
                      <a:latin typeface="Aptos Narrow" panose="02110004020202020204"/>
                    </a:rPr>
                    <a:t>SEA LEAD, 10</a:t>
                  </a:r>
                </a:p>
              </cx:txPr>
              <cx:visibility seriesName="0" categoryName="1" value="1"/>
              <cx:separator>, </cx:separator>
            </cx:dataLabel>
          </cx:dataLabels>
          <cx:dataId val="0"/>
          <cx:layoutPr>
            <cx:parentLabelLayout val="banner"/>
          </cx:layoutPr>
        </cx:series>
      </cx:plotAreaRegion>
    </cx:plotArea>
    <cx:legend pos="r" align="ctr" overlay="0">
      <cx:spPr>
        <a:noFill/>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2.svg"/><Relationship Id="rId18" Type="http://schemas.openxmlformats.org/officeDocument/2006/relationships/image" Target="../media/image7.png"/><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image" Target="../media/image1.png"/><Relationship Id="rId17" Type="http://schemas.openxmlformats.org/officeDocument/2006/relationships/image" Target="../media/image6.svg"/><Relationship Id="rId2" Type="http://schemas.openxmlformats.org/officeDocument/2006/relationships/chart" Target="../charts/chart3.xml"/><Relationship Id="rId16" Type="http://schemas.openxmlformats.org/officeDocument/2006/relationships/image" Target="../media/image5.png"/><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chart" Target="../charts/chart11.xml"/><Relationship Id="rId5" Type="http://schemas.openxmlformats.org/officeDocument/2006/relationships/chart" Target="../charts/chart6.xml"/><Relationship Id="rId15" Type="http://schemas.openxmlformats.org/officeDocument/2006/relationships/image" Target="../media/image4.svg"/><Relationship Id="rId10" Type="http://schemas.microsoft.com/office/2014/relationships/chartEx" Target="../charts/chartEx1.xml"/><Relationship Id="rId4" Type="http://schemas.openxmlformats.org/officeDocument/2006/relationships/chart" Target="../charts/chart5.xml"/><Relationship Id="rId9" Type="http://schemas.openxmlformats.org/officeDocument/2006/relationships/chart" Target="../charts/chart10.xml"/><Relationship Id="rId14"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12</xdr:col>
      <xdr:colOff>111386</xdr:colOff>
      <xdr:row>34</xdr:row>
      <xdr:rowOff>90124</xdr:rowOff>
    </xdr:from>
    <xdr:to>
      <xdr:col>15</xdr:col>
      <xdr:colOff>111386</xdr:colOff>
      <xdr:row>40</xdr:row>
      <xdr:rowOff>21544</xdr:rowOff>
    </xdr:to>
    <mc:AlternateContent xmlns:mc="http://schemas.openxmlformats.org/markup-compatibility/2006" xmlns:a14="http://schemas.microsoft.com/office/drawing/2010/main">
      <mc:Choice Requires="a14">
        <xdr:graphicFrame macro="">
          <xdr:nvGraphicFramePr>
            <xdr:cNvPr id="6" name="TAT2 2">
              <a:extLst>
                <a:ext uri="{FF2B5EF4-FFF2-40B4-BE49-F238E27FC236}">
                  <a16:creationId xmlns:a16="http://schemas.microsoft.com/office/drawing/2014/main" id="{9F314068-328E-5378-8326-881C75E516DA}"/>
                </a:ext>
              </a:extLst>
            </xdr:cNvPr>
            <xdr:cNvGraphicFramePr/>
          </xdr:nvGraphicFramePr>
          <xdr:xfrm>
            <a:off x="0" y="0"/>
            <a:ext cx="0" cy="0"/>
          </xdr:xfrm>
          <a:graphic>
            <a:graphicData uri="http://schemas.microsoft.com/office/drawing/2010/slicer">
              <sle:slicer xmlns:sle="http://schemas.microsoft.com/office/drawing/2010/slicer" name="TAT2 2"/>
            </a:graphicData>
          </a:graphic>
        </xdr:graphicFrame>
      </mc:Choice>
      <mc:Fallback xmlns="">
        <xdr:sp macro="" textlink="">
          <xdr:nvSpPr>
            <xdr:cNvPr id="0" name=""/>
            <xdr:cNvSpPr>
              <a:spLocks noTextEdit="1"/>
            </xdr:cNvSpPr>
          </xdr:nvSpPr>
          <xdr:spPr>
            <a:xfrm>
              <a:off x="11325016" y="6167309"/>
              <a:ext cx="1834444" cy="10038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169428</xdr:colOff>
      <xdr:row>9</xdr:row>
      <xdr:rowOff>163596</xdr:rowOff>
    </xdr:from>
    <xdr:to>
      <xdr:col>21</xdr:col>
      <xdr:colOff>169428</xdr:colOff>
      <xdr:row>15</xdr:row>
      <xdr:rowOff>56916</xdr:rowOff>
    </xdr:to>
    <mc:AlternateContent xmlns:mc="http://schemas.openxmlformats.org/markup-compatibility/2006" xmlns:a14="http://schemas.microsoft.com/office/drawing/2010/main">
      <mc:Choice Requires="a14">
        <xdr:graphicFrame macro="">
          <xdr:nvGraphicFramePr>
            <xdr:cNvPr id="7" name="User name">
              <a:extLst>
                <a:ext uri="{FF2B5EF4-FFF2-40B4-BE49-F238E27FC236}">
                  <a16:creationId xmlns:a16="http://schemas.microsoft.com/office/drawing/2014/main" id="{1118D8F0-EA2D-487E-163C-85FBE2C92294}"/>
                </a:ext>
              </a:extLst>
            </xdr:cNvPr>
            <xdr:cNvGraphicFramePr/>
          </xdr:nvGraphicFramePr>
          <xdr:xfrm>
            <a:off x="0" y="0"/>
            <a:ext cx="0" cy="0"/>
          </xdr:xfrm>
          <a:graphic>
            <a:graphicData uri="http://schemas.microsoft.com/office/drawing/2010/slicer">
              <sle:slicer xmlns:sle="http://schemas.microsoft.com/office/drawing/2010/slicer" name="User name"/>
            </a:graphicData>
          </a:graphic>
        </xdr:graphicFrame>
      </mc:Choice>
      <mc:Fallback xmlns="">
        <xdr:sp macro="" textlink="">
          <xdr:nvSpPr>
            <xdr:cNvPr id="0" name=""/>
            <xdr:cNvSpPr>
              <a:spLocks noTextEdit="1"/>
            </xdr:cNvSpPr>
          </xdr:nvSpPr>
          <xdr:spPr>
            <a:xfrm>
              <a:off x="15155428" y="1772263"/>
              <a:ext cx="1834444" cy="9657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198120</xdr:colOff>
      <xdr:row>3</xdr:row>
      <xdr:rowOff>121920</xdr:rowOff>
    </xdr:from>
    <xdr:to>
      <xdr:col>18</xdr:col>
      <xdr:colOff>198119</xdr:colOff>
      <xdr:row>10</xdr:row>
      <xdr:rowOff>7620</xdr:rowOff>
    </xdr:to>
    <mc:AlternateContent xmlns:mc="http://schemas.openxmlformats.org/markup-compatibility/2006" xmlns:a14="http://schemas.microsoft.com/office/drawing/2010/main">
      <mc:Choice Requires="a14">
        <xdr:graphicFrame macro="">
          <xdr:nvGraphicFramePr>
            <xdr:cNvPr id="11" name="Months">
              <a:extLst>
                <a:ext uri="{FF2B5EF4-FFF2-40B4-BE49-F238E27FC236}">
                  <a16:creationId xmlns:a16="http://schemas.microsoft.com/office/drawing/2014/main" id="{FE4494D5-32DF-E393-FBD2-2B9ADE57BD77}"/>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2047220" y="670560"/>
              <a:ext cx="1828800" cy="11658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300942</xdr:colOff>
      <xdr:row>35</xdr:row>
      <xdr:rowOff>25400</xdr:rowOff>
    </xdr:from>
    <xdr:to>
      <xdr:col>20</xdr:col>
      <xdr:colOff>295298</xdr:colOff>
      <xdr:row>49</xdr:row>
      <xdr:rowOff>104305</xdr:rowOff>
    </xdr:to>
    <mc:AlternateContent xmlns:mc="http://schemas.openxmlformats.org/markup-compatibility/2006" xmlns:a14="http://schemas.microsoft.com/office/drawing/2010/main">
      <mc:Choice Requires="a14">
        <xdr:graphicFrame macro="">
          <xdr:nvGraphicFramePr>
            <xdr:cNvPr id="5" name="Months 4">
              <a:extLst>
                <a:ext uri="{FF2B5EF4-FFF2-40B4-BE49-F238E27FC236}">
                  <a16:creationId xmlns:a16="http://schemas.microsoft.com/office/drawing/2014/main" id="{290C2B38-128D-7A95-FA57-0DC9989B1575}"/>
                </a:ext>
              </a:extLst>
            </xdr:cNvPr>
            <xdr:cNvGraphicFramePr/>
          </xdr:nvGraphicFramePr>
          <xdr:xfrm>
            <a:off x="0" y="0"/>
            <a:ext cx="0" cy="0"/>
          </xdr:xfrm>
          <a:graphic>
            <a:graphicData uri="http://schemas.microsoft.com/office/drawing/2010/slicer">
              <sle:slicer xmlns:sle="http://schemas.microsoft.com/office/drawing/2010/slicer" name="Months 4"/>
            </a:graphicData>
          </a:graphic>
        </xdr:graphicFrame>
      </mc:Choice>
      <mc:Fallback xmlns="">
        <xdr:sp macro="" textlink="">
          <xdr:nvSpPr>
            <xdr:cNvPr id="0" name=""/>
            <xdr:cNvSpPr>
              <a:spLocks noTextEdit="1"/>
            </xdr:cNvSpPr>
          </xdr:nvSpPr>
          <xdr:spPr>
            <a:xfrm>
              <a:off x="14571979" y="6281326"/>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150425</xdr:colOff>
      <xdr:row>1</xdr:row>
      <xdr:rowOff>103481</xdr:rowOff>
    </xdr:from>
    <xdr:to>
      <xdr:col>14</xdr:col>
      <xdr:colOff>144780</xdr:colOff>
      <xdr:row>8</xdr:row>
      <xdr:rowOff>94073</xdr:rowOff>
    </xdr:to>
    <mc:AlternateContent xmlns:mc="http://schemas.openxmlformats.org/markup-compatibility/2006" xmlns:a14="http://schemas.microsoft.com/office/drawing/2010/main">
      <mc:Choice Requires="a14">
        <xdr:graphicFrame macro="">
          <xdr:nvGraphicFramePr>
            <xdr:cNvPr id="2" name="TAT2 3">
              <a:extLst>
                <a:ext uri="{FF2B5EF4-FFF2-40B4-BE49-F238E27FC236}">
                  <a16:creationId xmlns:a16="http://schemas.microsoft.com/office/drawing/2014/main" id="{33608AEC-31AE-6F2E-D744-2F3ACD14A637}"/>
                </a:ext>
              </a:extLst>
            </xdr:cNvPr>
            <xdr:cNvGraphicFramePr/>
          </xdr:nvGraphicFramePr>
          <xdr:xfrm>
            <a:off x="0" y="0"/>
            <a:ext cx="0" cy="0"/>
          </xdr:xfrm>
          <a:graphic>
            <a:graphicData uri="http://schemas.microsoft.com/office/drawing/2010/slicer">
              <sle:slicer xmlns:sle="http://schemas.microsoft.com/office/drawing/2010/slicer" name="TAT2 3"/>
            </a:graphicData>
          </a:graphic>
        </xdr:graphicFrame>
      </mc:Choice>
      <mc:Fallback xmlns="">
        <xdr:sp macro="" textlink="">
          <xdr:nvSpPr>
            <xdr:cNvPr id="0" name=""/>
            <xdr:cNvSpPr>
              <a:spLocks noTextEdit="1"/>
            </xdr:cNvSpPr>
          </xdr:nvSpPr>
          <xdr:spPr>
            <a:xfrm>
              <a:off x="10752573" y="282222"/>
              <a:ext cx="1828800" cy="12417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61</xdr:row>
      <xdr:rowOff>0</xdr:rowOff>
    </xdr:from>
    <xdr:to>
      <xdr:col>20</xdr:col>
      <xdr:colOff>280340</xdr:colOff>
      <xdr:row>71</xdr:row>
      <xdr:rowOff>6499</xdr:rowOff>
    </xdr:to>
    <xdr:graphicFrame macro="">
      <xdr:nvGraphicFramePr>
        <xdr:cNvPr id="3" name="Chart 3">
          <a:extLst>
            <a:ext uri="{FF2B5EF4-FFF2-40B4-BE49-F238E27FC236}">
              <a16:creationId xmlns:a16="http://schemas.microsoft.com/office/drawing/2014/main" id="{0BA751A3-68BE-49FF-9D6C-CC0CEF1936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1</xdr:row>
      <xdr:rowOff>22860</xdr:rowOff>
    </xdr:from>
    <xdr:to>
      <xdr:col>19</xdr:col>
      <xdr:colOff>228600</xdr:colOff>
      <xdr:row>28</xdr:row>
      <xdr:rowOff>99060</xdr:rowOff>
    </xdr:to>
    <xdr:sp macro="" textlink="">
      <xdr:nvSpPr>
        <xdr:cNvPr id="2" name="Rectangle 1">
          <a:extLst>
            <a:ext uri="{FF2B5EF4-FFF2-40B4-BE49-F238E27FC236}">
              <a16:creationId xmlns:a16="http://schemas.microsoft.com/office/drawing/2014/main" id="{C07250CC-4C3F-43CB-84E9-02B476298C51}"/>
            </a:ext>
          </a:extLst>
        </xdr:cNvPr>
        <xdr:cNvSpPr/>
      </xdr:nvSpPr>
      <xdr:spPr>
        <a:xfrm>
          <a:off x="60960" y="22860"/>
          <a:ext cx="11750040" cy="5013960"/>
        </a:xfrm>
        <a:prstGeom prst="rect">
          <a:avLst/>
        </a:prstGeom>
        <a:solidFill>
          <a:schemeClr val="bg2">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91440</xdr:colOff>
      <xdr:row>1</xdr:row>
      <xdr:rowOff>70909</xdr:rowOff>
    </xdr:from>
    <xdr:to>
      <xdr:col>10</xdr:col>
      <xdr:colOff>403860</xdr:colOff>
      <xdr:row>6</xdr:row>
      <xdr:rowOff>158116</xdr:rowOff>
    </xdr:to>
    <xdr:sp macro="" textlink="">
      <xdr:nvSpPr>
        <xdr:cNvPr id="3" name="Rectangle 2">
          <a:extLst>
            <a:ext uri="{FF2B5EF4-FFF2-40B4-BE49-F238E27FC236}">
              <a16:creationId xmlns:a16="http://schemas.microsoft.com/office/drawing/2014/main" id="{53A10519-97F2-519C-5673-31289A55B04A}"/>
            </a:ext>
          </a:extLst>
        </xdr:cNvPr>
        <xdr:cNvSpPr/>
      </xdr:nvSpPr>
      <xdr:spPr>
        <a:xfrm>
          <a:off x="91440" y="251884"/>
          <a:ext cx="6408420" cy="992082"/>
        </a:xfrm>
        <a:prstGeom prst="rect">
          <a:avLst/>
        </a:prstGeom>
        <a:solidFill>
          <a:schemeClr val="bg1"/>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441960</xdr:colOff>
      <xdr:row>4</xdr:row>
      <xdr:rowOff>83820</xdr:rowOff>
    </xdr:from>
    <xdr:to>
      <xdr:col>19</xdr:col>
      <xdr:colOff>121920</xdr:colOff>
      <xdr:row>10</xdr:row>
      <xdr:rowOff>30540</xdr:rowOff>
    </xdr:to>
    <xdr:grpSp>
      <xdr:nvGrpSpPr>
        <xdr:cNvPr id="6" name="Group 5">
          <a:extLst>
            <a:ext uri="{FF2B5EF4-FFF2-40B4-BE49-F238E27FC236}">
              <a16:creationId xmlns:a16="http://schemas.microsoft.com/office/drawing/2014/main" id="{4250855A-343D-7937-F8B3-795FCA0CE4ED}"/>
            </a:ext>
          </a:extLst>
        </xdr:cNvPr>
        <xdr:cNvGrpSpPr/>
      </xdr:nvGrpSpPr>
      <xdr:grpSpPr>
        <a:xfrm>
          <a:off x="6537960" y="828887"/>
          <a:ext cx="5166360" cy="1064320"/>
          <a:chOff x="6560820" y="53340"/>
          <a:chExt cx="5166360" cy="990600"/>
        </a:xfrm>
        <a:solidFill>
          <a:schemeClr val="bg1"/>
        </a:solidFill>
      </xdr:grpSpPr>
      <xdr:sp macro="" textlink="">
        <xdr:nvSpPr>
          <xdr:cNvPr id="4" name="Rectangle 3">
            <a:extLst>
              <a:ext uri="{FF2B5EF4-FFF2-40B4-BE49-F238E27FC236}">
                <a16:creationId xmlns:a16="http://schemas.microsoft.com/office/drawing/2014/main" id="{A178283C-3CEE-7179-598B-2F7D2E300BCA}"/>
              </a:ext>
            </a:extLst>
          </xdr:cNvPr>
          <xdr:cNvSpPr/>
        </xdr:nvSpPr>
        <xdr:spPr>
          <a:xfrm>
            <a:off x="6560820" y="6096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5" name="Rectangle 4">
            <a:extLst>
              <a:ext uri="{FF2B5EF4-FFF2-40B4-BE49-F238E27FC236}">
                <a16:creationId xmlns:a16="http://schemas.microsoft.com/office/drawing/2014/main" id="{A25F327A-471E-4D1D-92FC-41FFE77A5D7E}"/>
              </a:ext>
            </a:extLst>
          </xdr:cNvPr>
          <xdr:cNvSpPr/>
        </xdr:nvSpPr>
        <xdr:spPr>
          <a:xfrm>
            <a:off x="9174480" y="5334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10</xdr:col>
      <xdr:colOff>441960</xdr:colOff>
      <xdr:row>10</xdr:row>
      <xdr:rowOff>68580</xdr:rowOff>
    </xdr:from>
    <xdr:to>
      <xdr:col>19</xdr:col>
      <xdr:colOff>121920</xdr:colOff>
      <xdr:row>16</xdr:row>
      <xdr:rowOff>15300</xdr:rowOff>
    </xdr:to>
    <xdr:grpSp>
      <xdr:nvGrpSpPr>
        <xdr:cNvPr id="7" name="Group 6">
          <a:extLst>
            <a:ext uri="{FF2B5EF4-FFF2-40B4-BE49-F238E27FC236}">
              <a16:creationId xmlns:a16="http://schemas.microsoft.com/office/drawing/2014/main" id="{A6C7A3DD-8456-4A17-AA48-CEA85A59D39D}"/>
            </a:ext>
          </a:extLst>
        </xdr:cNvPr>
        <xdr:cNvGrpSpPr/>
      </xdr:nvGrpSpPr>
      <xdr:grpSpPr>
        <a:xfrm>
          <a:off x="6537960" y="1931247"/>
          <a:ext cx="5166360" cy="1064320"/>
          <a:chOff x="6560820" y="53340"/>
          <a:chExt cx="5166360" cy="990600"/>
        </a:xfrm>
        <a:solidFill>
          <a:schemeClr val="bg1"/>
        </a:solidFill>
      </xdr:grpSpPr>
      <xdr:sp macro="" textlink="">
        <xdr:nvSpPr>
          <xdr:cNvPr id="8" name="Rectangle 7">
            <a:extLst>
              <a:ext uri="{FF2B5EF4-FFF2-40B4-BE49-F238E27FC236}">
                <a16:creationId xmlns:a16="http://schemas.microsoft.com/office/drawing/2014/main" id="{3ED4AE76-20AC-DD0E-E55C-B1C78EE36381}"/>
              </a:ext>
            </a:extLst>
          </xdr:cNvPr>
          <xdr:cNvSpPr/>
        </xdr:nvSpPr>
        <xdr:spPr>
          <a:xfrm>
            <a:off x="6560820" y="6096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9" name="Rectangle 8">
            <a:extLst>
              <a:ext uri="{FF2B5EF4-FFF2-40B4-BE49-F238E27FC236}">
                <a16:creationId xmlns:a16="http://schemas.microsoft.com/office/drawing/2014/main" id="{7306760E-D423-E514-63E2-B57E711A75EB}"/>
              </a:ext>
            </a:extLst>
          </xdr:cNvPr>
          <xdr:cNvSpPr/>
        </xdr:nvSpPr>
        <xdr:spPr>
          <a:xfrm>
            <a:off x="9174480" y="5334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10</xdr:col>
      <xdr:colOff>449580</xdr:colOff>
      <xdr:row>16</xdr:row>
      <xdr:rowOff>53340</xdr:rowOff>
    </xdr:from>
    <xdr:to>
      <xdr:col>19</xdr:col>
      <xdr:colOff>129540</xdr:colOff>
      <xdr:row>22</xdr:row>
      <xdr:rowOff>60</xdr:rowOff>
    </xdr:to>
    <xdr:grpSp>
      <xdr:nvGrpSpPr>
        <xdr:cNvPr id="10" name="Group 9">
          <a:extLst>
            <a:ext uri="{FF2B5EF4-FFF2-40B4-BE49-F238E27FC236}">
              <a16:creationId xmlns:a16="http://schemas.microsoft.com/office/drawing/2014/main" id="{9CCAC35A-E336-4342-98F0-148C09796C90}"/>
            </a:ext>
          </a:extLst>
        </xdr:cNvPr>
        <xdr:cNvGrpSpPr/>
      </xdr:nvGrpSpPr>
      <xdr:grpSpPr>
        <a:xfrm>
          <a:off x="6545580" y="3033607"/>
          <a:ext cx="5166360" cy="1064320"/>
          <a:chOff x="6560820" y="53340"/>
          <a:chExt cx="5166360" cy="990600"/>
        </a:xfrm>
        <a:solidFill>
          <a:schemeClr val="bg1"/>
        </a:solidFill>
      </xdr:grpSpPr>
      <xdr:sp macro="" textlink="">
        <xdr:nvSpPr>
          <xdr:cNvPr id="11" name="Rectangle 10">
            <a:extLst>
              <a:ext uri="{FF2B5EF4-FFF2-40B4-BE49-F238E27FC236}">
                <a16:creationId xmlns:a16="http://schemas.microsoft.com/office/drawing/2014/main" id="{5520D0C3-6E3A-44AE-9FF4-6C7EF584AE52}"/>
              </a:ext>
            </a:extLst>
          </xdr:cNvPr>
          <xdr:cNvSpPr/>
        </xdr:nvSpPr>
        <xdr:spPr>
          <a:xfrm>
            <a:off x="6560820" y="6096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2" name="Rectangle 11">
            <a:extLst>
              <a:ext uri="{FF2B5EF4-FFF2-40B4-BE49-F238E27FC236}">
                <a16:creationId xmlns:a16="http://schemas.microsoft.com/office/drawing/2014/main" id="{6815148E-5799-3545-054A-109A55063813}"/>
              </a:ext>
            </a:extLst>
          </xdr:cNvPr>
          <xdr:cNvSpPr/>
        </xdr:nvSpPr>
        <xdr:spPr>
          <a:xfrm>
            <a:off x="9174480" y="5334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10</xdr:col>
      <xdr:colOff>457200</xdr:colOff>
      <xdr:row>22</xdr:row>
      <xdr:rowOff>30480</xdr:rowOff>
    </xdr:from>
    <xdr:to>
      <xdr:col>19</xdr:col>
      <xdr:colOff>137160</xdr:colOff>
      <xdr:row>27</xdr:row>
      <xdr:rowOff>160080</xdr:rowOff>
    </xdr:to>
    <xdr:grpSp>
      <xdr:nvGrpSpPr>
        <xdr:cNvPr id="13" name="Group 12">
          <a:extLst>
            <a:ext uri="{FF2B5EF4-FFF2-40B4-BE49-F238E27FC236}">
              <a16:creationId xmlns:a16="http://schemas.microsoft.com/office/drawing/2014/main" id="{0F96ECC2-7E1C-41A7-94D3-9849CAD7A440}"/>
            </a:ext>
          </a:extLst>
        </xdr:cNvPr>
        <xdr:cNvGrpSpPr/>
      </xdr:nvGrpSpPr>
      <xdr:grpSpPr>
        <a:xfrm>
          <a:off x="6553200" y="4128347"/>
          <a:ext cx="5166360" cy="1060933"/>
          <a:chOff x="6560820" y="53340"/>
          <a:chExt cx="5166360" cy="990600"/>
        </a:xfrm>
        <a:solidFill>
          <a:schemeClr val="bg1"/>
        </a:solidFill>
      </xdr:grpSpPr>
      <xdr:sp macro="" textlink="">
        <xdr:nvSpPr>
          <xdr:cNvPr id="14" name="Rectangle 13">
            <a:extLst>
              <a:ext uri="{FF2B5EF4-FFF2-40B4-BE49-F238E27FC236}">
                <a16:creationId xmlns:a16="http://schemas.microsoft.com/office/drawing/2014/main" id="{5D05DE74-6B95-5A43-7498-7FE4B23C6D84}"/>
              </a:ext>
            </a:extLst>
          </xdr:cNvPr>
          <xdr:cNvSpPr/>
        </xdr:nvSpPr>
        <xdr:spPr>
          <a:xfrm>
            <a:off x="6560820" y="6096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5" name="Rectangle 14">
            <a:extLst>
              <a:ext uri="{FF2B5EF4-FFF2-40B4-BE49-F238E27FC236}">
                <a16:creationId xmlns:a16="http://schemas.microsoft.com/office/drawing/2014/main" id="{A4127519-D6B7-E199-D9D4-61BCAEE2AA84}"/>
              </a:ext>
            </a:extLst>
          </xdr:cNvPr>
          <xdr:cNvSpPr/>
        </xdr:nvSpPr>
        <xdr:spPr>
          <a:xfrm>
            <a:off x="9174480" y="53340"/>
            <a:ext cx="2552700" cy="98298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pSp>
    <xdr:clientData/>
  </xdr:twoCellAnchor>
  <xdr:twoCellAnchor>
    <xdr:from>
      <xdr:col>0</xdr:col>
      <xdr:colOff>91440</xdr:colOff>
      <xdr:row>6</xdr:row>
      <xdr:rowOff>160020</xdr:rowOff>
    </xdr:from>
    <xdr:to>
      <xdr:col>10</xdr:col>
      <xdr:colOff>415080</xdr:colOff>
      <xdr:row>17</xdr:row>
      <xdr:rowOff>60960</xdr:rowOff>
    </xdr:to>
    <xdr:grpSp>
      <xdr:nvGrpSpPr>
        <xdr:cNvPr id="19" name="Group 18">
          <a:extLst>
            <a:ext uri="{FF2B5EF4-FFF2-40B4-BE49-F238E27FC236}">
              <a16:creationId xmlns:a16="http://schemas.microsoft.com/office/drawing/2014/main" id="{2CECAAE3-D3D0-380E-5156-1BADD27D4909}"/>
            </a:ext>
          </a:extLst>
        </xdr:cNvPr>
        <xdr:cNvGrpSpPr/>
      </xdr:nvGrpSpPr>
      <xdr:grpSpPr>
        <a:xfrm>
          <a:off x="91440" y="1277620"/>
          <a:ext cx="6419640" cy="1949873"/>
          <a:chOff x="91440" y="891540"/>
          <a:chExt cx="6419640" cy="1912620"/>
        </a:xfrm>
        <a:solidFill>
          <a:schemeClr val="bg1"/>
        </a:solidFill>
      </xdr:grpSpPr>
      <xdr:sp macro="" textlink="">
        <xdr:nvSpPr>
          <xdr:cNvPr id="16" name="Rectangle 15">
            <a:extLst>
              <a:ext uri="{FF2B5EF4-FFF2-40B4-BE49-F238E27FC236}">
                <a16:creationId xmlns:a16="http://schemas.microsoft.com/office/drawing/2014/main" id="{32C8362B-1141-AB85-1692-5D91B6227C53}"/>
              </a:ext>
            </a:extLst>
          </xdr:cNvPr>
          <xdr:cNvSpPr/>
        </xdr:nvSpPr>
        <xdr:spPr>
          <a:xfrm>
            <a:off x="91440" y="899160"/>
            <a:ext cx="3168000" cy="190500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Rectangle 16">
            <a:extLst>
              <a:ext uri="{FF2B5EF4-FFF2-40B4-BE49-F238E27FC236}">
                <a16:creationId xmlns:a16="http://schemas.microsoft.com/office/drawing/2014/main" id="{0C68B31C-C576-4FEF-B95B-12AC782D679D}"/>
              </a:ext>
            </a:extLst>
          </xdr:cNvPr>
          <xdr:cNvSpPr/>
        </xdr:nvSpPr>
        <xdr:spPr>
          <a:xfrm>
            <a:off x="3307080" y="891540"/>
            <a:ext cx="3204000" cy="1905000"/>
          </a:xfrm>
          <a:prstGeom prst="rect">
            <a:avLst/>
          </a:prstGeom>
          <a:grp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0</xdr:col>
      <xdr:colOff>76200</xdr:colOff>
      <xdr:row>17</xdr:row>
      <xdr:rowOff>83820</xdr:rowOff>
    </xdr:from>
    <xdr:to>
      <xdr:col>10</xdr:col>
      <xdr:colOff>424200</xdr:colOff>
      <xdr:row>27</xdr:row>
      <xdr:rowOff>160020</xdr:rowOff>
    </xdr:to>
    <xdr:sp macro="" textlink="">
      <xdr:nvSpPr>
        <xdr:cNvPr id="22" name="Rectangle 21">
          <a:extLst>
            <a:ext uri="{FF2B5EF4-FFF2-40B4-BE49-F238E27FC236}">
              <a16:creationId xmlns:a16="http://schemas.microsoft.com/office/drawing/2014/main" id="{1E2260E5-67DF-D78F-D2DC-91B3E09FEA19}"/>
            </a:ext>
          </a:extLst>
        </xdr:cNvPr>
        <xdr:cNvSpPr/>
      </xdr:nvSpPr>
      <xdr:spPr>
        <a:xfrm>
          <a:off x="76200" y="2827020"/>
          <a:ext cx="6444000" cy="1905000"/>
        </a:xfrm>
        <a:prstGeom prst="rect">
          <a:avLst/>
        </a:prstGeom>
        <a:solidFill>
          <a:schemeClr val="bg1"/>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251460</xdr:colOff>
      <xdr:row>4</xdr:row>
      <xdr:rowOff>114300</xdr:rowOff>
    </xdr:from>
    <xdr:to>
      <xdr:col>20</xdr:col>
      <xdr:colOff>243060</xdr:colOff>
      <xdr:row>13</xdr:row>
      <xdr:rowOff>59267</xdr:rowOff>
    </xdr:to>
    <xdr:graphicFrame macro="">
      <xdr:nvGraphicFramePr>
        <xdr:cNvPr id="23" name="Chart 11">
          <a:extLst>
            <a:ext uri="{FF2B5EF4-FFF2-40B4-BE49-F238E27FC236}">
              <a16:creationId xmlns:a16="http://schemas.microsoft.com/office/drawing/2014/main" id="{2AFDFC9A-F38D-4588-AD38-872475DF4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7620</xdr:colOff>
      <xdr:row>4</xdr:row>
      <xdr:rowOff>83820</xdr:rowOff>
    </xdr:from>
    <xdr:to>
      <xdr:col>18</xdr:col>
      <xdr:colOff>190500</xdr:colOff>
      <xdr:row>6</xdr:row>
      <xdr:rowOff>53340</xdr:rowOff>
    </xdr:to>
    <xdr:sp macro="" textlink="">
      <xdr:nvSpPr>
        <xdr:cNvPr id="24" name="TextBox 23">
          <a:extLst>
            <a:ext uri="{FF2B5EF4-FFF2-40B4-BE49-F238E27FC236}">
              <a16:creationId xmlns:a16="http://schemas.microsoft.com/office/drawing/2014/main" id="{BEA93ED0-A8B4-4011-ADD6-ACBF0754A802}"/>
            </a:ext>
          </a:extLst>
        </xdr:cNvPr>
        <xdr:cNvSpPr txBox="1"/>
      </xdr:nvSpPr>
      <xdr:spPr>
        <a:xfrm>
          <a:off x="9151620" y="632460"/>
          <a:ext cx="2011680" cy="335280"/>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200" b="1" i="0">
              <a:solidFill>
                <a:schemeClr val="dk1"/>
              </a:solidFill>
              <a:effectLst/>
              <a:latin typeface="+mn-lt"/>
              <a:ea typeface="+mn-ea"/>
              <a:cs typeface="+mn-cs"/>
            </a:rPr>
            <a:t>Vessel creation</a:t>
          </a:r>
          <a:endParaRPr lang="en-IN" sz="1200">
            <a:effectLst/>
          </a:endParaRPr>
        </a:p>
        <a:p>
          <a:endParaRPr lang="en-IN" sz="1100" kern="1200"/>
        </a:p>
      </xdr:txBody>
    </xdr:sp>
    <xdr:clientData/>
  </xdr:twoCellAnchor>
  <xdr:twoCellAnchor>
    <xdr:from>
      <xdr:col>15</xdr:col>
      <xdr:colOff>236220</xdr:colOff>
      <xdr:row>7</xdr:row>
      <xdr:rowOff>7620</xdr:rowOff>
    </xdr:from>
    <xdr:to>
      <xdr:col>16</xdr:col>
      <xdr:colOff>327660</xdr:colOff>
      <xdr:row>9</xdr:row>
      <xdr:rowOff>107527</xdr:rowOff>
    </xdr:to>
    <xdr:sp macro="" textlink="Sheet2!$F$9">
      <xdr:nvSpPr>
        <xdr:cNvPr id="25" name="TextBox 24">
          <a:extLst>
            <a:ext uri="{FF2B5EF4-FFF2-40B4-BE49-F238E27FC236}">
              <a16:creationId xmlns:a16="http://schemas.microsoft.com/office/drawing/2014/main" id="{6B393F2F-68A9-4ED2-B447-2044C88379B8}"/>
            </a:ext>
          </a:extLst>
        </xdr:cNvPr>
        <xdr:cNvSpPr txBox="1"/>
      </xdr:nvSpPr>
      <xdr:spPr>
        <a:xfrm>
          <a:off x="9380220" y="1274445"/>
          <a:ext cx="701040" cy="461857"/>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DDB6AF1-D980-42DC-8DD4-DEBA8B5BBF5B}" type="TxLink">
            <a:rPr lang="en-US" sz="2800" b="1" i="0" u="none" strike="noStrike" kern="1200">
              <a:solidFill>
                <a:srgbClr val="4ABABA"/>
              </a:solidFill>
              <a:latin typeface="Aptos Narrow"/>
            </a:rPr>
            <a:pPr algn="ctr"/>
            <a:t>49</a:t>
          </a:fld>
          <a:endParaRPr lang="en-IN" sz="2800" b="1" kern="1200">
            <a:solidFill>
              <a:srgbClr val="4ABABA"/>
            </a:solidFill>
          </a:endParaRPr>
        </a:p>
      </xdr:txBody>
    </xdr:sp>
    <xdr:clientData/>
  </xdr:twoCellAnchor>
  <xdr:twoCellAnchor>
    <xdr:from>
      <xdr:col>15</xdr:col>
      <xdr:colOff>83820</xdr:colOff>
      <xdr:row>5</xdr:row>
      <xdr:rowOff>167640</xdr:rowOff>
    </xdr:from>
    <xdr:to>
      <xdr:col>16</xdr:col>
      <xdr:colOff>525780</xdr:colOff>
      <xdr:row>5</xdr:row>
      <xdr:rowOff>167640</xdr:rowOff>
    </xdr:to>
    <xdr:cxnSp macro="">
      <xdr:nvCxnSpPr>
        <xdr:cNvPr id="27" name="Straight Connector 26">
          <a:extLst>
            <a:ext uri="{FF2B5EF4-FFF2-40B4-BE49-F238E27FC236}">
              <a16:creationId xmlns:a16="http://schemas.microsoft.com/office/drawing/2014/main" id="{A16E34F9-0AA8-BAE7-AFF3-C8095177E93E}"/>
            </a:ext>
          </a:extLst>
        </xdr:cNvPr>
        <xdr:cNvCxnSpPr/>
      </xdr:nvCxnSpPr>
      <xdr:spPr>
        <a:xfrm flipV="1">
          <a:off x="9227820" y="899160"/>
          <a:ext cx="105156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251460</xdr:colOff>
      <xdr:row>10</xdr:row>
      <xdr:rowOff>129540</xdr:rowOff>
    </xdr:from>
    <xdr:to>
      <xdr:col>20</xdr:col>
      <xdr:colOff>354880</xdr:colOff>
      <xdr:row>19</xdr:row>
      <xdr:rowOff>131974</xdr:rowOff>
    </xdr:to>
    <xdr:graphicFrame macro="">
      <xdr:nvGraphicFramePr>
        <xdr:cNvPr id="31" name="Chart 1">
          <a:extLst>
            <a:ext uri="{FF2B5EF4-FFF2-40B4-BE49-F238E27FC236}">
              <a16:creationId xmlns:a16="http://schemas.microsoft.com/office/drawing/2014/main" id="{15D5909F-FD2B-4FCB-AC13-955F6A4B69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7620</xdr:colOff>
      <xdr:row>10</xdr:row>
      <xdr:rowOff>60960</xdr:rowOff>
    </xdr:from>
    <xdr:to>
      <xdr:col>18</xdr:col>
      <xdr:colOff>190500</xdr:colOff>
      <xdr:row>12</xdr:row>
      <xdr:rowOff>42479</xdr:rowOff>
    </xdr:to>
    <xdr:sp macro="" textlink="">
      <xdr:nvSpPr>
        <xdr:cNvPr id="32" name="TextBox 31">
          <a:extLst>
            <a:ext uri="{FF2B5EF4-FFF2-40B4-BE49-F238E27FC236}">
              <a16:creationId xmlns:a16="http://schemas.microsoft.com/office/drawing/2014/main" id="{B989CF4C-CDD9-4F06-8959-A498B93E378C}"/>
            </a:ext>
          </a:extLst>
        </xdr:cNvPr>
        <xdr:cNvSpPr txBox="1"/>
      </xdr:nvSpPr>
      <xdr:spPr>
        <a:xfrm>
          <a:off x="9151620" y="1706880"/>
          <a:ext cx="2011680" cy="347279"/>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200" b="1" i="0">
              <a:solidFill>
                <a:schemeClr val="dk1"/>
              </a:solidFill>
              <a:effectLst/>
              <a:latin typeface="+mn-lt"/>
              <a:ea typeface="+mn-ea"/>
              <a:cs typeface="+mn-cs"/>
            </a:rPr>
            <a:t>Arrival report</a:t>
          </a:r>
          <a:r>
            <a:rPr lang="en-IN" sz="1200" b="1">
              <a:solidFill>
                <a:schemeClr val="dk1"/>
              </a:solidFill>
              <a:effectLst/>
              <a:latin typeface="+mn-lt"/>
              <a:ea typeface="+mn-ea"/>
              <a:cs typeface="+mn-cs"/>
            </a:rPr>
            <a:t> </a:t>
          </a:r>
          <a:endParaRPr lang="en-IN" sz="1200">
            <a:effectLst/>
          </a:endParaRPr>
        </a:p>
        <a:p>
          <a:endParaRPr lang="en-IN" sz="1100" kern="1200"/>
        </a:p>
      </xdr:txBody>
    </xdr:sp>
    <xdr:clientData/>
  </xdr:twoCellAnchor>
  <xdr:twoCellAnchor>
    <xdr:from>
      <xdr:col>15</xdr:col>
      <xdr:colOff>186690</xdr:colOff>
      <xdr:row>12</xdr:row>
      <xdr:rowOff>60960</xdr:rowOff>
    </xdr:from>
    <xdr:to>
      <xdr:col>16</xdr:col>
      <xdr:colOff>278130</xdr:colOff>
      <xdr:row>15</xdr:row>
      <xdr:rowOff>133212</xdr:rowOff>
    </xdr:to>
    <xdr:sp macro="" textlink="Sheet2!$F$3">
      <xdr:nvSpPr>
        <xdr:cNvPr id="33" name="TextBox 32">
          <a:extLst>
            <a:ext uri="{FF2B5EF4-FFF2-40B4-BE49-F238E27FC236}">
              <a16:creationId xmlns:a16="http://schemas.microsoft.com/office/drawing/2014/main" id="{6CB3432A-6404-4B7F-B931-78692995246B}"/>
            </a:ext>
          </a:extLst>
        </xdr:cNvPr>
        <xdr:cNvSpPr txBox="1"/>
      </xdr:nvSpPr>
      <xdr:spPr>
        <a:xfrm>
          <a:off x="9330690" y="2232660"/>
          <a:ext cx="701040" cy="615177"/>
        </a:xfrm>
        <a:prstGeom prst="rect">
          <a:avLst/>
        </a:prstGeom>
        <a:solidFill>
          <a:srgbClr val="4ABABA"/>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AA2E56C-1BA8-4DEB-A5FF-31764597C8BF}" type="TxLink">
            <a:rPr lang="en-US" sz="2800" b="1" i="0" u="none" strike="noStrike" kern="1200">
              <a:solidFill>
                <a:srgbClr val="3CA6BB"/>
              </a:solidFill>
              <a:latin typeface="Aptos Narrow"/>
            </a:rPr>
            <a:pPr algn="ctr"/>
            <a:t>24</a:t>
          </a:fld>
          <a:endParaRPr lang="en-IN" sz="2800" b="1" kern="1200">
            <a:solidFill>
              <a:srgbClr val="3CA6BB"/>
            </a:solidFill>
          </a:endParaRPr>
        </a:p>
      </xdr:txBody>
    </xdr:sp>
    <xdr:clientData/>
  </xdr:twoCellAnchor>
  <xdr:twoCellAnchor>
    <xdr:from>
      <xdr:col>15</xdr:col>
      <xdr:colOff>464820</xdr:colOff>
      <xdr:row>15</xdr:row>
      <xdr:rowOff>60960</xdr:rowOff>
    </xdr:from>
    <xdr:to>
      <xdr:col>20</xdr:col>
      <xdr:colOff>197095</xdr:colOff>
      <xdr:row>26</xdr:row>
      <xdr:rowOff>52140</xdr:rowOff>
    </xdr:to>
    <xdr:graphicFrame macro="">
      <xdr:nvGraphicFramePr>
        <xdr:cNvPr id="34" name="Chart 8">
          <a:extLst>
            <a:ext uri="{FF2B5EF4-FFF2-40B4-BE49-F238E27FC236}">
              <a16:creationId xmlns:a16="http://schemas.microsoft.com/office/drawing/2014/main" id="{62ED2D2C-35E2-4701-853E-73EC7FC2EF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563880</xdr:colOff>
      <xdr:row>16</xdr:row>
      <xdr:rowOff>22860</xdr:rowOff>
    </xdr:from>
    <xdr:to>
      <xdr:col>18</xdr:col>
      <xdr:colOff>39085</xdr:colOff>
      <xdr:row>17</xdr:row>
      <xdr:rowOff>161513</xdr:rowOff>
    </xdr:to>
    <xdr:sp macro="" textlink="">
      <xdr:nvSpPr>
        <xdr:cNvPr id="35" name="TextBox 34">
          <a:extLst>
            <a:ext uri="{FF2B5EF4-FFF2-40B4-BE49-F238E27FC236}">
              <a16:creationId xmlns:a16="http://schemas.microsoft.com/office/drawing/2014/main" id="{25D106E2-D380-44A4-83A6-3B6627D135CB}"/>
            </a:ext>
          </a:extLst>
        </xdr:cNvPr>
        <xdr:cNvSpPr txBox="1"/>
      </xdr:nvSpPr>
      <xdr:spPr>
        <a:xfrm>
          <a:off x="9098280" y="2766060"/>
          <a:ext cx="1913605" cy="321533"/>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200" b="1" i="0">
              <a:solidFill>
                <a:schemeClr val="dk1"/>
              </a:solidFill>
              <a:effectLst/>
              <a:latin typeface="+mn-lt"/>
              <a:ea typeface="+mn-ea"/>
              <a:cs typeface="+mn-cs"/>
            </a:rPr>
            <a:t>Estimate time of departure</a:t>
          </a:r>
          <a:endParaRPr lang="en-IN" sz="1200">
            <a:effectLst/>
          </a:endParaRPr>
        </a:p>
        <a:p>
          <a:endParaRPr lang="en-IN" sz="1100" kern="1200"/>
        </a:p>
      </xdr:txBody>
    </xdr:sp>
    <xdr:clientData/>
  </xdr:twoCellAnchor>
  <xdr:twoCellAnchor>
    <xdr:from>
      <xdr:col>15</xdr:col>
      <xdr:colOff>165735</xdr:colOff>
      <xdr:row>18</xdr:row>
      <xdr:rowOff>49530</xdr:rowOff>
    </xdr:from>
    <xdr:to>
      <xdr:col>16</xdr:col>
      <xdr:colOff>257175</xdr:colOff>
      <xdr:row>21</xdr:row>
      <xdr:rowOff>75751</xdr:rowOff>
    </xdr:to>
    <xdr:sp macro="" textlink="Sheet2!$F$7">
      <xdr:nvSpPr>
        <xdr:cNvPr id="36" name="TextBox 35">
          <a:extLst>
            <a:ext uri="{FF2B5EF4-FFF2-40B4-BE49-F238E27FC236}">
              <a16:creationId xmlns:a16="http://schemas.microsoft.com/office/drawing/2014/main" id="{05E8B94C-7EDC-4C17-911E-DFADC4628E76}"/>
            </a:ext>
          </a:extLst>
        </xdr:cNvPr>
        <xdr:cNvSpPr txBox="1"/>
      </xdr:nvSpPr>
      <xdr:spPr>
        <a:xfrm>
          <a:off x="9309735" y="3307080"/>
          <a:ext cx="701040" cy="569146"/>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CE328DB-A2E4-4531-9B1E-D28CA89EFBF7}" type="TxLink">
            <a:rPr lang="en-US" sz="2800" b="1" i="0" u="none" strike="noStrike" kern="1200">
              <a:solidFill>
                <a:srgbClr val="4ABABA"/>
              </a:solidFill>
              <a:latin typeface="Aptos Narrow"/>
            </a:rPr>
            <a:pPr algn="ctr"/>
            <a:t>19</a:t>
          </a:fld>
          <a:endParaRPr lang="en-IN" sz="2800" b="1" kern="1200">
            <a:solidFill>
              <a:srgbClr val="4ABABA"/>
            </a:solidFill>
          </a:endParaRPr>
        </a:p>
      </xdr:txBody>
    </xdr:sp>
    <xdr:clientData/>
  </xdr:twoCellAnchor>
  <xdr:twoCellAnchor>
    <xdr:from>
      <xdr:col>15</xdr:col>
      <xdr:colOff>464820</xdr:colOff>
      <xdr:row>18</xdr:row>
      <xdr:rowOff>175260</xdr:rowOff>
    </xdr:from>
    <xdr:to>
      <xdr:col>20</xdr:col>
      <xdr:colOff>160020</xdr:colOff>
      <xdr:row>31</xdr:row>
      <xdr:rowOff>24552</xdr:rowOff>
    </xdr:to>
    <xdr:graphicFrame macro="">
      <xdr:nvGraphicFramePr>
        <xdr:cNvPr id="37" name="Chart 7">
          <a:extLst>
            <a:ext uri="{FF2B5EF4-FFF2-40B4-BE49-F238E27FC236}">
              <a16:creationId xmlns:a16="http://schemas.microsoft.com/office/drawing/2014/main" id="{C0C7A7AE-91E6-4C5D-B0B9-7266372EA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22860</xdr:colOff>
      <xdr:row>22</xdr:row>
      <xdr:rowOff>38100</xdr:rowOff>
    </xdr:from>
    <xdr:to>
      <xdr:col>19</xdr:col>
      <xdr:colOff>185920</xdr:colOff>
      <xdr:row>24</xdr:row>
      <xdr:rowOff>27943</xdr:rowOff>
    </xdr:to>
    <xdr:sp macro="" textlink="">
      <xdr:nvSpPr>
        <xdr:cNvPr id="38" name="TextBox 37">
          <a:extLst>
            <a:ext uri="{FF2B5EF4-FFF2-40B4-BE49-F238E27FC236}">
              <a16:creationId xmlns:a16="http://schemas.microsoft.com/office/drawing/2014/main" id="{147B618E-FB79-4C86-BB07-359457614101}"/>
            </a:ext>
          </a:extLst>
        </xdr:cNvPr>
        <xdr:cNvSpPr txBox="1"/>
      </xdr:nvSpPr>
      <xdr:spPr>
        <a:xfrm>
          <a:off x="9166860" y="3878580"/>
          <a:ext cx="2601460" cy="355603"/>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200" b="1">
              <a:solidFill>
                <a:schemeClr val="tx1"/>
              </a:solidFill>
              <a:effectLst/>
              <a:latin typeface="+mn-lt"/>
              <a:ea typeface="+mn-ea"/>
              <a:cs typeface="+mn-cs"/>
            </a:rPr>
            <a:t>Due diligence </a:t>
          </a:r>
        </a:p>
      </xdr:txBody>
    </xdr:sp>
    <xdr:clientData/>
  </xdr:twoCellAnchor>
  <xdr:twoCellAnchor>
    <xdr:from>
      <xdr:col>15</xdr:col>
      <xdr:colOff>87630</xdr:colOff>
      <xdr:row>23</xdr:row>
      <xdr:rowOff>102870</xdr:rowOff>
    </xdr:from>
    <xdr:to>
      <xdr:col>16</xdr:col>
      <xdr:colOff>384599</xdr:colOff>
      <xdr:row>27</xdr:row>
      <xdr:rowOff>1679</xdr:rowOff>
    </xdr:to>
    <xdr:sp macro="" textlink="Sheet2!F6">
      <xdr:nvSpPr>
        <xdr:cNvPr id="39" name="TextBox 38">
          <a:extLst>
            <a:ext uri="{FF2B5EF4-FFF2-40B4-BE49-F238E27FC236}">
              <a16:creationId xmlns:a16="http://schemas.microsoft.com/office/drawing/2014/main" id="{6E9DCEE4-7844-41A3-BF9F-1D4BA1130A2F}"/>
            </a:ext>
          </a:extLst>
        </xdr:cNvPr>
        <xdr:cNvSpPr txBox="1"/>
      </xdr:nvSpPr>
      <xdr:spPr>
        <a:xfrm>
          <a:off x="9231630" y="4265295"/>
          <a:ext cx="906569" cy="622709"/>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FA24793-B233-4EAA-9535-9EA0E4C4EC79}" type="TxLink">
            <a:rPr lang="en-US" sz="2800" b="1" i="0" u="none" strike="noStrike" kern="1200">
              <a:solidFill>
                <a:srgbClr val="4ABABA"/>
              </a:solidFill>
              <a:latin typeface="Aptos Narrow"/>
            </a:rPr>
            <a:pPr algn="ctr"/>
            <a:t>78</a:t>
          </a:fld>
          <a:endParaRPr lang="en-IN" sz="2800" b="1" kern="1200">
            <a:solidFill>
              <a:srgbClr val="4ABABA"/>
            </a:solidFill>
          </a:endParaRPr>
        </a:p>
      </xdr:txBody>
    </xdr:sp>
    <xdr:clientData/>
  </xdr:twoCellAnchor>
  <xdr:twoCellAnchor>
    <xdr:from>
      <xdr:col>15</xdr:col>
      <xdr:colOff>38100</xdr:colOff>
      <xdr:row>17</xdr:row>
      <xdr:rowOff>91440</xdr:rowOff>
    </xdr:from>
    <xdr:to>
      <xdr:col>17</xdr:col>
      <xdr:colOff>480060</xdr:colOff>
      <xdr:row>17</xdr:row>
      <xdr:rowOff>91440</xdr:rowOff>
    </xdr:to>
    <xdr:cxnSp macro="">
      <xdr:nvCxnSpPr>
        <xdr:cNvPr id="40" name="Straight Connector 39">
          <a:extLst>
            <a:ext uri="{FF2B5EF4-FFF2-40B4-BE49-F238E27FC236}">
              <a16:creationId xmlns:a16="http://schemas.microsoft.com/office/drawing/2014/main" id="{0569BD72-88F4-4A81-9081-ECBE19372A28}"/>
            </a:ext>
          </a:extLst>
        </xdr:cNvPr>
        <xdr:cNvCxnSpPr/>
      </xdr:nvCxnSpPr>
      <xdr:spPr>
        <a:xfrm flipV="1">
          <a:off x="9182100" y="3017520"/>
          <a:ext cx="166116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68580</xdr:colOff>
      <xdr:row>11</xdr:row>
      <xdr:rowOff>99060</xdr:rowOff>
    </xdr:from>
    <xdr:to>
      <xdr:col>16</xdr:col>
      <xdr:colOff>335280</xdr:colOff>
      <xdr:row>11</xdr:row>
      <xdr:rowOff>99060</xdr:rowOff>
    </xdr:to>
    <xdr:cxnSp macro="">
      <xdr:nvCxnSpPr>
        <xdr:cNvPr id="46" name="Straight Connector 45">
          <a:extLst>
            <a:ext uri="{FF2B5EF4-FFF2-40B4-BE49-F238E27FC236}">
              <a16:creationId xmlns:a16="http://schemas.microsoft.com/office/drawing/2014/main" id="{68A3736C-DAEB-4BEB-A436-DE0FFC97A63B}"/>
            </a:ext>
          </a:extLst>
        </xdr:cNvPr>
        <xdr:cNvCxnSpPr/>
      </xdr:nvCxnSpPr>
      <xdr:spPr>
        <a:xfrm>
          <a:off x="9212580" y="1927860"/>
          <a:ext cx="87630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441960</xdr:colOff>
      <xdr:row>21</xdr:row>
      <xdr:rowOff>106680</xdr:rowOff>
    </xdr:from>
    <xdr:to>
      <xdr:col>14</xdr:col>
      <xdr:colOff>487680</xdr:colOff>
      <xdr:row>31</xdr:row>
      <xdr:rowOff>43391</xdr:rowOff>
    </xdr:to>
    <xdr:graphicFrame macro="">
      <xdr:nvGraphicFramePr>
        <xdr:cNvPr id="50" name="Chart 9">
          <a:extLst>
            <a:ext uri="{FF2B5EF4-FFF2-40B4-BE49-F238E27FC236}">
              <a16:creationId xmlns:a16="http://schemas.microsoft.com/office/drawing/2014/main" id="{C4C58557-B331-4540-9D9D-CCF51EF051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419100</xdr:colOff>
      <xdr:row>22</xdr:row>
      <xdr:rowOff>83820</xdr:rowOff>
    </xdr:from>
    <xdr:to>
      <xdr:col>13</xdr:col>
      <xdr:colOff>601980</xdr:colOff>
      <xdr:row>24</xdr:row>
      <xdr:rowOff>58693</xdr:rowOff>
    </xdr:to>
    <xdr:sp macro="" textlink="">
      <xdr:nvSpPr>
        <xdr:cNvPr id="51" name="TextBox 50">
          <a:extLst>
            <a:ext uri="{FF2B5EF4-FFF2-40B4-BE49-F238E27FC236}">
              <a16:creationId xmlns:a16="http://schemas.microsoft.com/office/drawing/2014/main" id="{E90776F1-ED4B-4D2C-9F3D-6DB84856584B}"/>
            </a:ext>
          </a:extLst>
        </xdr:cNvPr>
        <xdr:cNvSpPr txBox="1"/>
      </xdr:nvSpPr>
      <xdr:spPr>
        <a:xfrm>
          <a:off x="6515100" y="3924300"/>
          <a:ext cx="2011680" cy="340633"/>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i="0">
              <a:solidFill>
                <a:schemeClr val="dk1"/>
              </a:solidFill>
              <a:effectLst/>
              <a:latin typeface="+mn-lt"/>
              <a:ea typeface="+mn-ea"/>
              <a:cs typeface="+mn-cs"/>
            </a:rPr>
            <a:t>Terminal departure report</a:t>
          </a:r>
          <a:endParaRPr lang="en-IN">
            <a:effectLst/>
          </a:endParaRPr>
        </a:p>
        <a:p>
          <a:endParaRPr lang="en-IN" sz="1100" kern="1200"/>
        </a:p>
      </xdr:txBody>
    </xdr:sp>
    <xdr:clientData/>
  </xdr:twoCellAnchor>
  <xdr:twoCellAnchor>
    <xdr:from>
      <xdr:col>10</xdr:col>
      <xdr:colOff>603885</xdr:colOff>
      <xdr:row>24</xdr:row>
      <xdr:rowOff>53340</xdr:rowOff>
    </xdr:from>
    <xdr:to>
      <xdr:col>12</xdr:col>
      <xdr:colOff>85725</xdr:colOff>
      <xdr:row>27</xdr:row>
      <xdr:rowOff>113710</xdr:rowOff>
    </xdr:to>
    <xdr:sp macro="" textlink="Sheet2!$F$8">
      <xdr:nvSpPr>
        <xdr:cNvPr id="52" name="TextBox 51">
          <a:extLst>
            <a:ext uri="{FF2B5EF4-FFF2-40B4-BE49-F238E27FC236}">
              <a16:creationId xmlns:a16="http://schemas.microsoft.com/office/drawing/2014/main" id="{88C0D819-BCE9-4620-B699-EA4982E9CE80}"/>
            </a:ext>
          </a:extLst>
        </xdr:cNvPr>
        <xdr:cNvSpPr txBox="1"/>
      </xdr:nvSpPr>
      <xdr:spPr>
        <a:xfrm>
          <a:off x="6699885" y="4396740"/>
          <a:ext cx="701040" cy="603295"/>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0CB38E-D53A-49E8-9F73-1363D25648FC}" type="TxLink">
            <a:rPr lang="en-US" sz="2800" b="1" i="0" u="none" strike="noStrike" kern="1200">
              <a:solidFill>
                <a:srgbClr val="4ABABA"/>
              </a:solidFill>
              <a:latin typeface="Aptos Narrow"/>
            </a:rPr>
            <a:pPr algn="ctr"/>
            <a:t>54</a:t>
          </a:fld>
          <a:endParaRPr lang="en-IN" sz="2800" b="1" kern="1200">
            <a:solidFill>
              <a:srgbClr val="4ABABA"/>
            </a:solidFill>
          </a:endParaRPr>
        </a:p>
      </xdr:txBody>
    </xdr:sp>
    <xdr:clientData/>
  </xdr:twoCellAnchor>
  <xdr:twoCellAnchor>
    <xdr:from>
      <xdr:col>11</xdr:col>
      <xdr:colOff>312420</xdr:colOff>
      <xdr:row>16</xdr:row>
      <xdr:rowOff>167640</xdr:rowOff>
    </xdr:from>
    <xdr:to>
      <xdr:col>15</xdr:col>
      <xdr:colOff>320887</xdr:colOff>
      <xdr:row>25</xdr:row>
      <xdr:rowOff>79844</xdr:rowOff>
    </xdr:to>
    <xdr:graphicFrame macro="">
      <xdr:nvGraphicFramePr>
        <xdr:cNvPr id="58" name="Chart 2">
          <a:extLst>
            <a:ext uri="{FF2B5EF4-FFF2-40B4-BE49-F238E27FC236}">
              <a16:creationId xmlns:a16="http://schemas.microsoft.com/office/drawing/2014/main" id="{56CC12D0-5197-4DA1-A613-6638853A4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434340</xdr:colOff>
      <xdr:row>16</xdr:row>
      <xdr:rowOff>83820</xdr:rowOff>
    </xdr:from>
    <xdr:to>
      <xdr:col>14</xdr:col>
      <xdr:colOff>7620</xdr:colOff>
      <xdr:row>17</xdr:row>
      <xdr:rowOff>155787</xdr:rowOff>
    </xdr:to>
    <xdr:sp macro="" textlink="">
      <xdr:nvSpPr>
        <xdr:cNvPr id="59" name="TextBox 58">
          <a:extLst>
            <a:ext uri="{FF2B5EF4-FFF2-40B4-BE49-F238E27FC236}">
              <a16:creationId xmlns:a16="http://schemas.microsoft.com/office/drawing/2014/main" id="{8C6FCB69-DA27-4416-8660-0051F3E0EA0F}"/>
            </a:ext>
          </a:extLst>
        </xdr:cNvPr>
        <xdr:cNvSpPr txBox="1"/>
      </xdr:nvSpPr>
      <xdr:spPr>
        <a:xfrm>
          <a:off x="6530340" y="2827020"/>
          <a:ext cx="2011680" cy="254847"/>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tx1"/>
              </a:solidFill>
              <a:effectLst/>
              <a:latin typeface="+mn-lt"/>
              <a:ea typeface="+mn-ea"/>
              <a:cs typeface="+mn-cs"/>
            </a:rPr>
            <a:t>ATA &amp; ATD updates </a:t>
          </a:r>
          <a:endParaRPr lang="en-IN" b="1">
            <a:solidFill>
              <a:schemeClr val="tx1"/>
            </a:solidFill>
            <a:effectLst/>
          </a:endParaRPr>
        </a:p>
        <a:p>
          <a:endParaRPr lang="en-IN" sz="1100" kern="1200"/>
        </a:p>
      </xdr:txBody>
    </xdr:sp>
    <xdr:clientData/>
  </xdr:twoCellAnchor>
  <xdr:twoCellAnchor>
    <xdr:from>
      <xdr:col>10</xdr:col>
      <xdr:colOff>588645</xdr:colOff>
      <xdr:row>18</xdr:row>
      <xdr:rowOff>121920</xdr:rowOff>
    </xdr:from>
    <xdr:to>
      <xdr:col>12</xdr:col>
      <xdr:colOff>70485</xdr:colOff>
      <xdr:row>21</xdr:row>
      <xdr:rowOff>33020</xdr:rowOff>
    </xdr:to>
    <xdr:sp macro="" textlink="Sheet2!F4">
      <xdr:nvSpPr>
        <xdr:cNvPr id="60" name="TextBox 59">
          <a:extLst>
            <a:ext uri="{FF2B5EF4-FFF2-40B4-BE49-F238E27FC236}">
              <a16:creationId xmlns:a16="http://schemas.microsoft.com/office/drawing/2014/main" id="{ECED125A-7B8A-4ACC-A9D8-6F84754BCB1E}"/>
            </a:ext>
          </a:extLst>
        </xdr:cNvPr>
        <xdr:cNvSpPr txBox="1"/>
      </xdr:nvSpPr>
      <xdr:spPr>
        <a:xfrm>
          <a:off x="6684645" y="3379470"/>
          <a:ext cx="701040" cy="454025"/>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E7A9DFD-ACFE-40B9-8BF2-AF3674DF7DBC}" type="TxLink">
            <a:rPr lang="en-US" sz="2800" b="1" i="0" u="none" strike="noStrike" kern="1200">
              <a:solidFill>
                <a:srgbClr val="4ABABA"/>
              </a:solidFill>
              <a:latin typeface="Aptos Narrow"/>
            </a:rPr>
            <a:pPr algn="ctr"/>
            <a:t>47</a:t>
          </a:fld>
          <a:endParaRPr lang="en-IN" sz="2800" b="1" kern="1200">
            <a:solidFill>
              <a:srgbClr val="4ABABA"/>
            </a:solidFill>
          </a:endParaRPr>
        </a:p>
      </xdr:txBody>
    </xdr:sp>
    <xdr:clientData/>
  </xdr:twoCellAnchor>
  <xdr:twoCellAnchor>
    <xdr:from>
      <xdr:col>11</xdr:col>
      <xdr:colOff>594360</xdr:colOff>
      <xdr:row>10</xdr:row>
      <xdr:rowOff>68580</xdr:rowOff>
    </xdr:from>
    <xdr:to>
      <xdr:col>15</xdr:col>
      <xdr:colOff>218816</xdr:colOff>
      <xdr:row>18</xdr:row>
      <xdr:rowOff>174320</xdr:rowOff>
    </xdr:to>
    <xdr:graphicFrame macro="">
      <xdr:nvGraphicFramePr>
        <xdr:cNvPr id="61" name="Chart 12">
          <a:extLst>
            <a:ext uri="{FF2B5EF4-FFF2-40B4-BE49-F238E27FC236}">
              <a16:creationId xmlns:a16="http://schemas.microsoft.com/office/drawing/2014/main" id="{D1B25FAE-9ED6-48AF-9525-B51A035B9F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403860</xdr:colOff>
      <xdr:row>10</xdr:row>
      <xdr:rowOff>99060</xdr:rowOff>
    </xdr:from>
    <xdr:to>
      <xdr:col>13</xdr:col>
      <xdr:colOff>561340</xdr:colOff>
      <xdr:row>12</xdr:row>
      <xdr:rowOff>31043</xdr:rowOff>
    </xdr:to>
    <xdr:sp macro="" textlink="">
      <xdr:nvSpPr>
        <xdr:cNvPr id="62" name="TextBox 61">
          <a:extLst>
            <a:ext uri="{FF2B5EF4-FFF2-40B4-BE49-F238E27FC236}">
              <a16:creationId xmlns:a16="http://schemas.microsoft.com/office/drawing/2014/main" id="{F9FFE7DD-1A56-457C-8829-2C2B4A31094E}"/>
            </a:ext>
          </a:extLst>
        </xdr:cNvPr>
        <xdr:cNvSpPr txBox="1"/>
      </xdr:nvSpPr>
      <xdr:spPr>
        <a:xfrm>
          <a:off x="6499860" y="1562100"/>
          <a:ext cx="1986280" cy="297743"/>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i="0">
              <a:solidFill>
                <a:schemeClr val="dk1"/>
              </a:solidFill>
              <a:effectLst/>
              <a:latin typeface="+mn-lt"/>
              <a:ea typeface="+mn-ea"/>
              <a:cs typeface="+mn-cs"/>
            </a:rPr>
            <a:t>Weekly destuffing report</a:t>
          </a:r>
          <a:endParaRPr lang="en-IN">
            <a:effectLst/>
          </a:endParaRPr>
        </a:p>
        <a:p>
          <a:endParaRPr lang="en-IN" sz="1100" kern="1200"/>
        </a:p>
      </xdr:txBody>
    </xdr:sp>
    <xdr:clientData/>
  </xdr:twoCellAnchor>
  <xdr:twoCellAnchor>
    <xdr:from>
      <xdr:col>10</xdr:col>
      <xdr:colOff>596265</xdr:colOff>
      <xdr:row>12</xdr:row>
      <xdr:rowOff>91440</xdr:rowOff>
    </xdr:from>
    <xdr:to>
      <xdr:col>12</xdr:col>
      <xdr:colOff>69253</xdr:colOff>
      <xdr:row>15</xdr:row>
      <xdr:rowOff>75128</xdr:rowOff>
    </xdr:to>
    <xdr:sp macro="" textlink="Sheet2!$F$10">
      <xdr:nvSpPr>
        <xdr:cNvPr id="63" name="TextBox 62">
          <a:extLst>
            <a:ext uri="{FF2B5EF4-FFF2-40B4-BE49-F238E27FC236}">
              <a16:creationId xmlns:a16="http://schemas.microsoft.com/office/drawing/2014/main" id="{7690A04F-D60F-49A0-A05E-BA89B3E3AAA8}"/>
            </a:ext>
          </a:extLst>
        </xdr:cNvPr>
        <xdr:cNvSpPr txBox="1"/>
      </xdr:nvSpPr>
      <xdr:spPr>
        <a:xfrm>
          <a:off x="6692265" y="2263140"/>
          <a:ext cx="692188" cy="526613"/>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168999B-E1DA-4C36-BFC1-CB0932486FFD}" type="TxLink">
            <a:rPr lang="en-US" sz="2800" b="1" i="0" u="none" strike="noStrike" kern="1200">
              <a:solidFill>
                <a:srgbClr val="4ABABA"/>
              </a:solidFill>
              <a:latin typeface="Aptos Narrow"/>
            </a:rPr>
            <a:pPr algn="ctr"/>
            <a:t>79</a:t>
          </a:fld>
          <a:endParaRPr lang="en-IN" sz="2800" b="1" kern="1200">
            <a:solidFill>
              <a:srgbClr val="4ABABA"/>
            </a:solidFill>
          </a:endParaRPr>
        </a:p>
      </xdr:txBody>
    </xdr:sp>
    <xdr:clientData/>
  </xdr:twoCellAnchor>
  <xdr:twoCellAnchor>
    <xdr:from>
      <xdr:col>11</xdr:col>
      <xdr:colOff>137160</xdr:colOff>
      <xdr:row>4</xdr:row>
      <xdr:rowOff>60960</xdr:rowOff>
    </xdr:from>
    <xdr:to>
      <xdr:col>15</xdr:col>
      <xdr:colOff>417500</xdr:colOff>
      <xdr:row>14</xdr:row>
      <xdr:rowOff>108280</xdr:rowOff>
    </xdr:to>
    <xdr:graphicFrame macro="">
      <xdr:nvGraphicFramePr>
        <xdr:cNvPr id="64" name="Chart 3">
          <a:extLst>
            <a:ext uri="{FF2B5EF4-FFF2-40B4-BE49-F238E27FC236}">
              <a16:creationId xmlns:a16="http://schemas.microsoft.com/office/drawing/2014/main" id="{1C05D6EF-F22C-4DA1-968B-162203F2C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0</xdr:colOff>
      <xdr:row>7</xdr:row>
      <xdr:rowOff>45720</xdr:rowOff>
    </xdr:from>
    <xdr:to>
      <xdr:col>12</xdr:col>
      <xdr:colOff>91440</xdr:colOff>
      <xdr:row>9</xdr:row>
      <xdr:rowOff>139700</xdr:rowOff>
    </xdr:to>
    <xdr:sp macro="" textlink="Sheet2!F5">
      <xdr:nvSpPr>
        <xdr:cNvPr id="65" name="TextBox 64">
          <a:extLst>
            <a:ext uri="{FF2B5EF4-FFF2-40B4-BE49-F238E27FC236}">
              <a16:creationId xmlns:a16="http://schemas.microsoft.com/office/drawing/2014/main" id="{8F181E20-1F90-40A0-9F97-860F4D322F90}"/>
            </a:ext>
          </a:extLst>
        </xdr:cNvPr>
        <xdr:cNvSpPr txBox="1"/>
      </xdr:nvSpPr>
      <xdr:spPr>
        <a:xfrm>
          <a:off x="6705600" y="1312545"/>
          <a:ext cx="701040" cy="455930"/>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592BBD-0D6C-4032-B991-53FA496F2265}" type="TxLink">
            <a:rPr lang="en-US" sz="2800" b="1" i="0" u="none" strike="noStrike" kern="1200">
              <a:solidFill>
                <a:srgbClr val="4ABABA"/>
              </a:solidFill>
              <a:latin typeface="Aptos Narrow"/>
            </a:rPr>
            <a:pPr algn="ctr"/>
            <a:t>59</a:t>
          </a:fld>
          <a:endParaRPr lang="en-IN" sz="2800" b="1" kern="1200">
            <a:solidFill>
              <a:srgbClr val="4ABABA"/>
            </a:solidFill>
          </a:endParaRPr>
        </a:p>
      </xdr:txBody>
    </xdr:sp>
    <xdr:clientData/>
  </xdr:twoCellAnchor>
  <xdr:twoCellAnchor>
    <xdr:from>
      <xdr:col>10</xdr:col>
      <xdr:colOff>419100</xdr:colOff>
      <xdr:row>4</xdr:row>
      <xdr:rowOff>91440</xdr:rowOff>
    </xdr:from>
    <xdr:to>
      <xdr:col>13</xdr:col>
      <xdr:colOff>591820</xdr:colOff>
      <xdr:row>5</xdr:row>
      <xdr:rowOff>163406</xdr:rowOff>
    </xdr:to>
    <xdr:sp macro="" textlink="">
      <xdr:nvSpPr>
        <xdr:cNvPr id="66" name="TextBox 65">
          <a:extLst>
            <a:ext uri="{FF2B5EF4-FFF2-40B4-BE49-F238E27FC236}">
              <a16:creationId xmlns:a16="http://schemas.microsoft.com/office/drawing/2014/main" id="{ACE47CF0-A79D-43C3-9953-A21A67B8C9EB}"/>
            </a:ext>
          </a:extLst>
        </xdr:cNvPr>
        <xdr:cNvSpPr txBox="1"/>
      </xdr:nvSpPr>
      <xdr:spPr>
        <a:xfrm>
          <a:off x="6515100" y="457200"/>
          <a:ext cx="2001520" cy="254846"/>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dk1"/>
              </a:solidFill>
              <a:effectLst/>
              <a:latin typeface="+mn-lt"/>
              <a:ea typeface="+mn-ea"/>
              <a:cs typeface="+mn-cs"/>
            </a:rPr>
            <a:t>Detention &amp; Demurrage </a:t>
          </a:r>
          <a:endParaRPr lang="en-IN">
            <a:effectLst/>
          </a:endParaRPr>
        </a:p>
        <a:p>
          <a:endParaRPr lang="en-IN" sz="1100" kern="1200"/>
        </a:p>
      </xdr:txBody>
    </xdr:sp>
    <xdr:clientData/>
  </xdr:twoCellAnchor>
  <xdr:twoCellAnchor>
    <xdr:from>
      <xdr:col>0</xdr:col>
      <xdr:colOff>91439</xdr:colOff>
      <xdr:row>18</xdr:row>
      <xdr:rowOff>45720</xdr:rowOff>
    </xdr:from>
    <xdr:to>
      <xdr:col>10</xdr:col>
      <xdr:colOff>257174</xdr:colOff>
      <xdr:row>27</xdr:row>
      <xdr:rowOff>143934</xdr:rowOff>
    </xdr:to>
    <xdr:graphicFrame macro="">
      <xdr:nvGraphicFramePr>
        <xdr:cNvPr id="67" name="Chart 4">
          <a:extLst>
            <a:ext uri="{FF2B5EF4-FFF2-40B4-BE49-F238E27FC236}">
              <a16:creationId xmlns:a16="http://schemas.microsoft.com/office/drawing/2014/main" id="{7ECA205C-41D0-4E11-B9FE-37A9CF700E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16</xdr:col>
      <xdr:colOff>553720</xdr:colOff>
      <xdr:row>1</xdr:row>
      <xdr:rowOff>8467</xdr:rowOff>
    </xdr:from>
    <xdr:to>
      <xdr:col>19</xdr:col>
      <xdr:colOff>119380</xdr:colOff>
      <xdr:row>4</xdr:row>
      <xdr:rowOff>92287</xdr:rowOff>
    </xdr:to>
    <mc:AlternateContent xmlns:mc="http://schemas.openxmlformats.org/markup-compatibility/2006" xmlns:a14="http://schemas.microsoft.com/office/drawing/2010/main">
      <mc:Choice Requires="a14">
        <xdr:graphicFrame macro="">
          <xdr:nvGraphicFramePr>
            <xdr:cNvPr id="68" name="Months 1">
              <a:extLst>
                <a:ext uri="{FF2B5EF4-FFF2-40B4-BE49-F238E27FC236}">
                  <a16:creationId xmlns:a16="http://schemas.microsoft.com/office/drawing/2014/main" id="{D5C80D77-BE7B-49E4-835E-7E7D0E72EAB3}"/>
                </a:ext>
              </a:extLst>
            </xdr:cNvPr>
            <xdr:cNvGraphicFramePr/>
          </xdr:nvGraphicFramePr>
          <xdr:xfrm>
            <a:off x="0" y="0"/>
            <a:ext cx="0" cy="0"/>
          </xdr:xfrm>
          <a:graphic>
            <a:graphicData uri="http://schemas.microsoft.com/office/drawing/2010/slicer">
              <sle:slicer xmlns:sle="http://schemas.microsoft.com/office/drawing/2010/slicer" name="Months 1"/>
            </a:graphicData>
          </a:graphic>
        </xdr:graphicFrame>
      </mc:Choice>
      <mc:Fallback xmlns="">
        <xdr:sp macro="" textlink="">
          <xdr:nvSpPr>
            <xdr:cNvPr id="0" name=""/>
            <xdr:cNvSpPr>
              <a:spLocks noTextEdit="1"/>
            </xdr:cNvSpPr>
          </xdr:nvSpPr>
          <xdr:spPr>
            <a:xfrm>
              <a:off x="10307320" y="189442"/>
              <a:ext cx="1394460" cy="626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313267</xdr:colOff>
      <xdr:row>1</xdr:row>
      <xdr:rowOff>0</xdr:rowOff>
    </xdr:from>
    <xdr:to>
      <xdr:col>16</xdr:col>
      <xdr:colOff>502075</xdr:colOff>
      <xdr:row>4</xdr:row>
      <xdr:rowOff>83820</xdr:rowOff>
    </xdr:to>
    <mc:AlternateContent xmlns:mc="http://schemas.openxmlformats.org/markup-compatibility/2006" xmlns:a14="http://schemas.microsoft.com/office/drawing/2010/main">
      <mc:Choice Requires="a14">
        <xdr:graphicFrame macro="">
          <xdr:nvGraphicFramePr>
            <xdr:cNvPr id="69" name="User name 3">
              <a:extLst>
                <a:ext uri="{FF2B5EF4-FFF2-40B4-BE49-F238E27FC236}">
                  <a16:creationId xmlns:a16="http://schemas.microsoft.com/office/drawing/2014/main" id="{318F8D93-29F1-49FA-957B-51B9623AC574}"/>
                </a:ext>
              </a:extLst>
            </xdr:cNvPr>
            <xdr:cNvGraphicFramePr/>
          </xdr:nvGraphicFramePr>
          <xdr:xfrm>
            <a:off x="0" y="0"/>
            <a:ext cx="0" cy="0"/>
          </xdr:xfrm>
          <a:graphic>
            <a:graphicData uri="http://schemas.microsoft.com/office/drawing/2010/slicer">
              <sle:slicer xmlns:sle="http://schemas.microsoft.com/office/drawing/2010/slicer" name="User name 3"/>
            </a:graphicData>
          </a:graphic>
        </xdr:graphicFrame>
      </mc:Choice>
      <mc:Fallback xmlns="">
        <xdr:sp macro="" textlink="">
          <xdr:nvSpPr>
            <xdr:cNvPr id="0" name=""/>
            <xdr:cNvSpPr>
              <a:spLocks noTextEdit="1"/>
            </xdr:cNvSpPr>
          </xdr:nvSpPr>
          <xdr:spPr>
            <a:xfrm>
              <a:off x="8238067" y="180975"/>
              <a:ext cx="2017608" cy="6267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83820</xdr:colOff>
      <xdr:row>23</xdr:row>
      <xdr:rowOff>114300</xdr:rowOff>
    </xdr:from>
    <xdr:to>
      <xdr:col>16</xdr:col>
      <xdr:colOff>525780</xdr:colOff>
      <xdr:row>23</xdr:row>
      <xdr:rowOff>114300</xdr:rowOff>
    </xdr:to>
    <xdr:cxnSp macro="">
      <xdr:nvCxnSpPr>
        <xdr:cNvPr id="70" name="Straight Connector 69">
          <a:extLst>
            <a:ext uri="{FF2B5EF4-FFF2-40B4-BE49-F238E27FC236}">
              <a16:creationId xmlns:a16="http://schemas.microsoft.com/office/drawing/2014/main" id="{DE1CE1FE-91D3-49FC-9F46-7EC5B6ECDCA8}"/>
            </a:ext>
          </a:extLst>
        </xdr:cNvPr>
        <xdr:cNvCxnSpPr/>
      </xdr:nvCxnSpPr>
      <xdr:spPr>
        <a:xfrm flipV="1">
          <a:off x="9227820" y="4137660"/>
          <a:ext cx="105156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518160</xdr:colOff>
      <xdr:row>23</xdr:row>
      <xdr:rowOff>121920</xdr:rowOff>
    </xdr:from>
    <xdr:to>
      <xdr:col>13</xdr:col>
      <xdr:colOff>274320</xdr:colOff>
      <xdr:row>23</xdr:row>
      <xdr:rowOff>121920</xdr:rowOff>
    </xdr:to>
    <xdr:cxnSp macro="">
      <xdr:nvCxnSpPr>
        <xdr:cNvPr id="71" name="Straight Connector 70">
          <a:extLst>
            <a:ext uri="{FF2B5EF4-FFF2-40B4-BE49-F238E27FC236}">
              <a16:creationId xmlns:a16="http://schemas.microsoft.com/office/drawing/2014/main" id="{E5C8EF55-8B52-433C-85FD-27361762004F}"/>
            </a:ext>
          </a:extLst>
        </xdr:cNvPr>
        <xdr:cNvCxnSpPr/>
      </xdr:nvCxnSpPr>
      <xdr:spPr>
        <a:xfrm flipV="1">
          <a:off x="6614160" y="4145280"/>
          <a:ext cx="158496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480060</xdr:colOff>
      <xdr:row>17</xdr:row>
      <xdr:rowOff>137160</xdr:rowOff>
    </xdr:from>
    <xdr:to>
      <xdr:col>12</xdr:col>
      <xdr:colOff>312420</xdr:colOff>
      <xdr:row>17</xdr:row>
      <xdr:rowOff>137160</xdr:rowOff>
    </xdr:to>
    <xdr:cxnSp macro="">
      <xdr:nvCxnSpPr>
        <xdr:cNvPr id="73" name="Straight Connector 72">
          <a:extLst>
            <a:ext uri="{FF2B5EF4-FFF2-40B4-BE49-F238E27FC236}">
              <a16:creationId xmlns:a16="http://schemas.microsoft.com/office/drawing/2014/main" id="{190FEA78-04C9-4160-9AD1-43BBA9551B1A}"/>
            </a:ext>
          </a:extLst>
        </xdr:cNvPr>
        <xdr:cNvCxnSpPr/>
      </xdr:nvCxnSpPr>
      <xdr:spPr>
        <a:xfrm flipV="1">
          <a:off x="6576060" y="3063240"/>
          <a:ext cx="105156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480060</xdr:colOff>
      <xdr:row>11</xdr:row>
      <xdr:rowOff>129540</xdr:rowOff>
    </xdr:from>
    <xdr:to>
      <xdr:col>13</xdr:col>
      <xdr:colOff>182880</xdr:colOff>
      <xdr:row>11</xdr:row>
      <xdr:rowOff>129540</xdr:rowOff>
    </xdr:to>
    <xdr:cxnSp macro="">
      <xdr:nvCxnSpPr>
        <xdr:cNvPr id="74" name="Straight Connector 73">
          <a:extLst>
            <a:ext uri="{FF2B5EF4-FFF2-40B4-BE49-F238E27FC236}">
              <a16:creationId xmlns:a16="http://schemas.microsoft.com/office/drawing/2014/main" id="{DEEBF4F0-A1CC-43CB-88E0-77A743DF81BD}"/>
            </a:ext>
          </a:extLst>
        </xdr:cNvPr>
        <xdr:cNvCxnSpPr/>
      </xdr:nvCxnSpPr>
      <xdr:spPr>
        <a:xfrm flipV="1">
          <a:off x="6576060" y="1958340"/>
          <a:ext cx="1531620"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525780</xdr:colOff>
      <xdr:row>5</xdr:row>
      <xdr:rowOff>129540</xdr:rowOff>
    </xdr:from>
    <xdr:to>
      <xdr:col>13</xdr:col>
      <xdr:colOff>83820</xdr:colOff>
      <xdr:row>5</xdr:row>
      <xdr:rowOff>137160</xdr:rowOff>
    </xdr:to>
    <xdr:cxnSp macro="">
      <xdr:nvCxnSpPr>
        <xdr:cNvPr id="78" name="Straight Connector 77">
          <a:extLst>
            <a:ext uri="{FF2B5EF4-FFF2-40B4-BE49-F238E27FC236}">
              <a16:creationId xmlns:a16="http://schemas.microsoft.com/office/drawing/2014/main" id="{1F34D8C2-176E-439B-A46E-13F7B9A73393}"/>
            </a:ext>
          </a:extLst>
        </xdr:cNvPr>
        <xdr:cNvCxnSpPr/>
      </xdr:nvCxnSpPr>
      <xdr:spPr>
        <a:xfrm flipV="1">
          <a:off x="6621780" y="861060"/>
          <a:ext cx="1386840" cy="762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447887</xdr:colOff>
      <xdr:row>6</xdr:row>
      <xdr:rowOff>143933</xdr:rowOff>
    </xdr:from>
    <xdr:to>
      <xdr:col>11</xdr:col>
      <xdr:colOff>28787</xdr:colOff>
      <xdr:row>17</xdr:row>
      <xdr:rowOff>3386</xdr:rowOff>
    </xdr:to>
    <mc:AlternateContent xmlns:mc="http://schemas.openxmlformats.org/markup-compatibility/2006">
      <mc:Choice xmlns:cx1="http://schemas.microsoft.com/office/drawing/2015/9/8/chartex" Requires="cx1">
        <xdr:graphicFrame macro="">
          <xdr:nvGraphicFramePr>
            <xdr:cNvPr id="18" name="Chart 2">
              <a:extLst>
                <a:ext uri="{FF2B5EF4-FFF2-40B4-BE49-F238E27FC236}">
                  <a16:creationId xmlns:a16="http://schemas.microsoft.com/office/drawing/2014/main" id="{CAF39609-97DB-8E2E-354C-19726ECBB9B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3495887" y="1241213"/>
              <a:ext cx="3238500" cy="18711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60960</xdr:colOff>
      <xdr:row>8</xdr:row>
      <xdr:rowOff>60960</xdr:rowOff>
    </xdr:from>
    <xdr:to>
      <xdr:col>4</xdr:col>
      <xdr:colOff>11008</xdr:colOff>
      <xdr:row>15</xdr:row>
      <xdr:rowOff>112128</xdr:rowOff>
    </xdr:to>
    <xdr:graphicFrame macro="">
      <xdr:nvGraphicFramePr>
        <xdr:cNvPr id="82" name="Chart 7">
          <a:extLst>
            <a:ext uri="{FF2B5EF4-FFF2-40B4-BE49-F238E27FC236}">
              <a16:creationId xmlns:a16="http://schemas.microsoft.com/office/drawing/2014/main" id="{713829C8-2890-420B-8FA0-882D5519D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205740</xdr:colOff>
      <xdr:row>4</xdr:row>
      <xdr:rowOff>81915</xdr:rowOff>
    </xdr:from>
    <xdr:to>
      <xdr:col>9</xdr:col>
      <xdr:colOff>57574</xdr:colOff>
      <xdr:row>7</xdr:row>
      <xdr:rowOff>6773</xdr:rowOff>
    </xdr:to>
    <xdr:sp macro="" textlink="">
      <xdr:nvSpPr>
        <xdr:cNvPr id="84" name="TextBox 83">
          <a:extLst>
            <a:ext uri="{FF2B5EF4-FFF2-40B4-BE49-F238E27FC236}">
              <a16:creationId xmlns:a16="http://schemas.microsoft.com/office/drawing/2014/main" id="{7E54DF79-A2BF-48D7-A532-617441876E36}"/>
            </a:ext>
          </a:extLst>
        </xdr:cNvPr>
        <xdr:cNvSpPr txBox="1"/>
      </xdr:nvSpPr>
      <xdr:spPr>
        <a:xfrm>
          <a:off x="3253740" y="805815"/>
          <a:ext cx="2290234" cy="467783"/>
        </a:xfrm>
        <a:prstGeom prst="rect">
          <a:avLst/>
        </a:prstGeom>
        <a:solidFill>
          <a:schemeClr val="bg1">
            <a:lumMod val="95000"/>
          </a:schemeClr>
        </a:solidFill>
        <a:ln w="9525" cmpd="sng">
          <a:solidFill>
            <a:schemeClr val="lt1">
              <a:shade val="50000"/>
            </a:schemeClr>
          </a:solidFill>
        </a:ln>
        <a:effectLst>
          <a:softEdge rad="127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sp3d>
        </a:bodyPr>
        <a:lstStyle/>
        <a:p>
          <a:r>
            <a:rPr lang="en-IN" sz="2400" b="0" kern="1200">
              <a:solidFill>
                <a:srgbClr val="0A0361"/>
              </a:solidFill>
            </a:rPr>
            <a:t>DASHBOARD</a:t>
          </a:r>
        </a:p>
      </xdr:txBody>
    </xdr:sp>
    <xdr:clientData/>
  </xdr:twoCellAnchor>
  <xdr:twoCellAnchor editAs="oneCell">
    <xdr:from>
      <xdr:col>8</xdr:col>
      <xdr:colOff>388620</xdr:colOff>
      <xdr:row>2</xdr:row>
      <xdr:rowOff>131445</xdr:rowOff>
    </xdr:from>
    <xdr:to>
      <xdr:col>10</xdr:col>
      <xdr:colOff>238200</xdr:colOff>
      <xdr:row>6</xdr:row>
      <xdr:rowOff>114799</xdr:rowOff>
    </xdr:to>
    <xdr:pic>
      <xdr:nvPicPr>
        <xdr:cNvPr id="85" name="Graphic 84" descr="Tug boat with solid fill">
          <a:extLst>
            <a:ext uri="{FF2B5EF4-FFF2-40B4-BE49-F238E27FC236}">
              <a16:creationId xmlns:a16="http://schemas.microsoft.com/office/drawing/2014/main" id="{2CAB6846-7990-4DFD-865E-7B1F9A3AD3D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5265420" y="493395"/>
          <a:ext cx="1068780" cy="707254"/>
        </a:xfrm>
        <a:prstGeom prst="rect">
          <a:avLst/>
        </a:prstGeom>
      </xdr:spPr>
    </xdr:pic>
    <xdr:clientData/>
  </xdr:twoCellAnchor>
  <xdr:twoCellAnchor>
    <xdr:from>
      <xdr:col>10</xdr:col>
      <xdr:colOff>440267</xdr:colOff>
      <xdr:row>1</xdr:row>
      <xdr:rowOff>16933</xdr:rowOff>
    </xdr:from>
    <xdr:to>
      <xdr:col>13</xdr:col>
      <xdr:colOff>279400</xdr:colOff>
      <xdr:row>4</xdr:row>
      <xdr:rowOff>67733</xdr:rowOff>
    </xdr:to>
    <xdr:sp macro="" textlink="">
      <xdr:nvSpPr>
        <xdr:cNvPr id="86" name="Rectangle 85">
          <a:extLst>
            <a:ext uri="{FF2B5EF4-FFF2-40B4-BE49-F238E27FC236}">
              <a16:creationId xmlns:a16="http://schemas.microsoft.com/office/drawing/2014/main" id="{A646DE0C-1766-60CE-BFED-D8FEBC4D6BC4}"/>
            </a:ext>
          </a:extLst>
        </xdr:cNvPr>
        <xdr:cNvSpPr/>
      </xdr:nvSpPr>
      <xdr:spPr>
        <a:xfrm>
          <a:off x="6536267" y="16933"/>
          <a:ext cx="1667933" cy="609600"/>
        </a:xfrm>
        <a:prstGeom prst="rect">
          <a:avLst/>
        </a:prstGeom>
        <a:solidFill>
          <a:schemeClr val="bg1"/>
        </a:solidFill>
        <a:ln>
          <a:noFill/>
        </a:ln>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279400</xdr:colOff>
      <xdr:row>1</xdr:row>
      <xdr:rowOff>169333</xdr:rowOff>
    </xdr:from>
    <xdr:to>
      <xdr:col>12</xdr:col>
      <xdr:colOff>313266</xdr:colOff>
      <xdr:row>4</xdr:row>
      <xdr:rowOff>152400</xdr:rowOff>
    </xdr:to>
    <xdr:sp macro="" textlink="Sheet2!H10">
      <xdr:nvSpPr>
        <xdr:cNvPr id="87" name="TextBox 86">
          <a:extLst>
            <a:ext uri="{FF2B5EF4-FFF2-40B4-BE49-F238E27FC236}">
              <a16:creationId xmlns:a16="http://schemas.microsoft.com/office/drawing/2014/main" id="{A65A5752-D138-35FE-6AA9-62F42A4CCFF5}"/>
            </a:ext>
          </a:extLst>
        </xdr:cNvPr>
        <xdr:cNvSpPr txBox="1"/>
      </xdr:nvSpPr>
      <xdr:spPr>
        <a:xfrm>
          <a:off x="6985000" y="169333"/>
          <a:ext cx="643466" cy="5418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14CB2C-0BBF-44DE-A90A-15B647C86A9F}" type="TxLink">
            <a:rPr lang="en-US" sz="2000" b="1" i="0" u="none" strike="noStrike">
              <a:solidFill>
                <a:srgbClr val="000000"/>
              </a:solidFill>
              <a:latin typeface="Aptos Narrow"/>
            </a:rPr>
            <a:pPr algn="ctr"/>
            <a:t>409</a:t>
          </a:fld>
          <a:endParaRPr lang="en-IN" sz="2000"/>
        </a:p>
      </xdr:txBody>
    </xdr:sp>
    <xdr:clientData/>
  </xdr:twoCellAnchor>
  <xdr:twoCellAnchor>
    <xdr:from>
      <xdr:col>10</xdr:col>
      <xdr:colOff>279399</xdr:colOff>
      <xdr:row>1</xdr:row>
      <xdr:rowOff>8468</xdr:rowOff>
    </xdr:from>
    <xdr:to>
      <xdr:col>13</xdr:col>
      <xdr:colOff>313266</xdr:colOff>
      <xdr:row>2</xdr:row>
      <xdr:rowOff>93135</xdr:rowOff>
    </xdr:to>
    <xdr:sp macro="" textlink="">
      <xdr:nvSpPr>
        <xdr:cNvPr id="88" name="TextBox 87">
          <a:extLst>
            <a:ext uri="{FF2B5EF4-FFF2-40B4-BE49-F238E27FC236}">
              <a16:creationId xmlns:a16="http://schemas.microsoft.com/office/drawing/2014/main" id="{56DE8BF8-E217-4F91-B88F-A60F41BE2FB7}"/>
            </a:ext>
          </a:extLst>
        </xdr:cNvPr>
        <xdr:cNvSpPr txBox="1"/>
      </xdr:nvSpPr>
      <xdr:spPr>
        <a:xfrm>
          <a:off x="6375399" y="8468"/>
          <a:ext cx="1862667" cy="2709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rgbClr val="000000"/>
              </a:solidFill>
              <a:latin typeface="Aptos Narrow"/>
            </a:rPr>
            <a:t>Total</a:t>
          </a:r>
          <a:r>
            <a:rPr lang="en-US" sz="1400" b="1" i="0" u="none" strike="noStrike" baseline="0">
              <a:solidFill>
                <a:srgbClr val="000000"/>
              </a:solidFill>
              <a:latin typeface="Aptos Narrow"/>
            </a:rPr>
            <a:t> Reguests</a:t>
          </a:r>
          <a:endParaRPr lang="en-US" sz="1400" b="1" i="0" u="none" strike="noStrike">
            <a:solidFill>
              <a:srgbClr val="000000"/>
            </a:solidFill>
            <a:latin typeface="Aptos Narrow"/>
          </a:endParaRPr>
        </a:p>
      </xdr:txBody>
    </xdr:sp>
    <xdr:clientData/>
  </xdr:twoCellAnchor>
  <xdr:twoCellAnchor editAs="oneCell">
    <xdr:from>
      <xdr:col>0</xdr:col>
      <xdr:colOff>245535</xdr:colOff>
      <xdr:row>9</xdr:row>
      <xdr:rowOff>186266</xdr:rowOff>
    </xdr:from>
    <xdr:to>
      <xdr:col>1</xdr:col>
      <xdr:colOff>364067</xdr:colOff>
      <xdr:row>13</xdr:row>
      <xdr:rowOff>178146</xdr:rowOff>
    </xdr:to>
    <xdr:pic>
      <xdr:nvPicPr>
        <xdr:cNvPr id="90" name="Graphic 89" descr="School girl with solid fill">
          <a:extLst>
            <a:ext uri="{FF2B5EF4-FFF2-40B4-BE49-F238E27FC236}">
              <a16:creationId xmlns:a16="http://schemas.microsoft.com/office/drawing/2014/main" id="{B9B91A49-85EA-4FC0-A572-87C6078C5A6D}"/>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245535" y="1862666"/>
          <a:ext cx="728132" cy="736947"/>
        </a:xfrm>
        <a:prstGeom prst="rect">
          <a:avLst/>
        </a:prstGeom>
      </xdr:spPr>
    </xdr:pic>
    <xdr:clientData/>
  </xdr:twoCellAnchor>
  <xdr:twoCellAnchor>
    <xdr:from>
      <xdr:col>0</xdr:col>
      <xdr:colOff>203200</xdr:colOff>
      <xdr:row>13</xdr:row>
      <xdr:rowOff>59266</xdr:rowOff>
    </xdr:from>
    <xdr:to>
      <xdr:col>1</xdr:col>
      <xdr:colOff>355600</xdr:colOff>
      <xdr:row>15</xdr:row>
      <xdr:rowOff>59266</xdr:rowOff>
    </xdr:to>
    <xdr:sp macro="" textlink="Sheet2!F71">
      <xdr:nvSpPr>
        <xdr:cNvPr id="91" name="TextBox 90">
          <a:extLst>
            <a:ext uri="{FF2B5EF4-FFF2-40B4-BE49-F238E27FC236}">
              <a16:creationId xmlns:a16="http://schemas.microsoft.com/office/drawing/2014/main" id="{DCD5479C-B7B6-4CF9-A38E-390C0D800523}"/>
            </a:ext>
          </a:extLst>
        </xdr:cNvPr>
        <xdr:cNvSpPr txBox="1"/>
      </xdr:nvSpPr>
      <xdr:spPr>
        <a:xfrm>
          <a:off x="203200" y="2480733"/>
          <a:ext cx="762000" cy="372533"/>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75B1207-9A62-44F4-B595-675A6E8D5B7B}" type="TxLink">
            <a:rPr lang="en-US" sz="1800" b="1" i="0" u="none" strike="noStrike" kern="1200">
              <a:solidFill>
                <a:srgbClr val="77CAC7"/>
              </a:solidFill>
              <a:latin typeface="Aptos Narrow"/>
              <a:ea typeface="+mn-ea"/>
              <a:cs typeface="+mn-cs"/>
            </a:rPr>
            <a:pPr marL="0" indent="0" algn="ctr"/>
            <a:t>315</a:t>
          </a:fld>
          <a:endParaRPr lang="en-IN" sz="1800" b="1" i="0" u="none" strike="noStrike" kern="1200">
            <a:solidFill>
              <a:srgbClr val="77CAC7"/>
            </a:solidFill>
            <a:latin typeface="Aptos Narrow"/>
            <a:ea typeface="+mn-ea"/>
            <a:cs typeface="+mn-cs"/>
          </a:endParaRPr>
        </a:p>
      </xdr:txBody>
    </xdr:sp>
    <xdr:clientData/>
  </xdr:twoCellAnchor>
  <xdr:twoCellAnchor editAs="oneCell">
    <xdr:from>
      <xdr:col>4</xdr:col>
      <xdr:colOff>16934</xdr:colOff>
      <xdr:row>9</xdr:row>
      <xdr:rowOff>160866</xdr:rowOff>
    </xdr:from>
    <xdr:to>
      <xdr:col>5</xdr:col>
      <xdr:colOff>93134</xdr:colOff>
      <xdr:row>13</xdr:row>
      <xdr:rowOff>109257</xdr:rowOff>
    </xdr:to>
    <xdr:pic>
      <xdr:nvPicPr>
        <xdr:cNvPr id="92" name="Graphic 91" descr="Male profile with solid fill">
          <a:extLst>
            <a:ext uri="{FF2B5EF4-FFF2-40B4-BE49-F238E27FC236}">
              <a16:creationId xmlns:a16="http://schemas.microsoft.com/office/drawing/2014/main" id="{3F4256AF-072A-4621-8172-9A767E488F26}"/>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455334" y="1837266"/>
          <a:ext cx="685800" cy="693458"/>
        </a:xfrm>
        <a:prstGeom prst="rect">
          <a:avLst/>
        </a:prstGeom>
      </xdr:spPr>
    </xdr:pic>
    <xdr:clientData/>
  </xdr:twoCellAnchor>
  <xdr:twoCellAnchor>
    <xdr:from>
      <xdr:col>3</xdr:col>
      <xdr:colOff>584201</xdr:colOff>
      <xdr:row>13</xdr:row>
      <xdr:rowOff>8466</xdr:rowOff>
    </xdr:from>
    <xdr:to>
      <xdr:col>5</xdr:col>
      <xdr:colOff>33867</xdr:colOff>
      <xdr:row>15</xdr:row>
      <xdr:rowOff>8467</xdr:rowOff>
    </xdr:to>
    <xdr:sp macro="" textlink="Sheet2!F68">
      <xdr:nvSpPr>
        <xdr:cNvPr id="93" name="TextBox 92">
          <a:extLst>
            <a:ext uri="{FF2B5EF4-FFF2-40B4-BE49-F238E27FC236}">
              <a16:creationId xmlns:a16="http://schemas.microsoft.com/office/drawing/2014/main" id="{100B7D44-439C-4DCA-823B-441893CCB035}"/>
            </a:ext>
          </a:extLst>
        </xdr:cNvPr>
        <xdr:cNvSpPr txBox="1"/>
      </xdr:nvSpPr>
      <xdr:spPr>
        <a:xfrm>
          <a:off x="2413001" y="2429933"/>
          <a:ext cx="668866" cy="372534"/>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61DBC26-0884-47D6-9A06-F2B84BA6DF17}" type="TxLink">
            <a:rPr lang="en-US" sz="1800" b="1" i="0" u="none" strike="noStrike" kern="1200">
              <a:solidFill>
                <a:srgbClr val="77CAC7"/>
              </a:solidFill>
              <a:latin typeface="Aptos Narrow"/>
            </a:rPr>
            <a:pPr algn="ctr"/>
            <a:t>94</a:t>
          </a:fld>
          <a:endParaRPr lang="en-IN" sz="1800" b="1" kern="1200">
            <a:solidFill>
              <a:srgbClr val="77CAC7"/>
            </a:solidFill>
          </a:endParaRPr>
        </a:p>
      </xdr:txBody>
    </xdr:sp>
    <xdr:clientData/>
  </xdr:twoCellAnchor>
  <xdr:twoCellAnchor>
    <xdr:from>
      <xdr:col>0</xdr:col>
      <xdr:colOff>0</xdr:colOff>
      <xdr:row>8</xdr:row>
      <xdr:rowOff>135467</xdr:rowOff>
    </xdr:from>
    <xdr:to>
      <xdr:col>2</xdr:col>
      <xdr:colOff>76200</xdr:colOff>
      <xdr:row>10</xdr:row>
      <xdr:rowOff>71120</xdr:rowOff>
    </xdr:to>
    <xdr:sp macro="" textlink="">
      <xdr:nvSpPr>
        <xdr:cNvPr id="94" name="TextBox 93">
          <a:extLst>
            <a:ext uri="{FF2B5EF4-FFF2-40B4-BE49-F238E27FC236}">
              <a16:creationId xmlns:a16="http://schemas.microsoft.com/office/drawing/2014/main" id="{41E4DC5B-3683-4F69-88C6-5FAC9480509B}"/>
            </a:ext>
          </a:extLst>
        </xdr:cNvPr>
        <xdr:cNvSpPr txBox="1"/>
      </xdr:nvSpPr>
      <xdr:spPr>
        <a:xfrm>
          <a:off x="0" y="1625600"/>
          <a:ext cx="1295400" cy="308187"/>
        </a:xfrm>
        <a:prstGeom prst="rect">
          <a:avLst/>
        </a:prstGeom>
        <a:solidFill>
          <a:srgbClr val="90EAFF"/>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0" u="none" strike="noStrike">
              <a:solidFill>
                <a:srgbClr val="4ABABA"/>
              </a:solidFill>
              <a:effectLst/>
              <a:latin typeface="+mn-lt"/>
              <a:ea typeface="+mn-ea"/>
              <a:cs typeface="+mn-cs"/>
            </a:rPr>
            <a:t>Sasikala</a:t>
          </a:r>
          <a:r>
            <a:rPr lang="en-IN" sz="1400" b="1"/>
            <a:t> </a:t>
          </a:r>
          <a:endParaRPr lang="en-IN" sz="1400" b="1" kern="1200"/>
        </a:p>
      </xdr:txBody>
    </xdr:sp>
    <xdr:clientData/>
  </xdr:twoCellAnchor>
  <xdr:twoCellAnchor>
    <xdr:from>
      <xdr:col>3</xdr:col>
      <xdr:colOff>524934</xdr:colOff>
      <xdr:row>8</xdr:row>
      <xdr:rowOff>152400</xdr:rowOff>
    </xdr:from>
    <xdr:to>
      <xdr:col>5</xdr:col>
      <xdr:colOff>128694</xdr:colOff>
      <xdr:row>9</xdr:row>
      <xdr:rowOff>160020</xdr:rowOff>
    </xdr:to>
    <xdr:sp macro="" textlink="">
      <xdr:nvSpPr>
        <xdr:cNvPr id="95" name="TextBox 94">
          <a:extLst>
            <a:ext uri="{FF2B5EF4-FFF2-40B4-BE49-F238E27FC236}">
              <a16:creationId xmlns:a16="http://schemas.microsoft.com/office/drawing/2014/main" id="{4F4A1860-D1B9-4D79-AF1F-A343AD3A65C0}"/>
            </a:ext>
          </a:extLst>
        </xdr:cNvPr>
        <xdr:cNvSpPr txBox="1"/>
      </xdr:nvSpPr>
      <xdr:spPr>
        <a:xfrm>
          <a:off x="2353734" y="1642533"/>
          <a:ext cx="822960" cy="193887"/>
        </a:xfrm>
        <a:prstGeom prst="rect">
          <a:avLst/>
        </a:prstGeom>
        <a:solidFill>
          <a:srgbClr val="90EAFF"/>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0" u="none" strike="noStrike">
              <a:solidFill>
                <a:srgbClr val="77CAC7"/>
              </a:solidFill>
              <a:effectLst/>
              <a:latin typeface="+mn-lt"/>
              <a:ea typeface="+mn-ea"/>
              <a:cs typeface="+mn-cs"/>
            </a:rPr>
            <a:t>Yuvaraj</a:t>
          </a:r>
          <a:r>
            <a:rPr lang="en-IN" sz="1600" b="1"/>
            <a:t> </a:t>
          </a:r>
          <a:endParaRPr lang="en-IN" sz="1600" b="1" kern="1200"/>
        </a:p>
      </xdr:txBody>
    </xdr:sp>
    <xdr:clientData/>
  </xdr:twoCellAnchor>
  <xdr:twoCellAnchor>
    <xdr:from>
      <xdr:col>4</xdr:col>
      <xdr:colOff>59266</xdr:colOff>
      <xdr:row>9</xdr:row>
      <xdr:rowOff>186266</xdr:rowOff>
    </xdr:from>
    <xdr:to>
      <xdr:col>5</xdr:col>
      <xdr:colOff>16933</xdr:colOff>
      <xdr:row>9</xdr:row>
      <xdr:rowOff>186266</xdr:rowOff>
    </xdr:to>
    <xdr:cxnSp macro="">
      <xdr:nvCxnSpPr>
        <xdr:cNvPr id="96" name="Straight Connector 95">
          <a:extLst>
            <a:ext uri="{FF2B5EF4-FFF2-40B4-BE49-F238E27FC236}">
              <a16:creationId xmlns:a16="http://schemas.microsoft.com/office/drawing/2014/main" id="{3ECBB8C5-8993-493E-A3BA-D2B83CEEDE6A}"/>
            </a:ext>
          </a:extLst>
        </xdr:cNvPr>
        <xdr:cNvCxnSpPr/>
      </xdr:nvCxnSpPr>
      <xdr:spPr>
        <a:xfrm>
          <a:off x="2497666" y="1862666"/>
          <a:ext cx="567267"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279400</xdr:colOff>
      <xdr:row>10</xdr:row>
      <xdr:rowOff>16933</xdr:rowOff>
    </xdr:from>
    <xdr:to>
      <xdr:col>1</xdr:col>
      <xdr:colOff>397933</xdr:colOff>
      <xdr:row>10</xdr:row>
      <xdr:rowOff>16933</xdr:rowOff>
    </xdr:to>
    <xdr:cxnSp macro="">
      <xdr:nvCxnSpPr>
        <xdr:cNvPr id="98" name="Straight Connector 97">
          <a:extLst>
            <a:ext uri="{FF2B5EF4-FFF2-40B4-BE49-F238E27FC236}">
              <a16:creationId xmlns:a16="http://schemas.microsoft.com/office/drawing/2014/main" id="{D2CD4AF9-A24D-4DC3-ADC4-1E5E57CB7B6B}"/>
            </a:ext>
          </a:extLst>
        </xdr:cNvPr>
        <xdr:cNvCxnSpPr/>
      </xdr:nvCxnSpPr>
      <xdr:spPr>
        <a:xfrm>
          <a:off x="279400" y="1879600"/>
          <a:ext cx="728133"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389466</xdr:colOff>
      <xdr:row>7</xdr:row>
      <xdr:rowOff>0</xdr:rowOff>
    </xdr:from>
    <xdr:to>
      <xdr:col>4</xdr:col>
      <xdr:colOff>59266</xdr:colOff>
      <xdr:row>8</xdr:row>
      <xdr:rowOff>33867</xdr:rowOff>
    </xdr:to>
    <xdr:sp macro="" textlink="">
      <xdr:nvSpPr>
        <xdr:cNvPr id="100" name="TextBox 99">
          <a:extLst>
            <a:ext uri="{FF2B5EF4-FFF2-40B4-BE49-F238E27FC236}">
              <a16:creationId xmlns:a16="http://schemas.microsoft.com/office/drawing/2014/main" id="{5611D1B0-2272-4F5D-8720-8FAC2848233D}"/>
            </a:ext>
          </a:extLst>
        </xdr:cNvPr>
        <xdr:cNvSpPr txBox="1"/>
      </xdr:nvSpPr>
      <xdr:spPr>
        <a:xfrm>
          <a:off x="999066" y="1303867"/>
          <a:ext cx="1498600" cy="220133"/>
        </a:xfrm>
        <a:prstGeom prst="rect">
          <a:avLst/>
        </a:prstGeom>
        <a:solidFill>
          <a:schemeClr val="lt1"/>
        </a:solidFill>
        <a:ln w="9525" cmpd="sng">
          <a:solidFill>
            <a:schemeClr val="lt1">
              <a:shade val="50000"/>
            </a:schemeClr>
          </a:solidFill>
        </a:ln>
        <a:effectLst>
          <a:softEdge rad="3175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a:solidFill>
                <a:srgbClr val="77CAC7"/>
              </a:solidFill>
            </a:rPr>
            <a:t>User's</a:t>
          </a:r>
        </a:p>
      </xdr:txBody>
    </xdr:sp>
    <xdr:clientData/>
  </xdr:twoCellAnchor>
  <xdr:twoCellAnchor editAs="oneCell">
    <xdr:from>
      <xdr:col>0</xdr:col>
      <xdr:colOff>247653</xdr:colOff>
      <xdr:row>2</xdr:row>
      <xdr:rowOff>23037</xdr:rowOff>
    </xdr:from>
    <xdr:to>
      <xdr:col>4</xdr:col>
      <xdr:colOff>142875</xdr:colOff>
      <xdr:row>6</xdr:row>
      <xdr:rowOff>38007</xdr:rowOff>
    </xdr:to>
    <xdr:pic>
      <xdr:nvPicPr>
        <xdr:cNvPr id="102" name="Picture 101">
          <a:extLst>
            <a:ext uri="{FF2B5EF4-FFF2-40B4-BE49-F238E27FC236}">
              <a16:creationId xmlns:a16="http://schemas.microsoft.com/office/drawing/2014/main" id="{298C12E5-8300-561F-8D18-BD3BD58F7D92}"/>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47653" y="384987"/>
          <a:ext cx="2333622" cy="738870"/>
        </a:xfrm>
        <a:prstGeom prst="rect">
          <a:avLst/>
        </a:prstGeom>
      </xdr:spPr>
    </xdr:pic>
    <xdr:clientData/>
  </xdr:twoCellAnchor>
  <xdr:twoCellAnchor>
    <xdr:from>
      <xdr:col>0</xdr:col>
      <xdr:colOff>333375</xdr:colOff>
      <xdr:row>25</xdr:row>
      <xdr:rowOff>152400</xdr:rowOff>
    </xdr:from>
    <xdr:to>
      <xdr:col>10</xdr:col>
      <xdr:colOff>133350</xdr:colOff>
      <xdr:row>25</xdr:row>
      <xdr:rowOff>161925</xdr:rowOff>
    </xdr:to>
    <xdr:cxnSp macro="">
      <xdr:nvCxnSpPr>
        <xdr:cNvPr id="104" name="Straight Connector 103">
          <a:extLst>
            <a:ext uri="{FF2B5EF4-FFF2-40B4-BE49-F238E27FC236}">
              <a16:creationId xmlns:a16="http://schemas.microsoft.com/office/drawing/2014/main" id="{3A187570-361E-71D4-4CD0-FE25A7FD51F3}"/>
            </a:ext>
          </a:extLst>
        </xdr:cNvPr>
        <xdr:cNvCxnSpPr/>
      </xdr:nvCxnSpPr>
      <xdr:spPr>
        <a:xfrm flipV="1">
          <a:off x="333375" y="4676775"/>
          <a:ext cx="5895975" cy="9525"/>
        </a:xfrm>
        <a:prstGeom prst="line">
          <a:avLst/>
        </a:prstGeom>
        <a:ln>
          <a:solidFill>
            <a:schemeClr val="bg2">
              <a:lumMod val="90000"/>
            </a:schemeClr>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845820</xdr:colOff>
      <xdr:row>14</xdr:row>
      <xdr:rowOff>38100</xdr:rowOff>
    </xdr:from>
    <xdr:to>
      <xdr:col>4</xdr:col>
      <xdr:colOff>541020</xdr:colOff>
      <xdr:row>20</xdr:row>
      <xdr:rowOff>91440</xdr:rowOff>
    </xdr:to>
    <mc:AlternateContent xmlns:mc="http://schemas.openxmlformats.org/markup-compatibility/2006" xmlns:a14="http://schemas.microsoft.com/office/drawing/2010/main">
      <mc:Choice Requires="a14">
        <xdr:graphicFrame macro="">
          <xdr:nvGraphicFramePr>
            <xdr:cNvPr id="3" name="TAT2">
              <a:extLst>
                <a:ext uri="{FF2B5EF4-FFF2-40B4-BE49-F238E27FC236}">
                  <a16:creationId xmlns:a16="http://schemas.microsoft.com/office/drawing/2014/main" id="{BC1DF7BF-2CC0-229B-3242-1C38855F7186}"/>
                </a:ext>
              </a:extLst>
            </xdr:cNvPr>
            <xdr:cNvGraphicFramePr/>
          </xdr:nvGraphicFramePr>
          <xdr:xfrm>
            <a:off x="0" y="0"/>
            <a:ext cx="0" cy="0"/>
          </xdr:xfrm>
          <a:graphic>
            <a:graphicData uri="http://schemas.microsoft.com/office/drawing/2010/slicer">
              <sle:slicer xmlns:sle="http://schemas.microsoft.com/office/drawing/2010/slicer" name="TAT2"/>
            </a:graphicData>
          </a:graphic>
        </xdr:graphicFrame>
      </mc:Choice>
      <mc:Fallback xmlns="">
        <xdr:sp macro="" textlink="">
          <xdr:nvSpPr>
            <xdr:cNvPr id="0" name=""/>
            <xdr:cNvSpPr>
              <a:spLocks noTextEdit="1"/>
            </xdr:cNvSpPr>
          </xdr:nvSpPr>
          <xdr:spPr>
            <a:xfrm>
              <a:off x="2766060" y="2598420"/>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982980</xdr:colOff>
      <xdr:row>5</xdr:row>
      <xdr:rowOff>167641</xdr:rowOff>
    </xdr:from>
    <xdr:to>
      <xdr:col>4</xdr:col>
      <xdr:colOff>678180</xdr:colOff>
      <xdr:row>11</xdr:row>
      <xdr:rowOff>99061</xdr:rowOff>
    </xdr:to>
    <mc:AlternateContent xmlns:mc="http://schemas.openxmlformats.org/markup-compatibility/2006" xmlns:a14="http://schemas.microsoft.com/office/drawing/2010/main">
      <mc:Choice Requires="a14">
        <xdr:graphicFrame macro="">
          <xdr:nvGraphicFramePr>
            <xdr:cNvPr id="6" name="Months 2">
              <a:extLst>
                <a:ext uri="{FF2B5EF4-FFF2-40B4-BE49-F238E27FC236}">
                  <a16:creationId xmlns:a16="http://schemas.microsoft.com/office/drawing/2014/main" id="{3C7363D5-4303-0F68-1213-8C071EE7B0D1}"/>
                </a:ext>
              </a:extLst>
            </xdr:cNvPr>
            <xdr:cNvGraphicFramePr/>
          </xdr:nvGraphicFramePr>
          <xdr:xfrm>
            <a:off x="0" y="0"/>
            <a:ext cx="0" cy="0"/>
          </xdr:xfrm>
          <a:graphic>
            <a:graphicData uri="http://schemas.microsoft.com/office/drawing/2010/slicer">
              <sle:slicer xmlns:sle="http://schemas.microsoft.com/office/drawing/2010/slicer" name="Months 2"/>
            </a:graphicData>
          </a:graphic>
        </xdr:graphicFrame>
      </mc:Choice>
      <mc:Fallback xmlns="">
        <xdr:sp macro="" textlink="">
          <xdr:nvSpPr>
            <xdr:cNvPr id="0" name=""/>
            <xdr:cNvSpPr>
              <a:spLocks noTextEdit="1"/>
            </xdr:cNvSpPr>
          </xdr:nvSpPr>
          <xdr:spPr>
            <a:xfrm>
              <a:off x="2903220" y="108204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152400</xdr:colOff>
      <xdr:row>0</xdr:row>
      <xdr:rowOff>121920</xdr:rowOff>
    </xdr:from>
    <xdr:to>
      <xdr:col>8</xdr:col>
      <xdr:colOff>152400</xdr:colOff>
      <xdr:row>6</xdr:row>
      <xdr:rowOff>175260</xdr:rowOff>
    </xdr:to>
    <mc:AlternateContent xmlns:mc="http://schemas.openxmlformats.org/markup-compatibility/2006" xmlns:a14="http://schemas.microsoft.com/office/drawing/2010/main">
      <mc:Choice Requires="a14">
        <xdr:graphicFrame macro="">
          <xdr:nvGraphicFramePr>
            <xdr:cNvPr id="7" name="TAT2 5">
              <a:extLst>
                <a:ext uri="{FF2B5EF4-FFF2-40B4-BE49-F238E27FC236}">
                  <a16:creationId xmlns:a16="http://schemas.microsoft.com/office/drawing/2014/main" id="{F2C55FE2-776C-4F5D-A928-DDAA3E5DDDEE}"/>
                </a:ext>
              </a:extLst>
            </xdr:cNvPr>
            <xdr:cNvGraphicFramePr/>
          </xdr:nvGraphicFramePr>
          <xdr:xfrm>
            <a:off x="0" y="0"/>
            <a:ext cx="0" cy="0"/>
          </xdr:xfrm>
          <a:graphic>
            <a:graphicData uri="http://schemas.microsoft.com/office/drawing/2010/slicer">
              <sle:slicer xmlns:sle="http://schemas.microsoft.com/office/drawing/2010/slicer" name="TAT2 5"/>
            </a:graphicData>
          </a:graphic>
        </xdr:graphicFrame>
      </mc:Choice>
      <mc:Fallback xmlns="">
        <xdr:sp macro="" textlink="">
          <xdr:nvSpPr>
            <xdr:cNvPr id="0" name=""/>
            <xdr:cNvSpPr>
              <a:spLocks noTextEdit="1"/>
            </xdr:cNvSpPr>
          </xdr:nvSpPr>
          <xdr:spPr>
            <a:xfrm>
              <a:off x="5273040" y="121920"/>
              <a:ext cx="182880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99060</xdr:colOff>
      <xdr:row>18</xdr:row>
      <xdr:rowOff>121921</xdr:rowOff>
    </xdr:from>
    <xdr:to>
      <xdr:col>14</xdr:col>
      <xdr:colOff>99060</xdr:colOff>
      <xdr:row>25</xdr:row>
      <xdr:rowOff>53341</xdr:rowOff>
    </xdr:to>
    <mc:AlternateContent xmlns:mc="http://schemas.openxmlformats.org/markup-compatibility/2006" xmlns:a14="http://schemas.microsoft.com/office/drawing/2010/main">
      <mc:Choice Requires="a14">
        <xdr:graphicFrame macro="">
          <xdr:nvGraphicFramePr>
            <xdr:cNvPr id="2" name="TAT2 1">
              <a:extLst>
                <a:ext uri="{FF2B5EF4-FFF2-40B4-BE49-F238E27FC236}">
                  <a16:creationId xmlns:a16="http://schemas.microsoft.com/office/drawing/2014/main" id="{7E8B6704-85FE-761A-A5CC-546546FF8B81}"/>
                </a:ext>
              </a:extLst>
            </xdr:cNvPr>
            <xdr:cNvGraphicFramePr/>
          </xdr:nvGraphicFramePr>
          <xdr:xfrm>
            <a:off x="0" y="0"/>
            <a:ext cx="0" cy="0"/>
          </xdr:xfrm>
          <a:graphic>
            <a:graphicData uri="http://schemas.microsoft.com/office/drawing/2010/slicer">
              <sle:slicer xmlns:sle="http://schemas.microsoft.com/office/drawing/2010/slicer" name="TAT2 1"/>
            </a:graphicData>
          </a:graphic>
        </xdr:graphicFrame>
      </mc:Choice>
      <mc:Fallback xmlns="">
        <xdr:sp macro="" textlink="">
          <xdr:nvSpPr>
            <xdr:cNvPr id="0" name=""/>
            <xdr:cNvSpPr>
              <a:spLocks noTextEdit="1"/>
            </xdr:cNvSpPr>
          </xdr:nvSpPr>
          <xdr:spPr>
            <a:xfrm>
              <a:off x="7452360" y="3413761"/>
              <a:ext cx="1828800" cy="121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243840</xdr:colOff>
      <xdr:row>0</xdr:row>
      <xdr:rowOff>163830</xdr:rowOff>
    </xdr:from>
    <xdr:to>
      <xdr:col>8</xdr:col>
      <xdr:colOff>579120</xdr:colOff>
      <xdr:row>9</xdr:row>
      <xdr:rowOff>30480</xdr:rowOff>
    </xdr:to>
    <xdr:graphicFrame macro="">
      <xdr:nvGraphicFramePr>
        <xdr:cNvPr id="5" name="Chart 4">
          <a:extLst>
            <a:ext uri="{FF2B5EF4-FFF2-40B4-BE49-F238E27FC236}">
              <a16:creationId xmlns:a16="http://schemas.microsoft.com/office/drawing/2014/main" id="{2EF56D8A-A5C8-3649-2E17-8D5C074BB9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373380</xdr:colOff>
      <xdr:row>0</xdr:row>
      <xdr:rowOff>30480</xdr:rowOff>
    </xdr:from>
    <xdr:to>
      <xdr:col>17</xdr:col>
      <xdr:colOff>411480</xdr:colOff>
      <xdr:row>6</xdr:row>
      <xdr:rowOff>95250</xdr:rowOff>
    </xdr:to>
    <xdr:graphicFrame macro="">
      <xdr:nvGraphicFramePr>
        <xdr:cNvPr id="6" name="Chart 3">
          <a:extLst>
            <a:ext uri="{FF2B5EF4-FFF2-40B4-BE49-F238E27FC236}">
              <a16:creationId xmlns:a16="http://schemas.microsoft.com/office/drawing/2014/main" id="{4F07BC71-EBD1-4AFB-8905-5316A51C0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381000</xdr:colOff>
      <xdr:row>2</xdr:row>
      <xdr:rowOff>121920</xdr:rowOff>
    </xdr:from>
    <xdr:to>
      <xdr:col>22</xdr:col>
      <xdr:colOff>22860</xdr:colOff>
      <xdr:row>8</xdr:row>
      <xdr:rowOff>152400</xdr:rowOff>
    </xdr:to>
    <xdr:graphicFrame macro="">
      <xdr:nvGraphicFramePr>
        <xdr:cNvPr id="7" name="Chart 4">
          <a:extLst>
            <a:ext uri="{FF2B5EF4-FFF2-40B4-BE49-F238E27FC236}">
              <a16:creationId xmlns:a16="http://schemas.microsoft.com/office/drawing/2014/main" id="{D08E263A-3F5D-4651-B109-18D2083364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76200</xdr:colOff>
      <xdr:row>0</xdr:row>
      <xdr:rowOff>129540</xdr:rowOff>
    </xdr:from>
    <xdr:to>
      <xdr:col>13</xdr:col>
      <xdr:colOff>342900</xdr:colOff>
      <xdr:row>9</xdr:row>
      <xdr:rowOff>30480</xdr:rowOff>
    </xdr:to>
    <xdr:graphicFrame macro="">
      <xdr:nvGraphicFramePr>
        <xdr:cNvPr id="8" name="Chart 7">
          <a:extLst>
            <a:ext uri="{FF2B5EF4-FFF2-40B4-BE49-F238E27FC236}">
              <a16:creationId xmlns:a16="http://schemas.microsoft.com/office/drawing/2014/main" id="{FFAA1334-EEC7-3711-85DC-431B6968B4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14</xdr:col>
      <xdr:colOff>548640</xdr:colOff>
      <xdr:row>8</xdr:row>
      <xdr:rowOff>7621</xdr:rowOff>
    </xdr:from>
    <xdr:to>
      <xdr:col>17</xdr:col>
      <xdr:colOff>548640</xdr:colOff>
      <xdr:row>14</xdr:row>
      <xdr:rowOff>68581</xdr:rowOff>
    </xdr:to>
    <mc:AlternateContent xmlns:mc="http://schemas.openxmlformats.org/markup-compatibility/2006" xmlns:a14="http://schemas.microsoft.com/office/drawing/2010/main">
      <mc:Choice Requires="a14">
        <xdr:graphicFrame macro="">
          <xdr:nvGraphicFramePr>
            <xdr:cNvPr id="9" name="Months 3">
              <a:extLst>
                <a:ext uri="{FF2B5EF4-FFF2-40B4-BE49-F238E27FC236}">
                  <a16:creationId xmlns:a16="http://schemas.microsoft.com/office/drawing/2014/main" id="{CD65ECC1-BF7B-EEEB-A0EE-176C7763D0C9}"/>
                </a:ext>
              </a:extLst>
            </xdr:cNvPr>
            <xdr:cNvGraphicFramePr/>
          </xdr:nvGraphicFramePr>
          <xdr:xfrm>
            <a:off x="0" y="0"/>
            <a:ext cx="0" cy="0"/>
          </xdr:xfrm>
          <a:graphic>
            <a:graphicData uri="http://schemas.microsoft.com/office/drawing/2010/slicer">
              <sle:slicer xmlns:sle="http://schemas.microsoft.com/office/drawing/2010/slicer" name="Months 3"/>
            </a:graphicData>
          </a:graphic>
        </xdr:graphicFrame>
      </mc:Choice>
      <mc:Fallback xmlns="">
        <xdr:sp macro="" textlink="">
          <xdr:nvSpPr>
            <xdr:cNvPr id="0" name=""/>
            <xdr:cNvSpPr>
              <a:spLocks noTextEdit="1"/>
            </xdr:cNvSpPr>
          </xdr:nvSpPr>
          <xdr:spPr>
            <a:xfrm>
              <a:off x="9730740" y="147066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va J" refreshedDate="45643.631747800922" createdVersion="8" refreshedVersion="8" minRefreshableVersion="3" recordCount="54" xr:uid="{D1F858D9-5C0D-4163-910F-97411F042CA2}">
  <cacheSource type="worksheet">
    <worksheetSource ref="A26:K79" sheet="data"/>
  </cacheSource>
  <cacheFields count="11">
    <cacheField name="Months" numFmtId="22">
      <sharedItems containsNonDate="0" count="2">
        <s v="Nov"/>
        <s v="Oct"/>
      </sharedItems>
    </cacheField>
    <cacheField name="WEEK NO" numFmtId="0">
      <sharedItems containsSemiMixedTypes="0" containsString="0" containsNumber="1" containsInteger="1" minValue="40" maxValue="48"/>
    </cacheField>
    <cacheField name="mail received date" numFmtId="22">
      <sharedItems containsSemiMixedTypes="0" containsNonDate="0" containsDate="1" containsString="0" minDate="2024-10-01T18:55:00" maxDate="2024-11-29T10:24:00"/>
    </cacheField>
    <cacheField name="mail complete date" numFmtId="22">
      <sharedItems containsSemiMixedTypes="0" containsNonDate="0" containsDate="1" containsString="0" minDate="2024-10-02T10:34:00" maxDate="2024-11-29T10:29:00"/>
    </cacheField>
    <cacheField name="TAT" numFmtId="165">
      <sharedItems containsSemiMixedTypes="0" containsNonDate="0" containsDate="1" containsString="0" minDate="1899-12-30T00:03:00" maxDate="1900-01-07T02:51:00"/>
    </cacheField>
    <cacheField name="TAT2" numFmtId="1">
      <sharedItems count="2">
        <s v="OFF SLA"/>
        <s v="ON SLA"/>
      </sharedItems>
    </cacheField>
    <cacheField name="ACTIVITY" numFmtId="0">
      <sharedItems count="1">
        <s v="TDR"/>
      </sharedItems>
    </cacheField>
    <cacheField name="SLA" numFmtId="166">
      <sharedItems containsSemiMixedTypes="0" containsNonDate="0" containsDate="1" containsString="0" minDate="1899-12-30T02:00:00" maxDate="1899-12-30T02:00:00"/>
    </cacheField>
    <cacheField name="Subject" numFmtId="0">
      <sharedItems/>
    </cacheField>
    <cacheField name="Port Agent" numFmtId="0">
      <sharedItems/>
    </cacheField>
    <cacheField name="User name" numFmtId="0">
      <sharedItems/>
    </cacheField>
  </cacheFields>
  <extLst>
    <ext xmlns:x14="http://schemas.microsoft.com/office/spreadsheetml/2009/9/main" uri="{725AE2AE-9491-48be-B2B4-4EB974FC3084}">
      <x14:pivotCacheDefinition pivotCacheId="71370494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va J" refreshedDate="45713.833312847222" createdVersion="8" refreshedVersion="8" minRefreshableVersion="3" recordCount="46" xr:uid="{8647AEF7-426B-482D-999E-A217628A368C}">
  <cacheSource type="worksheet">
    <worksheetSource ref="A80:K126" sheet="data"/>
  </cacheSource>
  <cacheFields count="11">
    <cacheField name="Oct" numFmtId="22">
      <sharedItems/>
    </cacheField>
    <cacheField name="40" numFmtId="0">
      <sharedItems containsSemiMixedTypes="0" containsString="0" containsNumber="1" containsInteger="1" minValue="40" maxValue="48"/>
    </cacheField>
    <cacheField name="01-10-2024 00:30" numFmtId="22">
      <sharedItems containsSemiMixedTypes="0" containsNonDate="0" containsDate="1" containsString="0" minDate="2024-10-01T12:07:00" maxDate="2024-11-28T10:21:00"/>
    </cacheField>
    <cacheField name="01-10-2024 10:53" numFmtId="22">
      <sharedItems containsSemiMixedTypes="0" containsNonDate="0" containsDate="1" containsString="0" minDate="2024-10-01T12:21:00" maxDate="2024-11-28T15:33:00"/>
    </cacheField>
    <cacheField name="10:23:00" numFmtId="165">
      <sharedItems containsSemiMixedTypes="0" containsNonDate="0" containsDate="1" containsString="0" minDate="1899-12-30T00:03:00" maxDate="1899-12-31T01:15:00"/>
    </cacheField>
    <cacheField name="OFF SLA" numFmtId="1">
      <sharedItems/>
    </cacheField>
    <cacheField name="ATA &amp; ATD updates" numFmtId="0">
      <sharedItems/>
    </cacheField>
    <cacheField name="01:00:00" numFmtId="167">
      <sharedItems containsSemiMixedTypes="0" containsNonDate="0" containsDate="1" containsString="0" minDate="1899-12-30T01:00:00" maxDate="1899-12-30T01:00:00"/>
    </cacheField>
    <cacheField name="RE: TDR -PREALERT// M.V.SITC ZHAOMING V-2408E // INVTZ (T/S at WEST PORT KELANG) to ST.PETERSBURG // VX74IV24000009 &amp; VX74IV24000010 &amp; vVX74IV24000011 // " numFmtId="0">
      <sharedItems/>
    </cacheField>
    <cacheField name="INVIZ" numFmtId="0">
      <sharedItems/>
    </cacheField>
    <cacheField name="Sasikala"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va J" refreshedDate="45713.833341087964" createdVersion="8" refreshedVersion="8" minRefreshableVersion="3" recordCount="24" xr:uid="{E739C098-E0A5-430F-84A8-1DFEA8B142D9}">
  <cacheSource type="worksheet">
    <worksheetSource ref="A1:K25" sheet="data"/>
  </cacheSource>
  <cacheFields count="11">
    <cacheField name="Months" numFmtId="22">
      <sharedItems count="2">
        <s v="Nov"/>
        <s v="Oct"/>
      </sharedItems>
    </cacheField>
    <cacheField name="WEEK NO" numFmtId="0">
      <sharedItems containsSemiMixedTypes="0" containsString="0" containsNumber="1" containsInteger="1" minValue="40" maxValue="48"/>
    </cacheField>
    <cacheField name="mail received date" numFmtId="22">
      <sharedItems containsSemiMixedTypes="0" containsNonDate="0" containsDate="1" containsString="0" minDate="2024-10-04T22:41:00" maxDate="2024-11-29T10:06:00"/>
    </cacheField>
    <cacheField name="mail complete date" numFmtId="22">
      <sharedItems containsSemiMixedTypes="0" containsNonDate="0" containsDate="1" containsString="0" minDate="2024-10-05T19:10:00" maxDate="2024-11-29T12:23:00"/>
    </cacheField>
    <cacheField name="TAT" numFmtId="165">
      <sharedItems containsSemiMixedTypes="0" containsNonDate="0" containsDate="1" containsString="0" minDate="1899-12-30T00:05:00" maxDate="1900-01-01T14:26:00"/>
    </cacheField>
    <cacheField name="TAT2" numFmtId="1">
      <sharedItems count="2">
        <s v="ON SLA"/>
        <s v="OFF SLA"/>
      </sharedItems>
    </cacheField>
    <cacheField name="ACTIVITY" numFmtId="0">
      <sharedItems count="1">
        <s v="AR"/>
      </sharedItems>
    </cacheField>
    <cacheField name="SLA" numFmtId="166">
      <sharedItems containsSemiMixedTypes="0" containsNonDate="0" containsDate="1" containsString="0" minDate="1899-12-30T02:00:00" maxDate="1899-12-30T02:00:00"/>
    </cacheField>
    <cacheField name="Subject" numFmtId="0">
      <sharedItems/>
    </cacheField>
    <cacheField name="Port Agent" numFmtId="0">
      <sharedItems/>
    </cacheField>
    <cacheField name="User name" numFmtId="0">
      <sharedItems/>
    </cacheField>
  </cacheFields>
  <extLst>
    <ext xmlns:x14="http://schemas.microsoft.com/office/spreadsheetml/2009/9/main" uri="{725AE2AE-9491-48be-B2B4-4EB974FC3084}">
      <x14:pivotCacheDefinition pivotCacheId="737012578"/>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va J" refreshedDate="45713.833341898149" createdVersion="8" refreshedVersion="8" minRefreshableVersion="3" recordCount="409" xr:uid="{9EC8DA8F-0670-4E02-9B97-CA3D3F0CD87E}">
  <cacheSource type="worksheet">
    <worksheetSource ref="A1:L410" sheet="data"/>
  </cacheSource>
  <cacheFields count="15">
    <cacheField name="Months" numFmtId="22">
      <sharedItems count="2">
        <s v="Nov"/>
        <s v="Oct"/>
      </sharedItems>
    </cacheField>
    <cacheField name="WEEK NO" numFmtId="0">
      <sharedItems containsSemiMixedTypes="0" containsString="0" containsNumber="1" containsInteger="1" minValue="40" maxValue="48"/>
    </cacheField>
    <cacheField name="mail received date" numFmtId="22">
      <sharedItems containsSemiMixedTypes="0" containsNonDate="0" containsDate="1" containsString="0" minDate="2024-09-26T09:12:00" maxDate="2024-11-29T15:52:00"/>
    </cacheField>
    <cacheField name="mail complete date" numFmtId="22">
      <sharedItems containsSemiMixedTypes="0" containsNonDate="0" containsDate="1" containsString="0" minDate="2024-10-01T10:37:00" maxDate="2024-11-29T16:27:00"/>
    </cacheField>
    <cacheField name="TAT" numFmtId="165">
      <sharedItems containsSemiMixedTypes="0" containsNonDate="0" containsDate="1" containsString="0" minDate="1899-12-30T00:00:00" maxDate="1900-01-10T03:16:00" count="252">
        <d v="1899-12-30T00:24:00"/>
        <d v="1899-12-30T01:38:00"/>
        <d v="1899-12-30T00:10:00"/>
        <d v="1899-12-30T00:40:00"/>
        <d v="1900-01-01T14:26:00"/>
        <d v="1899-12-30T00:45:00"/>
        <d v="1899-12-30T00:06:00"/>
        <d v="1899-12-30T03:15:00"/>
        <d v="1899-12-30T03:13:00"/>
        <d v="1899-12-30T00:25:00"/>
        <d v="1899-12-30T00:07:00"/>
        <d v="1899-12-30T02:17:00"/>
        <d v="1899-12-30T20:29:00"/>
        <d v="1899-12-30T00:28:00"/>
        <d v="1899-12-30T08:30:00"/>
        <d v="1899-12-30T01:45:00"/>
        <d v="1899-12-30T13:36:00"/>
        <d v="1899-12-30T16:57:00"/>
        <d v="1899-12-30T00:53:00"/>
        <d v="1899-12-30T00:05:00"/>
        <d v="1899-12-30T03:22:00"/>
        <d v="1899-12-30T00:13:00"/>
        <d v="1899-12-31T16:05:00"/>
        <d v="1899-12-30T18:16:00"/>
        <d v="1899-12-30T00:12:00"/>
        <d v="1899-12-30T01:07:00"/>
        <d v="1899-12-30T00:42:00"/>
        <d v="1899-12-30T02:52:00"/>
        <d v="1900-01-07T02:51:00"/>
        <d v="1899-12-30T00:08:00"/>
        <d v="1899-12-30T01:13:00"/>
        <d v="1899-12-30T00:22:00"/>
        <d v="1899-12-30T00:27:00"/>
        <d v="1899-12-30T00:11:00"/>
        <d v="1899-12-30T05:54:00"/>
        <d v="1899-12-30T00:23:00"/>
        <d v="1899-12-30T00:03:00"/>
        <d v="1899-12-30T01:40:00"/>
        <d v="1899-12-30T00:44:00"/>
        <d v="1899-12-30T00:21:00"/>
        <d v="1899-12-30T15:39:00"/>
        <d v="1899-12-30T02:33:00"/>
        <d v="1899-12-30T10:48:00"/>
        <d v="1899-12-30T00:30:00"/>
        <d v="1899-12-30T19:33:00"/>
        <d v="1899-12-30T00:50:00"/>
        <d v="1899-12-30T00:29:00"/>
        <d v="1899-12-30T04:05:00"/>
        <d v="1899-12-30T16:32:00"/>
        <d v="1899-12-30T01:02:00"/>
        <d v="1900-01-01T19:15:00"/>
        <d v="1899-12-30T16:24:00"/>
        <d v="1899-12-30T03:14:00"/>
        <d v="1899-12-30T04:45:00"/>
        <d v="1899-12-31T00:36:00"/>
        <d v="1899-12-30T16:59:00"/>
        <d v="1899-12-30T02:31:00"/>
        <d v="1899-12-30T03:18:00"/>
        <d v="1899-12-30T01:31:00"/>
        <d v="1899-12-30T00:54:00"/>
        <d v="1899-12-31T01:15:00"/>
        <d v="1899-12-30T14:44:00"/>
        <d v="1899-12-30T10:23:00"/>
        <d v="1899-12-30T00:14:00"/>
        <d v="1899-12-30T00:04:00"/>
        <d v="1899-12-30T00:17:00"/>
        <d v="1899-12-30T02:21:00"/>
        <d v="1899-12-30T00:37:00"/>
        <d v="1899-12-30T01:05:00"/>
        <d v="1899-12-30T00:09:00"/>
        <d v="1899-12-30T00:57:00"/>
        <d v="1899-12-30T00:15:00"/>
        <d v="1899-12-30T04:42:00"/>
        <d v="1899-12-30T00:38:00"/>
        <d v="1899-12-30T00:19:00"/>
        <d v="1899-12-30T00:31:00"/>
        <d v="1899-12-30T00:33:00"/>
        <d v="1899-12-30T03:25:00"/>
        <d v="1899-12-30T16:23:00"/>
        <d v="1899-12-30T00:20:00"/>
        <d v="1899-12-30T01:39:00"/>
        <d v="1899-12-30T01:58:00"/>
        <d v="1899-12-30T02:54:00"/>
        <d v="1899-12-30T00:47:00"/>
        <d v="1899-12-30T00:55:00"/>
        <d v="1899-12-30T02:27:00"/>
        <d v="1899-12-30T00:49:00"/>
        <d v="1899-12-30T05:12:00"/>
        <d v="1899-12-31T01:34:00"/>
        <d v="1899-12-30T01:28:00"/>
        <d v="1899-12-30T00:01:03"/>
        <d v="1899-12-30T00:03:37"/>
        <d v="1899-12-30T09:03:04"/>
        <d v="1899-12-30T00:00:00"/>
        <d v="1899-12-30T00:02:00"/>
        <d v="1899-12-30T03:33:00"/>
        <d v="1899-12-30T04:51:00"/>
        <d v="1899-12-31T00:22:00"/>
        <d v="1899-12-30T19:55:00"/>
        <d v="1899-12-30T19:48:00"/>
        <d v="1899-12-30T18:36:00"/>
        <d v="1899-12-30T00:26:00"/>
        <d v="1899-12-30T22:58:00"/>
        <d v="1899-12-30T00:16:00"/>
        <d v="1899-12-31T00:15:00"/>
        <d v="1899-12-30T10:55:00"/>
        <d v="1899-12-30T00:01:00"/>
        <d v="1899-12-30T21:33:00"/>
        <d v="1899-12-31T17:54:00"/>
        <d v="1899-12-30T22:21:00"/>
        <d v="1899-12-30T15:47:00"/>
        <d v="1899-12-31T17:57:00"/>
        <d v="1899-12-30T00:18:00"/>
        <d v="1900-01-02T23:05:00"/>
        <d v="1900-01-02T01:13:00"/>
        <d v="1899-12-31T20:12:00"/>
        <d v="1900-01-01T22:56:00"/>
        <d v="1899-12-31T01:45:00"/>
        <d v="1900-01-02T15:53:00"/>
        <d v="1900-01-03T02:06:00"/>
        <d v="1899-12-31T15:45:00"/>
        <d v="1899-12-30T02:49:00"/>
        <d v="1899-12-30T05:14:00"/>
        <d v="1899-12-31T00:00:00"/>
        <d v="1899-12-30T23:09:00"/>
        <d v="1900-01-02T16:04:00"/>
        <d v="1899-12-30T01:42:00"/>
        <d v="1900-01-01T23:47:00"/>
        <d v="1900-01-02T00:36:00"/>
        <d v="1899-12-30T08:08:00"/>
        <d v="1899-12-30T23:35:00"/>
        <d v="1899-12-30T04:21:00"/>
        <d v="1900-01-01T18:22:00"/>
        <d v="1899-12-30T02:11:00"/>
        <d v="1900-01-03T18:12:00"/>
        <d v="1899-12-30T21:49:00"/>
        <d v="1900-01-10T03:16:00"/>
        <d v="1899-12-30T19:32:00"/>
        <d v="1899-12-30T19:06:00"/>
        <d v="1899-12-30T23:03:00"/>
        <d v="1899-12-30T18:11:00"/>
        <d v="1899-12-30T20:23:00"/>
        <d v="1899-12-30T03:16:00"/>
        <d v="1899-12-30T09:19:00"/>
        <d v="1899-12-30T00:34:00"/>
        <d v="1899-12-30T21:32:00"/>
        <d v="1899-12-31T22:01:00"/>
        <d v="1899-12-30T03:41:00"/>
        <d v="1899-12-31T00:02:00"/>
        <d v="1899-12-30T03:28:00"/>
        <d v="1900-01-01T16:53:00"/>
        <d v="1899-12-30T01:03:00"/>
        <d v="1899-12-30T19:37:00"/>
        <d v="1899-12-30T01:23:00"/>
        <d v="1899-12-30T21:48:00"/>
        <d v="1899-12-31T05:53:00"/>
        <d v="1900-01-01T21:33:00"/>
        <d v="1899-12-30T23:56:00"/>
        <d v="1899-12-30T03:44:00"/>
        <d v="1900-01-02T00:18:00"/>
        <d v="1899-12-30T23:11:00"/>
        <d v="1899-12-30T21:11:00"/>
        <d v="1899-12-30T23:33:00"/>
        <d v="1899-12-30T04:43:00"/>
        <d v="1900-01-01T03:32:00"/>
        <d v="1899-12-31T00:40:00"/>
        <d v="1899-12-31T21:08:00"/>
        <d v="1899-12-30T00:43:00"/>
        <d v="1899-12-30T01:54:00"/>
        <d v="1900-01-06T04:02:00"/>
        <d v="1899-12-30T00:35:00"/>
        <d v="1899-12-30T01:11:00"/>
        <d v="1899-12-30T02:38:00"/>
        <d v="1899-12-31T16:13:00"/>
        <d v="1899-12-30T04:31:00"/>
        <d v="1899-12-30T01:44:00"/>
        <d v="1899-12-30T00:51:00"/>
        <d v="1899-12-30T01:04:00"/>
        <d v="1899-12-30T02:20:00"/>
        <d v="1899-12-30T01:25:00"/>
        <d v="1899-12-30T12:15:00"/>
        <d v="1899-12-30T16:08:00"/>
        <d v="1899-12-30T01:19:00"/>
        <d v="1899-12-30T16:58:00"/>
        <d v="1899-12-30T02:12:00"/>
        <d v="1899-12-30T15:37:00"/>
        <d v="1899-12-30T13:33:00"/>
        <d v="1899-12-30T11:35:00"/>
        <d v="1899-12-30T02:30:00"/>
        <d v="1899-12-30T02:40:00"/>
        <d v="1899-12-30T01:55:00"/>
        <d v="1899-12-30T17:58:00"/>
        <d v="1899-12-30T21:26:00"/>
        <d v="1899-12-30T14:50:00"/>
        <d v="1899-12-31T23:22:00"/>
        <d v="1899-12-30T21:34:00"/>
        <d v="1899-12-30T16:09:00"/>
        <d v="1899-12-30T22:17:00"/>
        <d v="1899-12-30T02:00:00"/>
        <d v="1899-12-30T00:00:47"/>
        <d v="1899-12-30T05:36:00"/>
        <d v="1899-12-30T01:30:00"/>
        <d v="1899-12-30T04:20:00"/>
        <d v="1899-12-30T01:59:00"/>
        <d v="1899-12-31T02:15:00"/>
        <d v="1899-12-31T05:18:00"/>
        <d v="1900-01-05T06:17:00"/>
        <d v="1899-12-30T04:52:00"/>
        <d v="1899-12-31T04:58:00"/>
        <d v="1900-01-05T00:28:00"/>
        <d v="1899-12-30T06:12:00"/>
        <d v="1899-12-30T07:43:00"/>
        <d v="1899-12-30T02:05:00"/>
        <d v="1900-01-01T02:42:00"/>
        <d v="1899-12-30T05:37:00"/>
        <d v="1899-12-30T08:16:00"/>
        <d v="1899-12-30T03:34:00"/>
        <d v="1900-01-01T21:08:00"/>
        <d v="1899-12-30T02:47:00"/>
        <d v="1899-12-30T23:44:00"/>
        <d v="1899-12-30T02:02:00"/>
        <d v="1899-12-31T12:16:00"/>
        <d v="1899-12-31T22:56:00"/>
        <d v="1899-12-30T04:35:00"/>
        <d v="1899-12-30T23:01:00"/>
        <d v="1899-12-31T01:31:00"/>
        <d v="1899-12-30T00:46:00"/>
        <d v="1899-12-30T21:37:00"/>
        <d v="1899-12-31T01:58:00"/>
        <d v="1899-12-31T03:22:00"/>
        <d v="1899-12-31T02:29:00"/>
        <d v="1900-01-02T20:30:00"/>
        <d v="1900-01-01T07:48:00"/>
        <d v="1899-12-30T03:00:00"/>
        <d v="1900-01-05T21:05:00"/>
        <d v="1899-12-30T03:45:00"/>
        <d v="1899-12-31T03:36:00"/>
        <d v="1899-12-31T00:20:00"/>
        <d v="1900-01-01T00:48:00"/>
        <d v="1900-01-01T06:48:00"/>
        <d v="1900-01-04T23:17:00"/>
        <d v="1900-01-05T03:03:00"/>
        <d v="1900-01-09T01:35:00"/>
        <d v="1899-12-30T22:02:00"/>
        <d v="1900-01-01T01:48:00"/>
        <d v="1899-12-31T00:03:00"/>
        <d v="1899-12-31T22:06:00"/>
        <d v="1899-12-30T02:56:00"/>
        <d v="1899-12-30T05:02:00"/>
        <d v="1899-12-30T05:24:00"/>
        <d v="1899-12-31T00:14:00"/>
        <d v="1899-12-30T02:28:00" u="1"/>
      </sharedItems>
      <fieldGroup par="14"/>
    </cacheField>
    <cacheField name="TAT2" numFmtId="0">
      <sharedItems count="3">
        <s v="ON SLA"/>
        <s v="OFF SLA"/>
        <s v="OFF SAL" u="1"/>
      </sharedItems>
    </cacheField>
    <cacheField name="ACTIVITY" numFmtId="0">
      <sharedItems count="8">
        <s v="AR"/>
        <s v="TDR"/>
        <s v="ATA &amp; ATD updates"/>
        <s v="D&amp;D"/>
        <s v="Due diligence"/>
        <s v="ETD extension"/>
        <s v="Vessel creation"/>
        <s v="WDR"/>
      </sharedItems>
    </cacheField>
    <cacheField name="SLA" numFmtId="0">
      <sharedItems containsSemiMixedTypes="0" containsNonDate="0" containsDate="1" containsString="0" minDate="1899-12-30T01:00:00" maxDate="1900-01-02T00:00:00"/>
    </cacheField>
    <cacheField name="Subject" numFmtId="0">
      <sharedItems/>
    </cacheField>
    <cacheField name="Port Agent" numFmtId="0">
      <sharedItems count="17">
        <s v="LKCMB"/>
        <s v="INMAA"/>
        <s v="INCCU"/>
        <s v="INTUT"/>
        <s v="INCOK"/>
        <s v="INMUN"/>
        <s v="INKAT"/>
        <s v="INVIZ"/>
        <s v="BDCGP"/>
        <s v="INVTZ"/>
        <s v="MMRGN"/>
        <s v="REEL"/>
        <s v="SEA LEAD"/>
        <s v="REEL service"/>
        <s v="Sea-lead service"/>
        <s v="RUNVS"/>
        <s v="RULED"/>
      </sharedItems>
    </cacheField>
    <cacheField name="User name" numFmtId="0">
      <sharedItems count="2">
        <s v="Yuvaraj"/>
        <s v="Sasikala"/>
      </sharedItems>
    </cacheField>
    <cacheField name="Remarks" numFmtId="0">
      <sharedItems containsNonDate="0" containsString="0" containsBlank="1"/>
    </cacheField>
    <cacheField name="Minutes (TAT)" numFmtId="0" databaseField="0">
      <fieldGroup base="4">
        <rangePr groupBy="minutes" startDate="1899-12-30T00:00:00" endDate="1900-01-10T03:16: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11-01-1900"/>
        </groupItems>
      </fieldGroup>
    </cacheField>
    <cacheField name="Hours (TAT)" numFmtId="0" databaseField="0">
      <fieldGroup base="4">
        <rangePr groupBy="hours" startDate="1899-12-30T00:00:00" endDate="1900-01-10T03:16:00"/>
        <groupItems count="26">
          <s v="&lt;00-01-1900"/>
          <s v="00"/>
          <s v="01"/>
          <s v="02"/>
          <s v="03"/>
          <s v="04"/>
          <s v="05"/>
          <s v="06"/>
          <s v="07"/>
          <s v="08"/>
          <s v="09"/>
          <s v="10"/>
          <s v="11"/>
          <s v="12"/>
          <s v="13"/>
          <s v="14"/>
          <s v="15"/>
          <s v="16"/>
          <s v="17"/>
          <s v="18"/>
          <s v="19"/>
          <s v="20"/>
          <s v="21"/>
          <s v="22"/>
          <s v="23"/>
          <s v="&gt;11-01-1900"/>
        </groupItems>
      </fieldGroup>
    </cacheField>
    <cacheField name="Days (TAT)" numFmtId="0" databaseField="0">
      <fieldGroup base="4">
        <rangePr groupBy="days" startDate="1899-12-30T00:00:00" endDate="1900-01-10T03:16:00"/>
        <groupItems count="368">
          <s v="&lt;00-01-190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01-1900"/>
        </groupItems>
      </fieldGroup>
    </cacheField>
  </cacheFields>
  <extLst>
    <ext xmlns:x14="http://schemas.microsoft.com/office/spreadsheetml/2009/9/main" uri="{725AE2AE-9491-48be-B2B4-4EB974FC3084}">
      <x14:pivotCacheDefinition pivotCacheId="18482799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n v="45"/>
    <d v="2024-11-03T16:47:00"/>
    <d v="2024-11-04T11:03:00"/>
    <d v="1899-12-30T18:16:00"/>
    <x v="0"/>
    <x v="0"/>
    <d v="1899-12-30T02:00:00"/>
    <s v="TDR - MOGRAL V.0087W"/>
    <s v="INCOK"/>
    <s v="Yuvaraj"/>
  </r>
  <r>
    <x v="0"/>
    <n v="45"/>
    <d v="2024-11-04T12:45:00"/>
    <d v="2024-11-04T12:52:00"/>
    <d v="1899-12-30T00:07:00"/>
    <x v="1"/>
    <x v="0"/>
    <d v="1899-12-30T02:00:00"/>
    <s v="RE: TDR Vessel NAVIOS UTMOST / 001E  (6358) // B # VX87II24000031, VX87II24000032, VX87II24000065,VX87II24000074, VX87II24000075, VX87II24000080, VX87II24000081 &amp; VX87II24000085"/>
    <s v="INMAA"/>
    <s v="Yuvaraj"/>
  </r>
  <r>
    <x v="0"/>
    <n v="45"/>
    <d v="2024-11-04T13:14:00"/>
    <d v="2024-11-04T13:20:00"/>
    <d v="1899-12-30T00:06:00"/>
    <x v="1"/>
    <x v="0"/>
    <d v="1899-12-30T02:00:00"/>
    <s v="RE: // TDR ////  SSL BHARAT V. 164  /// INTUT - INMUN"/>
    <s v="INTUT"/>
    <s v="Yuvaraj"/>
  </r>
  <r>
    <x v="0"/>
    <n v="45"/>
    <d v="2024-11-04T14:55:00"/>
    <d v="2024-11-04T15:07:00"/>
    <d v="1899-12-30T00:12:00"/>
    <x v="1"/>
    <x v="0"/>
    <d v="1899-12-30T02:00:00"/>
    <s v="RE: INCCU (KOLKATA // TDR // FSL SINGAPOE 104E  // VUXX"/>
    <s v="INCCU"/>
    <s v="Yuvaraj"/>
  </r>
  <r>
    <x v="0"/>
    <n v="45"/>
    <d v="2024-11-05T09:50:00"/>
    <d v="2024-11-05T10:57:00"/>
    <d v="1899-12-30T01:07:00"/>
    <x v="1"/>
    <x v="0"/>
    <d v="1899-12-30T02:00:00"/>
    <s v="TDR Vessel NAVIOS UTMOST / 001E  (6358) // "/>
    <s v="INMAA"/>
    <s v="Yuvaraj"/>
  </r>
  <r>
    <x v="0"/>
    <n v="45"/>
    <d v="2024-11-06T16:42:00"/>
    <d v="2024-11-06T17:24:00"/>
    <d v="1899-12-30T00:42:00"/>
    <x v="1"/>
    <x v="0"/>
    <d v="1899-12-30T02:00:00"/>
    <s v="REEL SHIPPING ( SMR) 02X40'HC LADEN CNTRS TDR FOR NOVOROSSIYSK AND ST PETERSBURG T/S VIA PKG-WEST ON VSL MV. SKY WIND"/>
    <s v="BDCGP"/>
    <s v="Yuvaraj"/>
  </r>
  <r>
    <x v="0"/>
    <n v="46"/>
    <d v="2024-11-12T09:10:00"/>
    <d v="2024-11-12T12:02:00"/>
    <d v="1899-12-30T02:52:00"/>
    <x v="0"/>
    <x v="0"/>
    <d v="1899-12-30T02:00:00"/>
    <s v="RE: VISAKHAPATNAM - TDR Status - SITC ZHAOMING / 2409E - B # VX74IV24000017"/>
    <s v="INVTZ"/>
    <s v="Yuvaraj"/>
  </r>
  <r>
    <x v="0"/>
    <n v="46"/>
    <d v="2024-11-04T11:03:00"/>
    <d v="2024-11-12T13:54:00"/>
    <d v="1900-01-07T02:51:00"/>
    <x v="1"/>
    <x v="0"/>
    <d v="1899-12-30T02:00:00"/>
    <s v="RE: TDR - MOGRVarun Pahelwani  &lt;varun.pahelwani@gilshipping.com&gt;AL V.0087W"/>
    <s v="INCOK"/>
    <s v="Yuvaraj"/>
  </r>
  <r>
    <x v="0"/>
    <n v="46"/>
    <d v="2024-11-13T21:17:00"/>
    <d v="2024-11-13T22:10:00"/>
    <d v="1899-12-30T00:53:00"/>
    <x v="1"/>
    <x v="0"/>
    <d v="1899-12-30T02:00:00"/>
    <s v="RE: INCCU (KOLKATA // TDR // MTT SAMALAJU 24018S // VUXX"/>
    <s v="INCCU"/>
    <s v="Yuvaraj"/>
  </r>
  <r>
    <x v="0"/>
    <n v="46"/>
    <d v="2024-11-13T22:05:00"/>
    <d v="2024-11-13T22:15:00"/>
    <d v="1899-12-30T00:10:00"/>
    <x v="1"/>
    <x v="0"/>
    <d v="1899-12-30T02:00:00"/>
    <s v="RE: Chennai - TDR Status - Vessel SYNERGY KEELUNG / 019E  (6445)"/>
    <s v="INMAA"/>
    <s v="Yuvaraj"/>
  </r>
  <r>
    <x v="0"/>
    <n v="46"/>
    <d v="2024-11-14T13:10:00"/>
    <d v="2024-11-14T13:18:00"/>
    <d v="1899-12-30T00:08:00"/>
    <x v="1"/>
    <x v="0"/>
    <d v="1899-12-30T02:00:00"/>
    <s v="RE: CHITTAGONG - TDR Request &amp; Shipment Status // Vessel GREEN EARTH / OF24037S  (6407) ]"/>
    <s v="BDCGP"/>
    <s v="Yuvaraj"/>
  </r>
  <r>
    <x v="0"/>
    <n v="46"/>
    <d v="2024-11-14T13:22:00"/>
    <d v="2024-11-14T14:35:00"/>
    <d v="1899-12-30T01:13:00"/>
    <x v="1"/>
    <x v="0"/>
    <d v="1899-12-30T02:00:00"/>
    <s v="RE: INCCU (KOLKATA // TDR // MTT SAMALAJU 24018S // VUXX"/>
    <s v="INCCU"/>
    <s v="Yuvaraj"/>
  </r>
  <r>
    <x v="0"/>
    <n v="46"/>
    <d v="2024-11-14T14:36:00"/>
    <d v="2024-11-14T14:43:00"/>
    <d v="1899-12-30T00:07:00"/>
    <x v="1"/>
    <x v="0"/>
    <d v="1899-12-30T02:00:00"/>
    <s v="RE: CHITTAGONG - TDR Request &amp; Shipment Status // Vessel GREEN EARTH / OF24037S  (6407) // B # VX98BH24000015, VX98BH24000016, VX98BH24000025 &amp; VX98BH24000026"/>
    <s v="BDCGP"/>
    <s v="Yuvaraj"/>
  </r>
  <r>
    <x v="0"/>
    <n v="46"/>
    <d v="2024-11-14T14:28:00"/>
    <d v="2024-11-14T14:50:00"/>
    <d v="1899-12-30T00:22:00"/>
    <x v="1"/>
    <x v="0"/>
    <d v="1899-12-30T02:00:00"/>
    <s v="RE: VISAKHAPATNAM - TDR Status - TS VANCOUVER / 24008E -"/>
    <s v="INVTZ"/>
    <s v="Yuvaraj"/>
  </r>
  <r>
    <x v="0"/>
    <n v="46"/>
    <d v="2024-11-14T15:00:00"/>
    <d v="2024-11-14T15:07:00"/>
    <d v="1899-12-30T00:07:00"/>
    <x v="1"/>
    <x v="0"/>
    <d v="1899-12-30T02:00:00"/>
    <s v="CHITTAGONG - TDR Request &amp; Shipment Status // Vessel GREEN EARTH / OF24037S  (6407) //"/>
    <s v="BDCGP"/>
    <s v="Yuvaraj"/>
  </r>
  <r>
    <x v="0"/>
    <n v="46"/>
    <d v="2024-11-14T15:01:00"/>
    <d v="2024-11-14T15:28:00"/>
    <d v="1899-12-30T00:27:00"/>
    <x v="1"/>
    <x v="0"/>
    <d v="1899-12-30T02:00:00"/>
    <s v="VISAKHAPATNAM - TDR Status - TS VANCOUVER / 24008E"/>
    <s v="INVTZ"/>
    <s v="Yuvaraj"/>
  </r>
  <r>
    <x v="0"/>
    <n v="46"/>
    <d v="2024-11-15T10:58:00"/>
    <d v="2024-11-15T11:09:00"/>
    <d v="1899-12-30T00:11:00"/>
    <x v="1"/>
    <x v="0"/>
    <d v="1899-12-30T02:00:00"/>
    <s v="RE: DEPARTURE REPORT FOR  1X40HC LOADED  ON SM MANALI V.047W ETD CMB 14 .11.2024"/>
    <s v="LKCMB"/>
    <s v="Yuvaraj"/>
  </r>
  <r>
    <x v="0"/>
    <n v="46"/>
    <d v="2024-11-16T11:46:00"/>
    <d v="2024-11-16T17:40:00"/>
    <d v="1899-12-30T05:54:00"/>
    <x v="0"/>
    <x v="0"/>
    <d v="1899-12-30T02:00:00"/>
    <s v="Re: TDR - SM MANALI V.0047E"/>
    <s v="INMAA"/>
    <s v="Yuvaraj"/>
  </r>
  <r>
    <x v="0"/>
    <n v="47"/>
    <d v="2024-11-19T00:13:00"/>
    <d v="2024-11-19T00:36:00"/>
    <d v="1899-12-30T00:23:00"/>
    <x v="1"/>
    <x v="0"/>
    <d v="1899-12-30T02:00:00"/>
    <s v="URGNET //  TDR - SM MANALI V.047W // B # VX89II24000041 &amp; VX89II24000042"/>
    <s v="INCOK"/>
    <s v="Yuvaraj"/>
  </r>
  <r>
    <x v="0"/>
    <n v="47"/>
    <d v="2024-11-20T10:27:00"/>
    <d v="2024-11-20T10:30:00"/>
    <d v="1899-12-30T00:03:00"/>
    <x v="1"/>
    <x v="0"/>
    <d v="1899-12-30T02:00:00"/>
    <s v="RE: TUTICORIN - TDR &amp; Shipment Status for SSL GUJARAT / 163  (6610)"/>
    <s v="INTUT"/>
    <s v="Yuvaraj"/>
  </r>
  <r>
    <x v="0"/>
    <n v="47"/>
    <d v="2024-11-21T10:30:00"/>
    <d v="2024-11-21T12:10:00"/>
    <d v="1899-12-30T01:40:00"/>
    <x v="1"/>
    <x v="0"/>
    <d v="1899-12-30T02:00:00"/>
    <s v="RE: INCCU (KOLKATA // TDR //  X PRESS IRAWADDY 24016S  // VUXX"/>
    <s v="INCCU"/>
    <s v="Yuvaraj"/>
  </r>
  <r>
    <x v="0"/>
    <n v="47"/>
    <d v="2024-11-22T11:42:00"/>
    <d v="2024-11-22T12:04:00"/>
    <d v="1899-12-30T00:22:00"/>
    <x v="1"/>
    <x v="0"/>
    <d v="1899-12-30T02:00:00"/>
    <s v="RE: TUTICORIN - TDR &amp; Shipment Status for SSL GUJARAT / 163  (6610)"/>
    <s v="INTUT"/>
    <s v="Yuvaraj"/>
  </r>
  <r>
    <x v="0"/>
    <n v="47"/>
    <d v="2024-11-23T13:30:00"/>
    <d v="2024-11-23T14:14:00"/>
    <d v="1899-12-30T00:44:00"/>
    <x v="1"/>
    <x v="0"/>
    <d v="1899-12-30T02:00:00"/>
    <s v="RE: // TDR ////  SSL GUJARAT V. 163  /// INTUT - INMUN"/>
    <s v="INTUT"/>
    <s v="Yuvaraj"/>
  </r>
  <r>
    <x v="0"/>
    <n v="48"/>
    <d v="2024-11-27T10:57:00"/>
    <d v="2024-11-27T11:18:00"/>
    <d v="1899-12-30T00:21:00"/>
    <x v="1"/>
    <x v="0"/>
    <d v="1899-12-30T02:00:00"/>
    <s v="RE: TDR - Vessel  ZHONG GU LIN YI V.  24009E   // INMAA TO RUNVS/RULES//SAILED 26-11-2024"/>
    <s v="INMAA"/>
    <s v="Yuvaraj"/>
  </r>
  <r>
    <x v="0"/>
    <n v="48"/>
    <d v="2024-11-27T11:39:00"/>
    <d v="2024-11-27T12:07:00"/>
    <d v="1899-12-30T00:28:00"/>
    <x v="1"/>
    <x v="0"/>
    <d v="1899-12-30T02:00:00"/>
    <s v="RE: MYANMAR - TDR &amp; Shipment Status for XO LUCKY / 24009W  (6496) // B # VX07MY24000022 &amp; VX07MY24000023"/>
    <s v="MMRGN"/>
    <s v="Yuvaraj"/>
  </r>
  <r>
    <x v="0"/>
    <n v="48"/>
    <d v="2024-11-28T09:18:00"/>
    <d v="2024-11-28T12:31:00"/>
    <d v="1899-12-30T03:13:00"/>
    <x v="0"/>
    <x v="0"/>
    <d v="1899-12-30T02:00:00"/>
    <s v="RE: LRR FROM YANGON TO CHENNAI, INDIA ON MV. TCI ARJUN V. 100262024, ETD YGN : 30 NOV 2024 // DIRECT SVC // SRR # RSGFL112400002 "/>
    <s v="MMRGN"/>
    <s v="Yuvaraj"/>
  </r>
  <r>
    <x v="0"/>
    <n v="48"/>
    <d v="2024-11-29T10:24:00"/>
    <d v="2024-11-29T10:29:00"/>
    <d v="1899-12-30T00:05:00"/>
    <x v="1"/>
    <x v="0"/>
    <d v="1899-12-30T02:00:00"/>
    <s v="RE: INCCU (KOLKATA // TDR // MTT LABUAN 24LB008S  // VUXX"/>
    <s v="INCCU"/>
    <s v="Yuvaraj"/>
  </r>
  <r>
    <x v="1"/>
    <n v="40"/>
    <d v="2024-10-01T18:55:00"/>
    <d v="2024-10-02T10:34:00"/>
    <d v="1899-12-30T15:39:00"/>
    <x v="0"/>
    <x v="0"/>
    <d v="1899-12-30T02:00:00"/>
    <s v="RE: TDR -PREALERT// M.V.SITC ZHAOMING V-2408E // INVTZ (T/S at WEST PORT KELANG) to ST.PETERSBURG // VX74IV24000009 &amp; VX74IV24000010 &amp; vVX74IV24000011 //"/>
    <s v="INVIZ"/>
    <s v="Sasikala"/>
  </r>
  <r>
    <x v="1"/>
    <n v="40"/>
    <d v="2024-10-03T15:51:00"/>
    <d v="2024-10-03T18:24:00"/>
    <d v="1899-12-30T02:33:00"/>
    <x v="0"/>
    <x v="0"/>
    <d v="1899-12-30T02:00:00"/>
    <s v="RE: SYNERGY KEELUNG V. 0018 SLD INMAA : 03.10.2024 (T/S at WEST PORTKELANG ) to RUNVS &amp; RULED // REEL"/>
    <s v="INMAA"/>
    <s v="Sasikala"/>
  </r>
  <r>
    <x v="1"/>
    <n v="41"/>
    <d v="2024-10-06T23:05:00"/>
    <d v="2024-10-07T09:53:00"/>
    <d v="1899-12-30T10:48:00"/>
    <x v="0"/>
    <x v="0"/>
    <d v="1899-12-30T02:00:00"/>
    <s v="TDR M.V.MOGRAL V.086W"/>
    <s v="INCOK"/>
    <s v="Sasikala"/>
  </r>
  <r>
    <x v="1"/>
    <n v="41"/>
    <d v="2024-10-07T11:26:00"/>
    <d v="2024-10-07T11:56:00"/>
    <d v="1899-12-30T00:30:00"/>
    <x v="1"/>
    <x v="0"/>
    <d v="1899-12-30T02:00:00"/>
    <s v="RE: REEL SHIPPING) SMR, 03X40'HC LADEN CNTRS TDR FOR  NOVOROSSIYSK   T/S VIA PKG-WEST ON VSL MV. FITZ ROY ,VOY--186E, SLD CGP DT- 06.10.2024 . EX : CGP-- MYWSP  and  FPOD  to  NOVOROSSIYK (RUSSIA)."/>
    <s v="LKCMB"/>
    <s v="Sasikala"/>
  </r>
  <r>
    <x v="1"/>
    <n v="41"/>
    <d v="2024-10-07T15:21:00"/>
    <d v="2024-10-08T10:54:00"/>
    <d v="1899-12-30T19:33:00"/>
    <x v="0"/>
    <x v="0"/>
    <d v="1899-12-30T02:00:00"/>
    <s v="RE: REQUEST FOR VESSEL / VOYAGE CREATION IN EBMS"/>
    <s v="INCCU"/>
    <s v="Sasikala"/>
  </r>
  <r>
    <x v="1"/>
    <n v="41"/>
    <d v="2024-10-09T09:47:00"/>
    <d v="2024-10-09T10:37:00"/>
    <d v="1899-12-30T00:50:00"/>
    <x v="1"/>
    <x v="0"/>
    <d v="1899-12-30T02:00:00"/>
    <s v="RE: TDR -PREALERT// M.V. SHINA V-009E // INVTZ (T/S at WEST PORT KELANG) to ST.PETERSBURG // VX74IV24000013, VX74IV24000014, VX74IV24000015 &amp; VX74IV24000016 - RULED"/>
    <s v="INVIZ"/>
    <s v="Sasikala"/>
  </r>
  <r>
    <x v="1"/>
    <n v="41"/>
    <d v="2024-10-09T17:41:00"/>
    <d v="2024-10-09T18:10:00"/>
    <d v="1899-12-30T00:29:00"/>
    <x v="1"/>
    <x v="0"/>
    <d v="1899-12-30T02:00:00"/>
    <s v="TDR &amp; PRE ALERT//CEN // VX07MY24000003//24000013/24000014/24000015 //24000016/24000017/24000018//24000020/24000021 //ETD 09 OCT 2024 // MV.SITC HAIPHONG V.2436W // TOTAL 45 X20'GP // "/>
    <s v="LKCMB"/>
    <s v="Sasikala"/>
  </r>
  <r>
    <x v="1"/>
    <n v="41"/>
    <d v="2024-10-11T07:49:00"/>
    <d v="2024-10-11T11:54:00"/>
    <d v="1899-12-30T04:05:00"/>
    <x v="0"/>
    <x v="0"/>
    <d v="1899-12-30T02:00:00"/>
    <s v="URGNET -  INCCU (KOLKATA // TDR //  FSL KELANG V. 239E // VOLTA"/>
    <s v="INCCU"/>
    <s v="Sasikala"/>
  </r>
  <r>
    <x v="1"/>
    <n v="41"/>
    <d v="2024-10-11T22:38:00"/>
    <d v="2024-10-12T15:10:00"/>
    <d v="1899-12-30T16:32:00"/>
    <x v="0"/>
    <x v="0"/>
    <d v="1899-12-30T02:00:00"/>
    <s v="// TDR ////  SSL GUJARAT V. 160  /// INTUT - INMUN"/>
    <s v="INTUT"/>
    <s v="Sasikala"/>
  </r>
  <r>
    <x v="1"/>
    <n v="42"/>
    <d v="2024-10-14T09:22:00"/>
    <d v="2024-10-14T10:24:00"/>
    <d v="1899-12-30T01:02:00"/>
    <x v="1"/>
    <x v="0"/>
    <d v="1899-12-30T02:00:00"/>
    <s v="COLOMBO - TDR &amp; Shipment Status for vessel MONACO / 109E // B # VX78CC24000013"/>
    <s v="LKCMB"/>
    <s v="Sasikala"/>
  </r>
  <r>
    <x v="1"/>
    <n v="42"/>
    <d v="2024-10-11T23:01:00"/>
    <d v="2024-10-14T18:16:00"/>
    <d v="1900-01-01T19:15:00"/>
    <x v="0"/>
    <x v="0"/>
    <d v="1899-12-30T02:00:00"/>
    <s v="TOP URGENT //  INQUIRY FOR AR/TDR MUNDRA MOGRAL V.0086  // TDR PENDING FOR THE VESSEL : TS VANCOUVER V.24007E"/>
    <s v="INMAA"/>
    <s v="Sasikala"/>
  </r>
  <r>
    <x v="1"/>
    <n v="42"/>
    <d v="2024-10-14T17:57:00"/>
    <d v="2024-10-15T10:21:00"/>
    <d v="1899-12-30T16:24:00"/>
    <x v="0"/>
    <x v="0"/>
    <d v="1899-12-30T02:00:00"/>
    <s v="Chennai - TDR Status - Vessel Name - TS VANCOUVER / 24007W"/>
    <s v="INMAA"/>
    <s v="Sasikala"/>
  </r>
  <r>
    <x v="1"/>
    <n v="42"/>
    <d v="2024-10-15T16:54:00"/>
    <d v="2024-10-15T20:08:00"/>
    <d v="1899-12-30T03:14:00"/>
    <x v="0"/>
    <x v="0"/>
    <d v="1899-12-30T02:00:00"/>
    <s v=" INCCU (KOLKATA // TDR // MTT LIMBANG 24LG005S // VUXX"/>
    <s v="INCCU"/>
    <s v="Sasikala"/>
  </r>
  <r>
    <x v="1"/>
    <n v="42"/>
    <d v="2024-10-16T12:58:00"/>
    <d v="2024-10-16T17:43:00"/>
    <d v="1899-12-30T04:45:00"/>
    <x v="0"/>
    <x v="0"/>
    <d v="1899-12-30T02:00:00"/>
    <s v="TDR - SSL BHARAT V.163"/>
    <s v="INTUT"/>
    <s v="Sasikala"/>
  </r>
  <r>
    <x v="1"/>
    <n v="43"/>
    <d v="2024-10-23T18:34:00"/>
    <d v="2024-10-23T18:47:00"/>
    <d v="1899-12-30T00:13:00"/>
    <x v="1"/>
    <x v="0"/>
    <d v="1899-12-30T02:00:00"/>
    <s v="// TDR ////  SSL GUJARAT V. 161  /// INTUT - INMUN"/>
    <s v="INTUT"/>
    <s v="Sasikala"/>
  </r>
  <r>
    <x v="1"/>
    <n v="43"/>
    <d v="2024-10-24T14:19:00"/>
    <d v="2024-10-24T15:32:00"/>
    <d v="1899-12-30T01:13:00"/>
    <x v="1"/>
    <x v="0"/>
    <d v="1899-12-30T02:00:00"/>
    <s v="TDR // RE: SHIPMENT STATUS -  YANGON TO CHENNAI ON MV. ISEACO WISDOM / 133S // SRR # RSGFL102400002 // B # VX07MY24000019"/>
    <s v="MMRGN"/>
    <s v="Sasikala"/>
  </r>
  <r>
    <x v="1"/>
    <n v="43"/>
    <d v="2024-10-24T14:19:00"/>
    <d v="2024-10-24T15:32:00"/>
    <d v="1899-12-30T01:13:00"/>
    <x v="1"/>
    <x v="0"/>
    <d v="1899-12-30T02:00:00"/>
    <s v="TDR // RE: SHIPMENT STATUS -  YANGON TO CHENNAI ON MV. ISEACO WISDOM / 133S // SRR # RSGFL102400002 // B # VX07MY24000019"/>
    <s v="MMRGN"/>
    <s v="Sasikala"/>
  </r>
  <r>
    <x v="1"/>
    <n v="43"/>
    <d v="2024-10-25T19:32:00"/>
    <d v="2024-10-26T20:08:00"/>
    <d v="1899-12-31T00:36:00"/>
    <x v="1"/>
    <x v="0"/>
    <d v="1899-12-30T02:00:00"/>
    <s v="ARRIVAL REPORT FOR  EVER LEGION V.056E  ETA CMB  24.10.2024"/>
    <s v="LKCMB"/>
    <s v="Sasikala"/>
  </r>
  <r>
    <x v="1"/>
    <n v="44"/>
    <d v="2024-10-28T19:39:00"/>
    <d v="2024-10-29T12:38:00"/>
    <d v="1899-12-30T16:59:00"/>
    <x v="0"/>
    <x v="0"/>
    <d v="1899-12-30T02:00:00"/>
    <s v="REEL SHIPPING ( SMR) 03X40'HC LADEN CNTRS TDR FOR  NOVOROSSIYSK   T/S VIA PKG-WEST ON VSL MV. SOL MALAYSIA ,VOY--2417S, SLD CGP DT- 28.10.2024 . EX : CGP-- MYWSP  and  FPOD  to  NOVOROSSIYK (RUSSIA)."/>
    <s v="LKCMB"/>
    <s v="Sasikala"/>
  </r>
  <r>
    <x v="1"/>
    <n v="44"/>
    <d v="2024-10-29T12:34:00"/>
    <d v="2024-10-29T15:05:00"/>
    <d v="1899-12-30T02:31:00"/>
    <x v="0"/>
    <x v="0"/>
    <d v="1899-12-30T02:00:00"/>
    <s v="TDR// INTERASIA CATALYST V.  0046E"/>
    <s v="INMAA"/>
    <s v="Sasikala"/>
  </r>
  <r>
    <x v="0"/>
    <n v="44"/>
    <d v="2024-11-01T10:47:00"/>
    <d v="2024-11-01T10:59:00"/>
    <d v="1899-12-30T00:12:00"/>
    <x v="1"/>
    <x v="0"/>
    <d v="1899-12-30T02:00:00"/>
    <s v="DEPARTURE REPORT FOR 01X40HC LOADED  ON MOGRAL V.087W ETD CMB 01.11.2024"/>
    <s v="LKCMB"/>
    <s v="Sasikala"/>
  </r>
  <r>
    <x v="0"/>
    <n v="44"/>
    <d v="2024-11-01T11:01:00"/>
    <d v="2024-11-01T14:19:00"/>
    <d v="1899-12-30T03:18:00"/>
    <x v="0"/>
    <x v="0"/>
    <d v="1899-12-30T02:00:00"/>
    <s v=" Chennai - TDR Status - Vessel XIN TIAN JIN  V. 93 E // BL # VX87II24000084"/>
    <s v="INMAA"/>
    <s v="Sasikala"/>
  </r>
  <r>
    <x v="0"/>
    <n v="44"/>
    <d v="2024-11-01T12:54:00"/>
    <d v="2024-11-01T14:25:00"/>
    <d v="1899-12-30T01:31:00"/>
    <x v="1"/>
    <x v="0"/>
    <d v="1899-12-30T02:00:00"/>
    <s v="DEPARTURE REPORT FOR 01X40HC LOADED  ON MOGRAL V.087W ETD CMB 01.11.2024"/>
    <s v="LKCMB"/>
    <s v="Sasikala"/>
  </r>
  <r>
    <x v="0"/>
    <n v="44"/>
    <d v="2024-11-01T14:32:00"/>
    <d v="2024-11-01T14:37:00"/>
    <d v="1899-12-30T00:05:00"/>
    <x v="1"/>
    <x v="0"/>
    <d v="1899-12-30T02:00:00"/>
    <s v="INCCU (KOLKATA // TDR // MTT LIMBANG 24LG006S // VUXX"/>
    <s v="INCCU"/>
    <s v="Sasikala"/>
  </r>
  <r>
    <x v="0"/>
    <n v="44"/>
    <d v="2024-11-01T15:08:00"/>
    <d v="2024-11-01T16:02:00"/>
    <d v="1899-12-30T00:54:00"/>
    <x v="1"/>
    <x v="0"/>
    <d v="1899-12-30T02:00:00"/>
    <s v=" INCCU (KOLKATA // TDR // MTT LIMBANG 24LG006S // VUXX"/>
    <s v="INCCU"/>
    <s v="Sasikala"/>
  </r>
  <r>
    <x v="0"/>
    <n v="45"/>
    <d v="2024-11-04T19:27:00"/>
    <d v="2024-11-05T10:11:00"/>
    <d v="1899-12-30T14:44:00"/>
    <x v="0"/>
    <x v="0"/>
    <d v="1899-12-30T02:00:00"/>
    <s v="INCCU (KOLKATA // TDR // FSL SINGAPOE 104E  // VUXX"/>
    <s v="INCCU"/>
    <s v="Sasikala"/>
  </r>
  <r>
    <x v="0"/>
    <n v="46"/>
    <d v="2024-11-10T09:30:00"/>
    <d v="2024-11-11T10:45:00"/>
    <d v="1899-12-31T01:15:00"/>
    <x v="1"/>
    <x v="0"/>
    <d v="1899-12-30T02:00:00"/>
    <s v="DEPARTURE REPORT FOR 1X20 &amp; 1X40HC LOADED  ON SM KAVERI V.081W ETD CMB 08.11.2024"/>
    <s v="LKCMB"/>
    <s v="Sasikal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s v="Oct"/>
    <n v="40"/>
    <d v="2024-10-01T12:07:00"/>
    <d v="2024-10-01T12:21:00"/>
    <d v="1899-12-30T00:14:00"/>
    <s v="ON SLA"/>
    <s v="ATA &amp; ATD updates"/>
    <d v="1899-12-30T01:00:00"/>
    <s v="TDR - SSL BHARAT V.162"/>
    <s v="INTUT"/>
    <s v="Sasikala"/>
  </r>
  <r>
    <s v="Oct"/>
    <n v="40"/>
    <d v="2024-10-03T13:38:00"/>
    <d v="2024-10-03T13:42:00"/>
    <d v="1899-12-30T00:04:00"/>
    <s v="ON SLA"/>
    <s v="ATA &amp; ATD updates"/>
    <d v="1899-12-30T01:00:00"/>
    <s v="SYNERGY KEELUNG V. 0018 SLD INMAA : 03.10.2024 (T/S at WEST PORTKELANG ) to RUNVS &amp; RULED // REEL"/>
    <s v="INMAA"/>
    <s v="Sasikala"/>
  </r>
  <r>
    <s v="Oct"/>
    <n v="40"/>
    <d v="2024-10-03T17:45:00"/>
    <d v="2024-10-03T18:02:00"/>
    <d v="1899-12-30T00:17:00"/>
    <s v="ON SLA"/>
    <s v="ATA &amp; ATD updates"/>
    <d v="1899-12-30T01:00:00"/>
    <s v="RE: (REEL SHIPPING) SMR, 03X40'HC LADEN CNTRS TDR FOR  NOVOROSSIYSK   T/S VIA PKG-WEST ON VSL MV.SKY WIND ,VOY--049S, SLD CGP DT- 03.10.2024 . EX : CGP-- MYWSP  and  FPOD  to  NOVOROSSIYK (RUSSIA)."/>
    <s v="LKCMB"/>
    <s v="Sasikala"/>
  </r>
  <r>
    <s v="Oct"/>
    <n v="40"/>
    <d v="2024-10-04T12:02:00"/>
    <d v="2024-10-04T12:07:00"/>
    <d v="1899-12-30T00:05:00"/>
    <s v="ON SLA"/>
    <s v="ATA &amp; ATD updates"/>
    <d v="1899-12-30T01:00:00"/>
    <s v="RE: // TDR ////  SSL BHARAT V. 162  /// INTUT - INMUN"/>
    <s v="INTUT"/>
    <s v="Sasikala"/>
  </r>
  <r>
    <s v="Oct"/>
    <n v="40"/>
    <d v="2024-10-04T19:05:00"/>
    <d v="2024-10-04T21:26:00"/>
    <d v="1899-12-30T02:21:00"/>
    <s v="OFF SLA"/>
    <s v="ATA &amp; ATD updates"/>
    <d v="1899-12-30T01:00:00"/>
    <s v="Arrival Report SSL SABARIMALAI 158 // REEL"/>
    <s v="INMAA"/>
    <s v="Sasikala"/>
  </r>
  <r>
    <s v="Oct"/>
    <n v="40"/>
    <d v="2024-10-05T15:23:00"/>
    <d v="2024-10-05T15:28:00"/>
    <d v="1899-12-30T00:05:00"/>
    <s v="ON SLA"/>
    <s v="ATA &amp; ATD updates"/>
    <d v="1899-12-30T01:00:00"/>
    <s v="TDR M.V.MOGRAL V.086W"/>
    <s v="INCOK"/>
    <s v="Sasikala"/>
  </r>
  <r>
    <s v="Oct"/>
    <n v="41"/>
    <d v="2024-10-06T18:20:00"/>
    <d v="2024-10-06T18:57:00"/>
    <d v="1899-12-30T00:37:00"/>
    <s v="ON SLA"/>
    <s v="ATA &amp; ATD updates"/>
    <d v="1899-12-30T01:00:00"/>
    <s v="REEL SHIPPING) SMR, 03X40'HC LADEN CNTRS TDR FOR  NOVOROSSIYSK   T/S VIA PKG-WEST ON VSL MV. FITZ ROY ,VOY--186E, SLD CGP DT- 06.10.2024 . EX : CGP-- MYWSP  and  FPOD  to  NOVOROSSIYK (RUSSIA)."/>
    <s v="BDCGP"/>
    <s v="Sasikala"/>
  </r>
  <r>
    <s v="Oct"/>
    <n v="41"/>
    <d v="2024-10-07T13:36:00"/>
    <d v="2024-10-07T14:41:00"/>
    <d v="1899-12-30T01:05:00"/>
    <s v="OFF SLA"/>
    <s v="ATA &amp; ATD updates"/>
    <d v="1899-12-30T01:00:00"/>
    <s v="RE: REQUEST FOR VESSEL / VOYAGE CREATION IN EBMS"/>
    <s v="INCCU"/>
    <s v="Sasikala"/>
  </r>
  <r>
    <s v="Oct"/>
    <n v="41"/>
    <d v="2024-10-09T15:05:00"/>
    <d v="2024-10-09T15:11:00"/>
    <d v="1899-12-30T00:06:00"/>
    <s v="ON SLA"/>
    <s v="ATA &amp; ATD updates"/>
    <d v="1899-12-30T01:00:00"/>
    <s v="RE: TDR &amp; PRE ALERT//CEN // VX07MY24000003//24000013/24000014/24000015 //24000016/24000017/24000018//24000020/24000021 //ETD 09 OCT 2024 // MV.SITC HAIPHONG V.2436W // TOTAL 45 X20'GP // "/>
    <s v="BDCGP"/>
    <s v="Sasikala"/>
  </r>
  <r>
    <s v="Oct"/>
    <n v="41"/>
    <d v="2024-10-09T17:14:00"/>
    <d v="2024-10-09T17:23:00"/>
    <d v="1899-12-30T00:09:00"/>
    <s v="ON SLA"/>
    <s v="ATA &amp; ATD updates"/>
    <d v="1899-12-30T01:00:00"/>
    <s v="Arrival Report SSL THAMIRABARANI V. 050 // REEL"/>
    <s v="INMAA"/>
    <s v="Sasikala"/>
  </r>
  <r>
    <s v="Oct"/>
    <n v="41"/>
    <d v="2024-10-10T11:49:00"/>
    <d v="2024-10-10T12:46:00"/>
    <d v="1899-12-30T00:57:00"/>
    <s v="ON SLA"/>
    <s v="ATA &amp; ATD updates"/>
    <d v="1899-12-30T01:00:00"/>
    <s v="Urgent -  Inquiry for AR VSL/VOY SOL PIONEER / 2411N in Kolkata"/>
    <s v="INCCU"/>
    <s v="Sasikala"/>
  </r>
  <r>
    <s v="Oct"/>
    <n v="41"/>
    <d v="2024-10-10T14:31:00"/>
    <d v="2024-10-10T14:37:00"/>
    <d v="1899-12-30T00:06:00"/>
    <s v="ON SLA"/>
    <s v="ATA &amp; ATD updates"/>
    <d v="1899-12-30T01:00:00"/>
    <s v=" AR - SCI CHENNAI V.2411"/>
    <s v="INCOK"/>
    <s v="Sasikala"/>
  </r>
  <r>
    <s v="Oct"/>
    <n v="41"/>
    <d v="2024-10-10T16:23:00"/>
    <d v="2024-10-10T16:38:00"/>
    <d v="1899-12-30T00:15:00"/>
    <s v="ON SLA"/>
    <s v="ATA &amp; ATD updates"/>
    <d v="1899-12-30T01:00:00"/>
    <s v="URGNET -  INCCU (KOLKATA // TDR //  FSL KELANG V. 239E // VOLTA"/>
    <s v="INCCU"/>
    <s v="Sasikala"/>
  </r>
  <r>
    <s v="Oct"/>
    <n v="41"/>
    <d v="2024-10-11T09:47:00"/>
    <d v="2024-10-11T10:41:00"/>
    <d v="1899-12-30T00:54:00"/>
    <s v="ON SLA"/>
    <s v="ATA &amp; ATD updates"/>
    <d v="1899-12-30T01:00:00"/>
    <s v=" // TDR ////  SSL GUJARAT V. 160  /// INTUT - INMUN"/>
    <s v="INTUT"/>
    <s v="Sasikala"/>
  </r>
  <r>
    <s v="Oct"/>
    <n v="41"/>
    <d v="2024-10-12T09:41:00"/>
    <d v="2024-10-12T14:23:00"/>
    <d v="1899-12-30T04:42:00"/>
    <s v="OFF SLA"/>
    <s v="ATA &amp; ATD updates"/>
    <d v="1899-12-30T01:00:00"/>
    <s v="Chennai - TDR Status - Vessel Name - TS VANCOUVER / 24007W"/>
    <s v="INMAA"/>
    <s v="Sasikala"/>
  </r>
  <r>
    <s v="Oct"/>
    <n v="42"/>
    <d v="2024-10-14T17:22:00"/>
    <d v="2024-10-14T18:00:00"/>
    <d v="1899-12-30T00:38:00"/>
    <s v="ON SLA"/>
    <s v="ATA &amp; ATD updates"/>
    <d v="1899-12-30T01:00:00"/>
    <s v="AR // INVTZ // MV SM MANALI V-0046W // ETA:10-10-2024"/>
    <s v="INVIZ"/>
    <s v="Sasikala"/>
  </r>
  <r>
    <s v="Oct"/>
    <n v="42"/>
    <d v="2024-10-15T11:39:00"/>
    <d v="2024-10-15T11:58:00"/>
    <d v="1899-12-30T00:19:00"/>
    <s v="ON SLA"/>
    <s v="ATA &amp; ATD updates"/>
    <d v="1899-12-30T01:00:00"/>
    <s v=" INCCU (KOLKATA // TDR // MTT LIMBANG 24LG005S // VUXX"/>
    <s v="INCCU"/>
    <s v="Sasikala"/>
  </r>
  <r>
    <s v="Oct"/>
    <n v="42"/>
    <d v="2024-10-15T16:57:00"/>
    <d v="2024-10-15T17:28:00"/>
    <d v="1899-12-30T00:31:00"/>
    <s v="ON SLA"/>
    <s v="ATA &amp; ATD updates"/>
    <d v="1899-12-30T01:00:00"/>
    <s v="REEL SHIPPING ( SMR) 02X40'HC LADEN CNTRS TDR FOR  NOVOROSSIYSK   T/S VIA PKG-WEST ON VSL MV. BLPL BLESSING ,VOY--2416S, SLD CGP DT- 15.10.2024 . EX : CGP-- MYWSP  and  FPOD  to  NOVOROSSIYK (RUSSIA)."/>
    <s v="BDCGP"/>
    <s v="Sasikala"/>
  </r>
  <r>
    <s v="Oct"/>
    <n v="42"/>
    <d v="2024-10-16T11:43:00"/>
    <d v="2024-10-16T11:58:00"/>
    <d v="1899-12-30T00:15:00"/>
    <s v="ON SLA"/>
    <s v="ATA &amp; ATD updates"/>
    <d v="1899-12-30T01:00:00"/>
    <s v="TDR - SSL BHARAT V.163"/>
    <s v="INTUT"/>
    <s v="Sasikala"/>
  </r>
  <r>
    <s v="Oct"/>
    <n v="42"/>
    <d v="2024-10-18T10:17:00"/>
    <d v="2024-10-18T10:50:00"/>
    <d v="1899-12-30T00:33:00"/>
    <s v="ON SLA"/>
    <s v="ATA &amp; ATD updates"/>
    <d v="1899-12-30T01:00:00"/>
    <s v="DEPARTURE REPORT FOR 2X40HC LOADED  ON SM MANALI V.046W ETD CMB 17.10.2024"/>
    <s v="LKCMB"/>
    <s v="Sasikala"/>
  </r>
  <r>
    <s v="Oct"/>
    <n v="42"/>
    <d v="2024-10-18T10:17:00"/>
    <d v="2024-10-18T10:50:00"/>
    <d v="1899-12-30T00:33:00"/>
    <s v="ON SLA"/>
    <s v="ATA &amp; ATD updates"/>
    <d v="1899-12-30T01:00:00"/>
    <s v="DEPARTURE REPORT FOR 2X40HC LOADED  ON SM MANALI V.046W ETD CMB 17.10.2024"/>
    <s v="LKCMB"/>
    <s v="Sasikala"/>
  </r>
  <r>
    <s v="Oct"/>
    <n v="43"/>
    <d v="2024-10-20T09:08:00"/>
    <d v="2024-10-20T12:33:00"/>
    <d v="1899-12-30T03:25:00"/>
    <s v="OFF SLA"/>
    <s v="ATA &amp; ATD updates"/>
    <d v="1899-12-30T01:00:00"/>
    <s v=" MONACO V.109E ETD CMB 19.10.2024"/>
    <s v="LKCMB"/>
    <s v="Sasikala"/>
  </r>
  <r>
    <s v="Oct"/>
    <n v="43"/>
    <d v="2024-10-21T17:59:00"/>
    <d v="2024-10-22T10:22:00"/>
    <d v="1899-12-30T16:23:00"/>
    <s v="OFF SLA"/>
    <s v="ATA &amp; ATD updates"/>
    <d v="1899-12-30T01:00:00"/>
    <s v="COLOMBO - TDR &amp; Shipment Status for vessel EVER LEGION / 056E // B # VX78CC24000015 &amp; VX78CC24000016"/>
    <s v="LKCMB"/>
    <s v="Sasikala"/>
  </r>
  <r>
    <s v="Oct"/>
    <n v="43"/>
    <d v="2024-10-22T09:47:00"/>
    <d v="2024-10-22T10:25:00"/>
    <d v="1899-12-30T00:38:00"/>
    <s v="ON SLA"/>
    <s v="ATA &amp; ATD updates"/>
    <d v="1899-12-30T01:00:00"/>
    <s v="TDR RENJIAN 23  V . 2439 // REEL"/>
    <s v="INMAA"/>
    <s v="Sasikala"/>
  </r>
  <r>
    <s v="Oct"/>
    <n v="43"/>
    <d v="2024-10-22T10:06:00"/>
    <d v="2024-10-22T10:26:00"/>
    <d v="1899-12-30T00:20:00"/>
    <s v="ON SLA"/>
    <s v="ATA &amp; ATD updates"/>
    <d v="1899-12-30T01:00:00"/>
    <s v="TDR - SSL GUJARAT V.161"/>
    <s v="INTUT"/>
    <s v="Sasikala"/>
  </r>
  <r>
    <s v="Oct"/>
    <n v="43"/>
    <d v="2024-10-22T18:45:00"/>
    <d v="2024-10-22T19:05:00"/>
    <d v="1899-12-30T00:20:00"/>
    <s v="ON SLA"/>
    <s v="ATA &amp; ATD updates"/>
    <d v="1899-12-30T01:00:00"/>
    <s v="REVISED  Booking 3x40 HC CTG TO  NOVOROSSIYSK, RUSSIA  A/C; RAJBARI JUTE MILLS LTD // SRR # RSBCA102400007"/>
    <s v="BDCGP"/>
    <s v="Sasikala"/>
  </r>
  <r>
    <s v="Oct"/>
    <n v="43"/>
    <d v="2024-10-24T13:26:00"/>
    <d v="2024-10-24T15:05:00"/>
    <d v="1899-12-30T01:39:00"/>
    <s v="OFF SLA"/>
    <s v="ATA &amp; ATD updates"/>
    <d v="1899-12-30T01:00:00"/>
    <s v="// TDR ////  SSL GUJARAT V. 161  /// INTUT - INMUN"/>
    <s v="INTUT"/>
    <s v="Sasikala"/>
  </r>
  <r>
    <s v="Oct"/>
    <n v="43"/>
    <d v="2024-10-24T14:19:00"/>
    <d v="2024-10-24T15:32:00"/>
    <d v="1899-12-30T01:13:00"/>
    <s v="OFF SLA"/>
    <s v="ATA &amp; ATD updates"/>
    <d v="1899-12-30T01:00:00"/>
    <s v="TDR // RE: SHIPMENT STATUS -  YANGON TO CHENNAI ON MV. ISEACO WISDOM / 133S // SRR # RSGFL102400002 // B # VX07MY24000019"/>
    <s v="INMAA"/>
    <s v="Sasikala"/>
  </r>
  <r>
    <s v="Oct"/>
    <n v="43"/>
    <d v="2024-10-24T13:05:00"/>
    <d v="2024-10-24T13:09:00"/>
    <d v="1899-12-30T00:04:00"/>
    <s v="ON SLA"/>
    <s v="ATA &amp; ATD updates"/>
    <d v="1899-12-30T01:00:00"/>
    <s v="RE: // TDR ////  SSL GUJARAT V. 161  /// INTUT - INMUN"/>
    <s v="INTUT"/>
    <s v="Sasikala"/>
  </r>
  <r>
    <s v="Oct"/>
    <n v="43"/>
    <d v="2024-10-24T12:48:00"/>
    <d v="2024-10-24T13:18:00"/>
    <d v="1899-12-30T00:30:00"/>
    <s v="ON SLA"/>
    <s v="ATA &amp; ATD updates"/>
    <d v="1899-12-30T01:00:00"/>
    <s v="TDR // RE: SHIPMENT STATUS -  YANGON TO CHENNAI ON MV. ISEACO WISDOM / 133S // SRR # RSGFL102400002 // B # VX07MY24000019"/>
    <s v="MMRGN"/>
    <s v="Sasikala"/>
  </r>
  <r>
    <s v="Oct"/>
    <n v="43"/>
    <d v="2024-10-25T15:44:00"/>
    <d v="2024-10-25T17:42:00"/>
    <d v="1899-12-30T01:58:00"/>
    <s v="OFF SLA"/>
    <s v="ATA &amp; ATD updates"/>
    <d v="1899-12-30T01:00:00"/>
    <s v="ARRIVAL REPORT FOR  EVER LEGION V.056E  ETA CMB  24.10.2024"/>
    <s v="LKCMB"/>
    <s v="Sasikala"/>
  </r>
  <r>
    <s v="Oct"/>
    <n v="43"/>
    <d v="2024-10-25T17:51:00"/>
    <d v="2024-10-25T18:11:00"/>
    <d v="1899-12-30T00:20:00"/>
    <s v="ON SLA"/>
    <s v="ATA &amp; ATD updates"/>
    <d v="1899-12-30T01:00:00"/>
    <s v=" EVER LEGION V.056E ETD CMB 25.10.2024"/>
    <s v="LKCMB"/>
    <s v="Sasikala"/>
  </r>
  <r>
    <s v="Oct"/>
    <n v="43"/>
    <d v="2024-10-26T16:51:00"/>
    <d v="2024-10-26T19:45:00"/>
    <d v="1899-12-30T02:54:00"/>
    <s v="OFF SLA"/>
    <s v="ATA &amp; ATD updates"/>
    <d v="1899-12-30T01:00:00"/>
    <s v="REEL SHIPPING ( SMR) 04X40'HC LADEN CNTRS TDR FOR  NOVOROSSIYSK   T/S VIA PKG-WEST ON VSL MV. FITZ ROY ,VOY--187E, SLD CGP DT- 24.10.2024 . EX : CGP-- MYWSP  and  FPOD  to  NOVOROSSIYK (RUSSIA)."/>
    <s v="BDCGP"/>
    <s v="Sasikala"/>
  </r>
  <r>
    <s v="Oct"/>
    <n v="44"/>
    <d v="2024-10-28T17:54:00"/>
    <d v="2024-10-28T18:00:00"/>
    <d v="1899-12-30T00:06:00"/>
    <s v="ON SLA"/>
    <s v="ATA &amp; ATD updates"/>
    <d v="1899-12-30T01:00:00"/>
    <s v="REEL SHIPPING ( SMR) 03X40'HC LADEN CNTRS TDR FOR  NOVOROSSIYSK   T/S VIA PKG-WEST ON VSL MV. SOL MALAYSIA ,VOY--2417S, SLD CGP DT- 28.10.2024 . EX : CGP-- MYWSP  and  FPOD  to  NOVOROSSIYK (RUSSIA)."/>
    <s v="BDCGP"/>
    <s v="Sasikala"/>
  </r>
  <r>
    <s v="Oct"/>
    <n v="44"/>
    <d v="2024-10-29T11:36:00"/>
    <d v="2024-10-29T12:23:00"/>
    <d v="1899-12-30T00:47:00"/>
    <s v="ON SLA"/>
    <s v="ATA &amp; ATD updates"/>
    <d v="1899-12-30T01:00:00"/>
    <s v="TDR// INTERASIA CATALYST V.  0046E"/>
    <s v="INMAA"/>
    <s v="Sasikala"/>
  </r>
  <r>
    <s v="Oct"/>
    <n v="44"/>
    <d v="2024-10-29T11:30:00"/>
    <d v="2024-10-29T12:25:00"/>
    <d v="1899-12-30T00:55:00"/>
    <s v="ON SLA"/>
    <s v="ATA &amp; ATD updates"/>
    <d v="1899-12-30T01:00:00"/>
    <s v="TDR// SNL HAIKOU V. 2408W "/>
    <s v="INMAA"/>
    <s v="Sasikala"/>
  </r>
  <r>
    <s v="Oct"/>
    <n v="44"/>
    <d v="2024-10-29T12:28:00"/>
    <d v="2024-10-29T14:55:00"/>
    <d v="1899-12-30T02:27:00"/>
    <s v="OFF SLA"/>
    <s v="ATA &amp; ATD updates"/>
    <d v="1899-12-30T01:00:00"/>
    <s v="TDR// SNL HAIKOU V. 2408W"/>
    <s v="INMAA"/>
    <s v="Sasikala"/>
  </r>
  <r>
    <s v="Nov"/>
    <n v="44"/>
    <d v="2024-11-01T10:45:00"/>
    <d v="2024-11-01T10:54:00"/>
    <d v="1899-12-30T00:09:00"/>
    <s v="ON SLA"/>
    <s v="ATA &amp; ATD updates"/>
    <d v="1899-12-30T01:00:00"/>
    <s v="TDR - SSL BHARAT V.164"/>
    <s v="INTUT"/>
    <s v="Sasikala"/>
  </r>
  <r>
    <s v="Nov"/>
    <n v="44"/>
    <d v="2024-11-01T10:47:00"/>
    <d v="2024-11-01T10:59:00"/>
    <d v="1899-12-30T00:12:00"/>
    <s v="ON SLA"/>
    <s v="ATA &amp; ATD updates"/>
    <d v="1899-12-30T01:00:00"/>
    <s v="DEPARTURE REPORT FOR 01X40HC LOADED  ON MOGRAL V.087W ETD CMB 01.11.2024"/>
    <s v="LKCMB"/>
    <s v="Sasikala"/>
  </r>
  <r>
    <s v="Nov"/>
    <n v="44"/>
    <d v="2024-11-01T14:23:00"/>
    <d v="2024-11-01T14:35:00"/>
    <d v="1899-12-30T00:12:00"/>
    <s v="ON SLA"/>
    <s v="ATA &amp; ATD updates"/>
    <d v="1899-12-30T01:00:00"/>
    <s v="TDR - SSL BHARAT V.164"/>
    <s v="INTUT"/>
    <s v="Sasikala"/>
  </r>
  <r>
    <s v="Nov"/>
    <n v="45"/>
    <d v="2024-11-06T15:16:00"/>
    <d v="2024-11-06T16:05:00"/>
    <d v="1899-12-30T00:49:00"/>
    <s v="ON SLA"/>
    <s v="ATA &amp; ATD updates"/>
    <d v="1899-12-30T01:00:00"/>
    <s v="REEL SHIPPING ( SMR) 02X40'HC LADEN CNTRS TDR FOR  NOVOROSSIYSK AND ST PETERSBURG   T/S VIA PKG-WEST ON VSL MV. SKY WIND ,VOY--051S, SLD CGP DT- 05.11.2024 . EX : CG"/>
    <s v="BDCGP"/>
    <s v="Sasikala"/>
  </r>
  <r>
    <s v="Nov"/>
    <n v="45"/>
    <d v="2024-11-07T17:40:00"/>
    <d v="2024-11-07T18:00:00"/>
    <d v="1899-12-30T00:20:00"/>
    <s v="ON SLA"/>
    <s v="ATA &amp; ATD updates"/>
    <d v="1899-12-30T01:00:00"/>
    <s v="// TDR ////  SSL GUJARAT V. 162  /// INTUT - INMUN"/>
    <s v="INTUT"/>
    <s v="Sasikala"/>
  </r>
  <r>
    <s v="Nov"/>
    <n v="46"/>
    <d v="2024-11-10T09:30:00"/>
    <d v="2024-11-11T10:45:00"/>
    <d v="1899-12-31T01:15:00"/>
    <s v="OFF SLA"/>
    <s v="ATA &amp; ATD updates"/>
    <d v="1899-12-30T01:00:00"/>
    <s v="DEPARTURE REPORT FOR 1X20 &amp; 1X40HC LOADED  ON SM KAVERI V.081W ETD CMB 08.11.2024"/>
    <s v="LKCMB"/>
    <s v="Sasikala"/>
  </r>
  <r>
    <s v="Nov"/>
    <n v="46"/>
    <d v="2024-11-11T18:12:00"/>
    <d v="2024-11-11T18:16:00"/>
    <d v="1899-12-30T00:04:00"/>
    <s v="ON SLA"/>
    <s v="ATA &amp; ATD updates"/>
    <d v="1899-12-30T01:00:00"/>
    <s v="VISAKHAPATNAM - TDR Status - SITC ZHAOMING / 2409E - B # VX74IV24000017,VX74IV24000018,VX74IV24000019,VX74IV24000020,VX74IV24000021,VX74IV24000022,VX74IV24000023 &amp; VX74IV24000025"/>
    <s v="INVIZ"/>
    <s v="Sasikala"/>
  </r>
  <r>
    <s v="Nov"/>
    <n v="47"/>
    <d v="2024-11-22T16:22:00"/>
    <d v="2024-11-22T16:25:00"/>
    <d v="1899-12-30T00:03:00"/>
    <s v="ON SLA"/>
    <s v="ATA &amp; ATD updates"/>
    <d v="1899-12-30T01:00:00"/>
    <s v="ARRIVAL REPORT FOR X-PRESS CAPELLA V.24007E ETA CMB 20.11.2024"/>
    <s v="LKCMB"/>
    <s v="Sasikala"/>
  </r>
  <r>
    <s v="Nov"/>
    <n v="48"/>
    <d v="2024-11-28T10:21:00"/>
    <d v="2024-11-28T15:33:00"/>
    <d v="1899-12-30T05:12:00"/>
    <s v="OFF SLA"/>
    <s v="ATA &amp; ATD updates"/>
    <d v="1899-12-30T01:00:00"/>
    <s v="AR//M.V.SM KAVERI V 0082E ATA 27-11-2024"/>
    <s v="INVIZ"/>
    <s v="Sasikala"/>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45"/>
    <d v="2024-11-07T12:18:00"/>
    <d v="2024-11-07T12:42:00"/>
    <d v="1899-12-30T00:24:00"/>
    <x v="0"/>
    <x v="0"/>
    <d v="1899-12-30T02:00:00"/>
    <s v="ARRIVAL REPORT FOR -ZHONG GU NAN NING V.2406E ETA CMB 06.11.2024"/>
    <s v="LKCMB"/>
    <s v="Yuvaraj"/>
  </r>
  <r>
    <x v="0"/>
    <n v="45"/>
    <d v="2024-11-07T12:50:00"/>
    <d v="2024-11-07T14:28:00"/>
    <d v="1899-12-30T01:38:00"/>
    <x v="0"/>
    <x v="0"/>
    <d v="1899-12-30T02:00:00"/>
    <s v="Arrival Report SM MANALI 0047  // REEL"/>
    <s v="INMAA"/>
    <s v="Yuvaraj"/>
  </r>
  <r>
    <x v="0"/>
    <n v="45"/>
    <d v="2024-11-07T15:15:00"/>
    <d v="2024-11-07T15:25:00"/>
    <d v="1899-12-30T00:10:00"/>
    <x v="0"/>
    <x v="0"/>
    <d v="1899-12-30T02:00:00"/>
    <s v="ARRIVAL REPORT FOR -ZHONG GU NAN NING V.2406E ETA CMB 06.11.2024"/>
    <s v="LKCMB"/>
    <s v="Yuvaraj"/>
  </r>
  <r>
    <x v="0"/>
    <n v="45"/>
    <d v="2024-11-08T12:55:00"/>
    <d v="2024-11-08T13:35:00"/>
    <d v="1899-12-30T00:40:00"/>
    <x v="0"/>
    <x v="0"/>
    <d v="1899-12-30T02:00:00"/>
    <s v="ARRIVAL REPORT SOL STRIDE V. 2416N //INCCU DISCHARGE A/C VUXX"/>
    <s v="INCCU"/>
    <s v="Yuvaraj"/>
  </r>
  <r>
    <x v="0"/>
    <n v="46"/>
    <d v="2024-11-08T19:01:00"/>
    <d v="2024-11-11T09:27:00"/>
    <d v="1900-01-01T14:26:00"/>
    <x v="1"/>
    <x v="0"/>
    <d v="1899-12-30T02:00:00"/>
    <s v="ARRIVAL REPORT SOL STRIDE V. 2416N //INCCU DISCHARGE A/C VUXX"/>
    <s v="INCCU"/>
    <s v="Yuvaraj"/>
  </r>
  <r>
    <x v="0"/>
    <n v="46"/>
    <d v="2024-11-14T11:53:00"/>
    <d v="2024-11-14T12:38:00"/>
    <d v="1899-12-30T00:45:00"/>
    <x v="0"/>
    <x v="0"/>
    <d v="1899-12-30T02:00:00"/>
    <s v="RE: Arrival Report SM MAHI 0075E  // REEL"/>
    <s v="INMAA"/>
    <s v="Yuvaraj"/>
  </r>
  <r>
    <x v="0"/>
    <n v="46"/>
    <d v="2024-11-14T15:53:00"/>
    <d v="2024-11-14T15:59:00"/>
    <d v="1899-12-30T00:06:00"/>
    <x v="0"/>
    <x v="0"/>
    <d v="1899-12-30T02:00:00"/>
    <s v="RE: Arrival Report X PRESS KAILASH V.1883W // REEL"/>
    <s v="INMAA"/>
    <s v="Yuvaraj"/>
  </r>
  <r>
    <x v="0"/>
    <n v="46"/>
    <d v="2024-11-15T13:12:00"/>
    <d v="2024-11-15T16:27:00"/>
    <d v="1899-12-30T03:15:00"/>
    <x v="1"/>
    <x v="0"/>
    <d v="1899-12-30T02:00:00"/>
    <s v="RE: Arrival Report X PRESS KAILASH V.1883W // REEL"/>
    <s v="INMAA"/>
    <s v="Yuvaraj"/>
  </r>
  <r>
    <x v="0"/>
    <n v="47"/>
    <d v="2024-11-23T11:33:00"/>
    <d v="2024-11-23T14:46:00"/>
    <d v="1899-12-30T03:13:00"/>
    <x v="1"/>
    <x v="0"/>
    <d v="1899-12-30T02:00:00"/>
    <s v="RE: AR /// AS ALEXANDRIA / 2417 /// 10 X 40HC - LADEN"/>
    <s v="INTUT"/>
    <s v="Yuvaraj"/>
  </r>
  <r>
    <x v="0"/>
    <n v="48"/>
    <d v="2024-11-27T11:03:00"/>
    <d v="2024-11-27T11:28:00"/>
    <d v="1899-12-30T00:25:00"/>
    <x v="0"/>
    <x v="0"/>
    <d v="1899-12-30T02:00:00"/>
    <s v="RE:  Arrival Report SM KAVERI V0082 // REEL"/>
    <s v="INMAA"/>
    <s v="Yuvaraj"/>
  </r>
  <r>
    <x v="0"/>
    <n v="48"/>
    <d v="2024-11-28T10:56:00"/>
    <d v="2024-11-28T11:03:00"/>
    <d v="1899-12-30T00:07:00"/>
    <x v="0"/>
    <x v="0"/>
    <d v="1899-12-30T02:00:00"/>
    <s v="RE: AR - SCI CHENNAI V.2414"/>
    <s v="INCOK"/>
    <s v="Yuvaraj"/>
  </r>
  <r>
    <x v="0"/>
    <n v="48"/>
    <d v="2024-11-29T10:06:00"/>
    <d v="2024-11-29T12:23:00"/>
    <d v="1899-12-30T02:17:00"/>
    <x v="1"/>
    <x v="0"/>
    <d v="1899-12-30T02:00:00"/>
    <s v="RE: AR - SCI CHENNAI V.2414"/>
    <s v="INMUN"/>
    <s v="Yuvaraj"/>
  </r>
  <r>
    <x v="1"/>
    <n v="40"/>
    <d v="2024-10-04T22:41:00"/>
    <d v="2024-10-05T19:10:00"/>
    <d v="1899-12-30T20:29:00"/>
    <x v="1"/>
    <x v="0"/>
    <d v="1899-12-30T02:00:00"/>
    <s v="Arrival Report SSL SABARIMALAI 157 // REEL"/>
    <s v="INMAA"/>
    <s v="Sasikala"/>
  </r>
  <r>
    <x v="1"/>
    <n v="41"/>
    <d v="2024-10-09T17:48:00"/>
    <d v="2024-10-09T18:16:00"/>
    <d v="1899-12-30T00:28:00"/>
    <x v="0"/>
    <x v="0"/>
    <d v="1899-12-30T02:00:00"/>
    <s v="Arrival Report SSL THAMIRABARANI V. 050 // REEL"/>
    <s v="INMAA"/>
    <s v="Sasikala"/>
  </r>
  <r>
    <x v="1"/>
    <n v="41"/>
    <d v="2024-10-10T14:44:00"/>
    <d v="2024-10-10T14:54:00"/>
    <d v="1899-12-30T00:10:00"/>
    <x v="0"/>
    <x v="0"/>
    <d v="1899-12-30T02:00:00"/>
    <s v="AR - SCI CHENNAI V.2411"/>
    <s v="INCOK"/>
    <s v="Sasikala"/>
  </r>
  <r>
    <x v="1"/>
    <n v="42"/>
    <d v="2024-10-13T10:20:00"/>
    <d v="2024-10-13T18:50:00"/>
    <d v="1899-12-30T08:30:00"/>
    <x v="1"/>
    <x v="0"/>
    <d v="1899-12-30T02:00:00"/>
    <s v="Arrival Report  SITC HAIPHONG V.2436W  // REEL"/>
    <s v="INMAA"/>
    <s v="Sasikala"/>
  </r>
  <r>
    <x v="1"/>
    <n v="42"/>
    <d v="2024-10-14T09:08:00"/>
    <d v="2024-10-14T10:53:00"/>
    <d v="1899-12-30T01:45:00"/>
    <x v="0"/>
    <x v="0"/>
    <d v="1899-12-30T02:00:00"/>
    <s v="Arrival Report CELSIUS EINDHOVEN / 005  // REEL"/>
    <s v="INMAA"/>
    <s v="Sasikala"/>
  </r>
  <r>
    <x v="1"/>
    <n v="42"/>
    <d v="2024-10-13T21:24:00"/>
    <d v="2024-10-14T11:00:00"/>
    <d v="1899-12-30T13:36:00"/>
    <x v="1"/>
    <x v="0"/>
    <d v="1899-12-30T02:00:00"/>
    <s v="Arrival Report  SITC HAIPHONG V.2436W  // REEL"/>
    <s v="INMAA"/>
    <s v="Sasikala"/>
  </r>
  <r>
    <x v="1"/>
    <n v="42"/>
    <d v="2024-10-13T19:15:00"/>
    <d v="2024-10-14T12:12:00"/>
    <d v="1899-12-30T16:57:00"/>
    <x v="1"/>
    <x v="0"/>
    <d v="1899-12-30T02:00:00"/>
    <s v="Arrival Report SM MANALI 0046  // REEL"/>
    <s v="INKAT"/>
    <s v="Sasikala"/>
  </r>
  <r>
    <x v="1"/>
    <n v="42"/>
    <d v="2024-10-14T14:03:00"/>
    <d v="2024-10-14T14:56:00"/>
    <d v="1899-12-30T00:53:00"/>
    <x v="0"/>
    <x v="0"/>
    <d v="1899-12-30T02:00:00"/>
    <s v="Arrival Report SM MANALI 0046  // REEL"/>
    <s v="INKAT"/>
    <s v="Sasikala"/>
  </r>
  <r>
    <x v="1"/>
    <n v="42"/>
    <d v="2024-10-14T18:15:00"/>
    <d v="2024-10-14T18:20:00"/>
    <d v="1899-12-30T00:05:00"/>
    <x v="0"/>
    <x v="0"/>
    <d v="1899-12-30T02:00:00"/>
    <s v="AR // INVTZ // MV SM MANALI V-0046W // ETA:10-10-2024"/>
    <s v="INVIZ"/>
    <s v="Sasikala"/>
  </r>
  <r>
    <x v="1"/>
    <n v="43"/>
    <d v="2024-10-23T06:58:00"/>
    <d v="2024-10-23T10:20:00"/>
    <d v="1899-12-30T03:22:00"/>
    <x v="1"/>
    <x v="0"/>
    <d v="1899-12-30T02:00:00"/>
    <s v="Arrival Report  MOGRAL 0087  // REEL"/>
    <s v="INMAA"/>
    <s v="Sasikala"/>
  </r>
  <r>
    <x v="1"/>
    <n v="43"/>
    <d v="2024-10-23T18:34:00"/>
    <d v="2024-10-23T18:47:00"/>
    <d v="1899-12-30T00:13:00"/>
    <x v="0"/>
    <x v="0"/>
    <d v="1899-12-30T02:00:00"/>
    <s v="Arrival Report  MOGRAL 0087  // REEL"/>
    <s v="INMAA"/>
    <s v="Sasikala"/>
  </r>
  <r>
    <x v="1"/>
    <n v="44"/>
    <d v="2024-10-25T19:32:00"/>
    <d v="2024-10-27T11:37:00"/>
    <d v="1899-12-31T16:05:00"/>
    <x v="1"/>
    <x v="0"/>
    <d v="1899-12-30T02:00:00"/>
    <s v="ARRIVAL REPORT FOR  EVER LEGION V.056E  ETA CMB  24.10.2024"/>
    <s v="LKCMB"/>
    <s v="Sasikala"/>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9">
  <r>
    <x v="0"/>
    <n v="45"/>
    <d v="2024-11-07T12:18:00"/>
    <d v="2024-11-07T12:42:00"/>
    <x v="0"/>
    <x v="0"/>
    <x v="0"/>
    <d v="1899-12-30T02:00:00"/>
    <s v="ARRIVAL REPORT FOR -ZHONG GU NAN NING V.2406E ETA CMB 06.11.2024"/>
    <x v="0"/>
    <x v="0"/>
    <m/>
  </r>
  <r>
    <x v="0"/>
    <n v="45"/>
    <d v="2024-11-07T12:50:00"/>
    <d v="2024-11-07T14:28:00"/>
    <x v="1"/>
    <x v="0"/>
    <x v="0"/>
    <d v="1899-12-30T02:00:00"/>
    <s v="Arrival Report SM MANALI 0047  // REEL"/>
    <x v="1"/>
    <x v="0"/>
    <m/>
  </r>
  <r>
    <x v="0"/>
    <n v="45"/>
    <d v="2024-11-07T15:15:00"/>
    <d v="2024-11-07T15:25:00"/>
    <x v="2"/>
    <x v="0"/>
    <x v="0"/>
    <d v="1899-12-30T02:00:00"/>
    <s v="ARRIVAL REPORT FOR -ZHONG GU NAN NING V.2406E ETA CMB 06.11.2024"/>
    <x v="0"/>
    <x v="0"/>
    <m/>
  </r>
  <r>
    <x v="0"/>
    <n v="45"/>
    <d v="2024-11-08T12:55:00"/>
    <d v="2024-11-08T13:35:00"/>
    <x v="3"/>
    <x v="0"/>
    <x v="0"/>
    <d v="1899-12-30T02:00:00"/>
    <s v="ARRIVAL REPORT SOL STRIDE V. 2416N //INCCU DISCHARGE A/C VUXX"/>
    <x v="2"/>
    <x v="0"/>
    <m/>
  </r>
  <r>
    <x v="0"/>
    <n v="46"/>
    <d v="2024-11-08T19:01:00"/>
    <d v="2024-11-11T09:27:00"/>
    <x v="4"/>
    <x v="1"/>
    <x v="0"/>
    <d v="1899-12-30T02:00:00"/>
    <s v="ARRIVAL REPORT SOL STRIDE V. 2416N //INCCU DISCHARGE A/C VUXX"/>
    <x v="2"/>
    <x v="0"/>
    <m/>
  </r>
  <r>
    <x v="0"/>
    <n v="46"/>
    <d v="2024-11-14T11:53:00"/>
    <d v="2024-11-14T12:38:00"/>
    <x v="5"/>
    <x v="0"/>
    <x v="0"/>
    <d v="1899-12-30T02:00:00"/>
    <s v="RE: Arrival Report SM MAHI 0075E  // REEL"/>
    <x v="1"/>
    <x v="0"/>
    <m/>
  </r>
  <r>
    <x v="0"/>
    <n v="46"/>
    <d v="2024-11-14T15:53:00"/>
    <d v="2024-11-14T15:59:00"/>
    <x v="6"/>
    <x v="0"/>
    <x v="0"/>
    <d v="1899-12-30T02:00:00"/>
    <s v="RE: Arrival Report X PRESS KAILASH V.1883W // REEL"/>
    <x v="1"/>
    <x v="0"/>
    <m/>
  </r>
  <r>
    <x v="0"/>
    <n v="46"/>
    <d v="2024-11-15T13:12:00"/>
    <d v="2024-11-15T16:27:00"/>
    <x v="7"/>
    <x v="1"/>
    <x v="0"/>
    <d v="1899-12-30T02:00:00"/>
    <s v="RE: Arrival Report X PRESS KAILASH V.1883W // REEL"/>
    <x v="1"/>
    <x v="0"/>
    <m/>
  </r>
  <r>
    <x v="0"/>
    <n v="47"/>
    <d v="2024-11-23T11:33:00"/>
    <d v="2024-11-23T14:46:00"/>
    <x v="8"/>
    <x v="1"/>
    <x v="0"/>
    <d v="1899-12-30T02:00:00"/>
    <s v="RE: AR /// AS ALEXANDRIA / 2417 /// 10 X 40HC - LADEN"/>
    <x v="3"/>
    <x v="0"/>
    <m/>
  </r>
  <r>
    <x v="0"/>
    <n v="48"/>
    <d v="2024-11-27T11:03:00"/>
    <d v="2024-11-27T11:28:00"/>
    <x v="9"/>
    <x v="0"/>
    <x v="0"/>
    <d v="1899-12-30T02:00:00"/>
    <s v="RE:  Arrival Report SM KAVERI V0082 // REEL"/>
    <x v="1"/>
    <x v="0"/>
    <m/>
  </r>
  <r>
    <x v="0"/>
    <n v="48"/>
    <d v="2024-11-28T10:56:00"/>
    <d v="2024-11-28T11:03:00"/>
    <x v="10"/>
    <x v="0"/>
    <x v="0"/>
    <d v="1899-12-30T02:00:00"/>
    <s v="RE: AR - SCI CHENNAI V.2414"/>
    <x v="4"/>
    <x v="0"/>
    <m/>
  </r>
  <r>
    <x v="0"/>
    <n v="48"/>
    <d v="2024-11-29T10:06:00"/>
    <d v="2024-11-29T12:23:00"/>
    <x v="11"/>
    <x v="1"/>
    <x v="0"/>
    <d v="1899-12-30T02:00:00"/>
    <s v="RE: AR - SCI CHENNAI V.2414"/>
    <x v="5"/>
    <x v="0"/>
    <m/>
  </r>
  <r>
    <x v="1"/>
    <n v="40"/>
    <d v="2024-10-04T22:41:00"/>
    <d v="2024-10-05T19:10:00"/>
    <x v="12"/>
    <x v="1"/>
    <x v="0"/>
    <d v="1899-12-30T02:00:00"/>
    <s v="Arrival Report SSL SABARIMALAI 157 // REEL"/>
    <x v="1"/>
    <x v="1"/>
    <m/>
  </r>
  <r>
    <x v="1"/>
    <n v="41"/>
    <d v="2024-10-09T17:48:00"/>
    <d v="2024-10-09T18:16:00"/>
    <x v="13"/>
    <x v="0"/>
    <x v="0"/>
    <d v="1899-12-30T02:00:00"/>
    <s v="Arrival Report SSL THAMIRABARANI V. 050 // REEL"/>
    <x v="1"/>
    <x v="1"/>
    <m/>
  </r>
  <r>
    <x v="1"/>
    <n v="41"/>
    <d v="2024-10-10T14:44:00"/>
    <d v="2024-10-10T14:54:00"/>
    <x v="2"/>
    <x v="0"/>
    <x v="0"/>
    <d v="1899-12-30T02:00:00"/>
    <s v="AR - SCI CHENNAI V.2411"/>
    <x v="4"/>
    <x v="1"/>
    <m/>
  </r>
  <r>
    <x v="1"/>
    <n v="42"/>
    <d v="2024-10-13T10:20:00"/>
    <d v="2024-10-13T18:50:00"/>
    <x v="14"/>
    <x v="1"/>
    <x v="0"/>
    <d v="1899-12-30T02:00:00"/>
    <s v="Arrival Report  SITC HAIPHONG V.2436W  // REEL"/>
    <x v="1"/>
    <x v="1"/>
    <m/>
  </r>
  <r>
    <x v="1"/>
    <n v="42"/>
    <d v="2024-10-14T09:08:00"/>
    <d v="2024-10-14T10:53:00"/>
    <x v="15"/>
    <x v="0"/>
    <x v="0"/>
    <d v="1899-12-30T02:00:00"/>
    <s v="Arrival Report CELSIUS EINDHOVEN / 005  // REEL"/>
    <x v="1"/>
    <x v="1"/>
    <m/>
  </r>
  <r>
    <x v="1"/>
    <n v="42"/>
    <d v="2024-10-13T21:24:00"/>
    <d v="2024-10-14T11:00:00"/>
    <x v="16"/>
    <x v="1"/>
    <x v="0"/>
    <d v="1899-12-30T02:00:00"/>
    <s v="Arrival Report  SITC HAIPHONG V.2436W  // REEL"/>
    <x v="1"/>
    <x v="1"/>
    <m/>
  </r>
  <r>
    <x v="1"/>
    <n v="42"/>
    <d v="2024-10-13T19:15:00"/>
    <d v="2024-10-14T12:12:00"/>
    <x v="17"/>
    <x v="1"/>
    <x v="0"/>
    <d v="1899-12-30T02:00:00"/>
    <s v="Arrival Report SM MANALI 0046  // REEL"/>
    <x v="6"/>
    <x v="1"/>
    <m/>
  </r>
  <r>
    <x v="1"/>
    <n v="42"/>
    <d v="2024-10-14T14:03:00"/>
    <d v="2024-10-14T14:56:00"/>
    <x v="18"/>
    <x v="0"/>
    <x v="0"/>
    <d v="1899-12-30T02:00:00"/>
    <s v="Arrival Report SM MANALI 0046  // REEL"/>
    <x v="6"/>
    <x v="1"/>
    <m/>
  </r>
  <r>
    <x v="1"/>
    <n v="42"/>
    <d v="2024-10-14T18:15:00"/>
    <d v="2024-10-14T18:20:00"/>
    <x v="19"/>
    <x v="0"/>
    <x v="0"/>
    <d v="1899-12-30T02:00:00"/>
    <s v="AR // INVTZ // MV SM MANALI V-0046W // ETA:10-10-2024"/>
    <x v="7"/>
    <x v="1"/>
    <m/>
  </r>
  <r>
    <x v="1"/>
    <n v="43"/>
    <d v="2024-10-23T06:58:00"/>
    <d v="2024-10-23T10:20:00"/>
    <x v="20"/>
    <x v="1"/>
    <x v="0"/>
    <d v="1899-12-30T02:00:00"/>
    <s v="Arrival Report  MOGRAL 0087  // REEL"/>
    <x v="1"/>
    <x v="1"/>
    <m/>
  </r>
  <r>
    <x v="1"/>
    <n v="43"/>
    <d v="2024-10-23T18:34:00"/>
    <d v="2024-10-23T18:47:00"/>
    <x v="21"/>
    <x v="0"/>
    <x v="0"/>
    <d v="1899-12-30T02:00:00"/>
    <s v="Arrival Report  MOGRAL 0087  // REEL"/>
    <x v="1"/>
    <x v="1"/>
    <m/>
  </r>
  <r>
    <x v="1"/>
    <n v="44"/>
    <d v="2024-10-25T19:32:00"/>
    <d v="2024-10-27T11:37:00"/>
    <x v="22"/>
    <x v="1"/>
    <x v="0"/>
    <d v="1899-12-30T02:00:00"/>
    <s v="ARRIVAL REPORT FOR  EVER LEGION V.056E  ETA CMB  24.10.2024"/>
    <x v="0"/>
    <x v="1"/>
    <m/>
  </r>
  <r>
    <x v="0"/>
    <n v="45"/>
    <d v="2024-11-03T16:47:00"/>
    <d v="2024-11-04T11:03:00"/>
    <x v="23"/>
    <x v="1"/>
    <x v="1"/>
    <d v="1899-12-30T02:00:00"/>
    <s v="TDR - MOGRAL V.0087W"/>
    <x v="4"/>
    <x v="0"/>
    <m/>
  </r>
  <r>
    <x v="0"/>
    <n v="45"/>
    <d v="2024-11-04T12:45:00"/>
    <d v="2024-11-04T12:52:00"/>
    <x v="10"/>
    <x v="0"/>
    <x v="1"/>
    <d v="1899-12-30T02:00:00"/>
    <s v="RE: TDR Vessel NAVIOS UTMOST / 001E  (6358) // B # VX87II24000031, VX87II24000032, VX87II24000065,VX87II24000074, VX87II24000075, VX87II24000080, VX87II24000081 &amp; VX87II24000085"/>
    <x v="1"/>
    <x v="0"/>
    <m/>
  </r>
  <r>
    <x v="0"/>
    <n v="45"/>
    <d v="2024-11-04T13:14:00"/>
    <d v="2024-11-04T13:20:00"/>
    <x v="6"/>
    <x v="0"/>
    <x v="1"/>
    <d v="1899-12-30T02:00:00"/>
    <s v="RE: // TDR ////  SSL BHARAT V. 164  /// INTUT - INMUN"/>
    <x v="3"/>
    <x v="0"/>
    <m/>
  </r>
  <r>
    <x v="0"/>
    <n v="45"/>
    <d v="2024-11-04T14:55:00"/>
    <d v="2024-11-04T15:07:00"/>
    <x v="24"/>
    <x v="0"/>
    <x v="1"/>
    <d v="1899-12-30T02:00:00"/>
    <s v="RE: INCCU (KOLKATA // TDR // FSL SINGAPOE 104E  // VUXX"/>
    <x v="2"/>
    <x v="0"/>
    <m/>
  </r>
  <r>
    <x v="0"/>
    <n v="45"/>
    <d v="2024-11-05T09:50:00"/>
    <d v="2024-11-05T10:57:00"/>
    <x v="25"/>
    <x v="0"/>
    <x v="1"/>
    <d v="1899-12-30T02:00:00"/>
    <s v="TDR Vessel NAVIOS UTMOST / 001E  (6358) // "/>
    <x v="1"/>
    <x v="0"/>
    <m/>
  </r>
  <r>
    <x v="0"/>
    <n v="45"/>
    <d v="2024-11-06T16:42:00"/>
    <d v="2024-11-06T17:24:00"/>
    <x v="26"/>
    <x v="0"/>
    <x v="1"/>
    <d v="1899-12-30T02:00:00"/>
    <s v="REEL SHIPPING ( SMR) 02X40'HC LADEN CNTRS TDR FOR NOVOROSSIYSK AND ST PETERSBURG T/S VIA PKG-WEST ON VSL MV. SKY WIND"/>
    <x v="8"/>
    <x v="0"/>
    <m/>
  </r>
  <r>
    <x v="0"/>
    <n v="46"/>
    <d v="2024-11-12T09:10:00"/>
    <d v="2024-11-12T12:02:00"/>
    <x v="27"/>
    <x v="1"/>
    <x v="1"/>
    <d v="1899-12-30T02:00:00"/>
    <s v="RE: VISAKHAPATNAM - TDR Status - SITC ZHAOMING / 2409E - B # VX74IV24000017"/>
    <x v="9"/>
    <x v="0"/>
    <m/>
  </r>
  <r>
    <x v="0"/>
    <n v="46"/>
    <d v="2024-11-04T11:03:00"/>
    <d v="2024-11-12T13:54:00"/>
    <x v="28"/>
    <x v="0"/>
    <x v="1"/>
    <d v="1899-12-30T02:00:00"/>
    <s v="RE: TDR - MOGRVarun Pahelwani  &lt;varun.pahelwani@gilshipping.com&gt;AL V.0087W"/>
    <x v="4"/>
    <x v="0"/>
    <m/>
  </r>
  <r>
    <x v="0"/>
    <n v="46"/>
    <d v="2024-11-13T21:17:00"/>
    <d v="2024-11-13T22:10:00"/>
    <x v="18"/>
    <x v="0"/>
    <x v="1"/>
    <d v="1899-12-30T02:00:00"/>
    <s v="RE: INCCU (KOLKATA // TDR // MTT SAMALAJU 24018S // VUXX"/>
    <x v="2"/>
    <x v="0"/>
    <m/>
  </r>
  <r>
    <x v="0"/>
    <n v="46"/>
    <d v="2024-11-13T22:05:00"/>
    <d v="2024-11-13T22:15:00"/>
    <x v="2"/>
    <x v="0"/>
    <x v="1"/>
    <d v="1899-12-30T02:00:00"/>
    <s v="RE: Chennai - TDR Status - Vessel SYNERGY KEELUNG / 019E  (6445)"/>
    <x v="1"/>
    <x v="0"/>
    <m/>
  </r>
  <r>
    <x v="0"/>
    <n v="46"/>
    <d v="2024-11-14T13:10:00"/>
    <d v="2024-11-14T13:18:00"/>
    <x v="29"/>
    <x v="0"/>
    <x v="1"/>
    <d v="1899-12-30T02:00:00"/>
    <s v="RE: CHITTAGONG - TDR Request &amp; Shipment Status // Vessel GREEN EARTH / OF24037S  (6407) ]"/>
    <x v="8"/>
    <x v="0"/>
    <m/>
  </r>
  <r>
    <x v="0"/>
    <n v="46"/>
    <d v="2024-11-14T13:22:00"/>
    <d v="2024-11-14T14:35:00"/>
    <x v="30"/>
    <x v="0"/>
    <x v="1"/>
    <d v="1899-12-30T02:00:00"/>
    <s v="RE: INCCU (KOLKATA // TDR // MTT SAMALAJU 24018S // VUXX"/>
    <x v="2"/>
    <x v="0"/>
    <m/>
  </r>
  <r>
    <x v="0"/>
    <n v="46"/>
    <d v="2024-11-14T14:36:00"/>
    <d v="2024-11-14T14:43:00"/>
    <x v="10"/>
    <x v="0"/>
    <x v="1"/>
    <d v="1899-12-30T02:00:00"/>
    <s v="RE: CHITTAGONG - TDR Request &amp; Shipment Status // Vessel GREEN EARTH / OF24037S  (6407) // B # VX98BH24000015, VX98BH24000016, VX98BH24000025 &amp; VX98BH24000026"/>
    <x v="8"/>
    <x v="0"/>
    <m/>
  </r>
  <r>
    <x v="0"/>
    <n v="46"/>
    <d v="2024-11-14T14:28:00"/>
    <d v="2024-11-14T14:50:00"/>
    <x v="31"/>
    <x v="0"/>
    <x v="1"/>
    <d v="1899-12-30T02:00:00"/>
    <s v="RE: VISAKHAPATNAM - TDR Status - TS VANCOUVER / 24008E -"/>
    <x v="9"/>
    <x v="0"/>
    <m/>
  </r>
  <r>
    <x v="0"/>
    <n v="46"/>
    <d v="2024-11-14T15:00:00"/>
    <d v="2024-11-14T15:07:00"/>
    <x v="10"/>
    <x v="0"/>
    <x v="1"/>
    <d v="1899-12-30T02:00:00"/>
    <s v="CHITTAGONG - TDR Request &amp; Shipment Status // Vessel GREEN EARTH / OF24037S  (6407) //"/>
    <x v="8"/>
    <x v="0"/>
    <m/>
  </r>
  <r>
    <x v="0"/>
    <n v="46"/>
    <d v="2024-11-14T15:01:00"/>
    <d v="2024-11-14T15:28:00"/>
    <x v="32"/>
    <x v="0"/>
    <x v="1"/>
    <d v="1899-12-30T02:00:00"/>
    <s v="VISAKHAPATNAM - TDR Status - TS VANCOUVER / 24008E"/>
    <x v="9"/>
    <x v="0"/>
    <m/>
  </r>
  <r>
    <x v="0"/>
    <n v="46"/>
    <d v="2024-11-15T10:58:00"/>
    <d v="2024-11-15T11:09:00"/>
    <x v="33"/>
    <x v="0"/>
    <x v="1"/>
    <d v="1899-12-30T02:00:00"/>
    <s v="RE: DEPARTURE REPORT FOR  1X40HC LOADED  ON SM MANALI V.047W ETD CMB 14 .11.2024"/>
    <x v="0"/>
    <x v="0"/>
    <m/>
  </r>
  <r>
    <x v="0"/>
    <n v="46"/>
    <d v="2024-11-16T11:46:00"/>
    <d v="2024-11-16T17:40:00"/>
    <x v="34"/>
    <x v="1"/>
    <x v="1"/>
    <d v="1899-12-30T02:00:00"/>
    <s v="Re: TDR - SM MANALI V.0047E"/>
    <x v="1"/>
    <x v="0"/>
    <m/>
  </r>
  <r>
    <x v="0"/>
    <n v="47"/>
    <d v="2024-11-19T00:13:00"/>
    <d v="2024-11-19T00:36:00"/>
    <x v="35"/>
    <x v="0"/>
    <x v="1"/>
    <d v="1899-12-30T02:00:00"/>
    <s v="URGNET //  TDR - SM MANALI V.047W // B # VX89II24000041 &amp; VX89II24000042"/>
    <x v="4"/>
    <x v="0"/>
    <m/>
  </r>
  <r>
    <x v="0"/>
    <n v="47"/>
    <d v="2024-11-20T10:27:00"/>
    <d v="2024-11-20T10:30:00"/>
    <x v="36"/>
    <x v="0"/>
    <x v="1"/>
    <d v="1899-12-30T02:00:00"/>
    <s v="RE: TUTICORIN - TDR &amp; Shipment Status for SSL GUJARAT / 163  (6610)"/>
    <x v="3"/>
    <x v="0"/>
    <m/>
  </r>
  <r>
    <x v="0"/>
    <n v="47"/>
    <d v="2024-11-21T10:30:00"/>
    <d v="2024-11-21T12:10:00"/>
    <x v="37"/>
    <x v="0"/>
    <x v="1"/>
    <d v="1899-12-30T02:00:00"/>
    <s v="RE: INCCU (KOLKATA // TDR //  X PRESS IRAWADDY 24016S  // VUXX"/>
    <x v="2"/>
    <x v="0"/>
    <m/>
  </r>
  <r>
    <x v="0"/>
    <n v="47"/>
    <d v="2024-11-22T11:42:00"/>
    <d v="2024-11-22T12:04:00"/>
    <x v="31"/>
    <x v="0"/>
    <x v="1"/>
    <d v="1899-12-30T02:00:00"/>
    <s v="RE: TUTICORIN - TDR &amp; Shipment Status for SSL GUJARAT / 163  (6610)"/>
    <x v="3"/>
    <x v="0"/>
    <m/>
  </r>
  <r>
    <x v="0"/>
    <n v="47"/>
    <d v="2024-11-23T13:30:00"/>
    <d v="2024-11-23T14:14:00"/>
    <x v="38"/>
    <x v="0"/>
    <x v="1"/>
    <d v="1899-12-30T02:00:00"/>
    <s v="RE: // TDR ////  SSL GUJARAT V. 163  /// INTUT - INMUN"/>
    <x v="3"/>
    <x v="0"/>
    <m/>
  </r>
  <r>
    <x v="0"/>
    <n v="48"/>
    <d v="2024-11-27T10:57:00"/>
    <d v="2024-11-27T11:18:00"/>
    <x v="39"/>
    <x v="0"/>
    <x v="1"/>
    <d v="1899-12-30T02:00:00"/>
    <s v="RE: TDR - Vessel  ZHONG GU LIN YI V.  24009E   // INMAA TO RUNVS/RULES//SAILED 26-11-2024"/>
    <x v="1"/>
    <x v="0"/>
    <m/>
  </r>
  <r>
    <x v="0"/>
    <n v="48"/>
    <d v="2024-11-27T11:39:00"/>
    <d v="2024-11-27T12:07:00"/>
    <x v="13"/>
    <x v="0"/>
    <x v="1"/>
    <d v="1899-12-30T02:00:00"/>
    <s v="RE: MYANMAR - TDR &amp; Shipment Status for XO LUCKY / 24009W  (6496) // B # VX07MY24000022 &amp; VX07MY24000023"/>
    <x v="10"/>
    <x v="0"/>
    <m/>
  </r>
  <r>
    <x v="0"/>
    <n v="48"/>
    <d v="2024-11-28T09:18:00"/>
    <d v="2024-11-28T12:31:00"/>
    <x v="8"/>
    <x v="1"/>
    <x v="1"/>
    <d v="1899-12-30T02:00:00"/>
    <s v="RE: LRR FROM YANGON TO CHENNAI, INDIA ON MV. TCI ARJUN V. 100262024, ETD YGN : 30 NOV 2024 // DIRECT SVC // SRR # RSGFL112400002 "/>
    <x v="10"/>
    <x v="0"/>
    <m/>
  </r>
  <r>
    <x v="0"/>
    <n v="48"/>
    <d v="2024-11-29T10:24:00"/>
    <d v="2024-11-29T10:29:00"/>
    <x v="19"/>
    <x v="0"/>
    <x v="1"/>
    <d v="1899-12-30T02:00:00"/>
    <s v="RE: INCCU (KOLKATA // TDR // MTT LABUAN 24LB008S  // VUXX"/>
    <x v="2"/>
    <x v="0"/>
    <m/>
  </r>
  <r>
    <x v="1"/>
    <n v="40"/>
    <d v="2024-10-01T18:55:00"/>
    <d v="2024-10-02T10:34:00"/>
    <x v="40"/>
    <x v="1"/>
    <x v="1"/>
    <d v="1899-12-30T02:00:00"/>
    <s v="RE: TDR -PREALERT// M.V.SITC ZHAOMING V-2408E // INVTZ (T/S at WEST PORT KELANG) to ST.PETERSBURG // VX74IV24000009 &amp; VX74IV24000010 &amp; vVX74IV24000011 //"/>
    <x v="7"/>
    <x v="1"/>
    <m/>
  </r>
  <r>
    <x v="1"/>
    <n v="40"/>
    <d v="2024-10-03T15:51:00"/>
    <d v="2024-10-03T18:24:00"/>
    <x v="41"/>
    <x v="1"/>
    <x v="1"/>
    <d v="1899-12-30T02:00:00"/>
    <s v="RE: SYNERGY KEELUNG V. 0018 SLD INMAA : 03.10.2024 (T/S at WEST PORTKELANG ) to RUNVS &amp; RULED // REEL"/>
    <x v="1"/>
    <x v="1"/>
    <m/>
  </r>
  <r>
    <x v="1"/>
    <n v="41"/>
    <d v="2024-10-06T23:05:00"/>
    <d v="2024-10-07T09:53:00"/>
    <x v="42"/>
    <x v="1"/>
    <x v="1"/>
    <d v="1899-12-30T02:00:00"/>
    <s v="TDR M.V.MOGRAL V.086W"/>
    <x v="4"/>
    <x v="1"/>
    <m/>
  </r>
  <r>
    <x v="1"/>
    <n v="41"/>
    <d v="2024-10-07T11:26:00"/>
    <d v="2024-10-07T11:56:00"/>
    <x v="43"/>
    <x v="0"/>
    <x v="1"/>
    <d v="1899-12-30T02:00:00"/>
    <s v="RE: REEL SHIPPING) SMR, 03X40'HC LADEN CNTRS TDR FOR  NOVOROSSIYSK   T/S VIA PKG-WEST ON VSL MV. FITZ ROY ,VOY--186E, SLD CGP DT- 06.10.2024 . EX : CGP-- MYWSP  and  FPOD  to  NOVOROSSIYK (RUSSIA)."/>
    <x v="0"/>
    <x v="1"/>
    <m/>
  </r>
  <r>
    <x v="1"/>
    <n v="41"/>
    <d v="2024-10-07T15:21:00"/>
    <d v="2024-10-08T10:54:00"/>
    <x v="44"/>
    <x v="1"/>
    <x v="1"/>
    <d v="1899-12-30T02:00:00"/>
    <s v="RE: REQUEST FOR VESSEL / VOYAGE CREATION IN EBMS"/>
    <x v="2"/>
    <x v="1"/>
    <m/>
  </r>
  <r>
    <x v="1"/>
    <n v="41"/>
    <d v="2024-10-09T09:47:00"/>
    <d v="2024-10-09T10:37:00"/>
    <x v="45"/>
    <x v="0"/>
    <x v="1"/>
    <d v="1899-12-30T02:00:00"/>
    <s v="RE: TDR -PREALERT// M.V. SHINA V-009E // INVTZ (T/S at WEST PORT KELANG) to ST.PETERSBURG // VX74IV24000013, VX74IV24000014, VX74IV24000015 &amp; VX74IV24000016 - RULED"/>
    <x v="7"/>
    <x v="1"/>
    <m/>
  </r>
  <r>
    <x v="1"/>
    <n v="41"/>
    <d v="2024-10-09T17:41:00"/>
    <d v="2024-10-09T18:10:00"/>
    <x v="46"/>
    <x v="0"/>
    <x v="1"/>
    <d v="1899-12-30T02:00:00"/>
    <s v="TDR &amp; PRE ALERT//CEN // VX07MY24000003//24000013/24000014/24000015 //24000016/24000017/24000018//24000020/24000021 //ETD 09 OCT 2024 // MV.SITC HAIPHONG V.2436W // TOTAL 45 X20'GP // "/>
    <x v="0"/>
    <x v="1"/>
    <m/>
  </r>
  <r>
    <x v="1"/>
    <n v="41"/>
    <d v="2024-10-11T07:49:00"/>
    <d v="2024-10-11T11:54:00"/>
    <x v="47"/>
    <x v="1"/>
    <x v="1"/>
    <d v="1899-12-30T02:00:00"/>
    <s v="URGNET -  INCCU (KOLKATA // TDR //  FSL KELANG V. 239E // VOLTA"/>
    <x v="2"/>
    <x v="1"/>
    <m/>
  </r>
  <r>
    <x v="1"/>
    <n v="41"/>
    <d v="2024-10-11T22:38:00"/>
    <d v="2024-10-12T15:10:00"/>
    <x v="48"/>
    <x v="1"/>
    <x v="1"/>
    <d v="1899-12-30T02:00:00"/>
    <s v="// TDR ////  SSL GUJARAT V. 160  /// INTUT - INMUN"/>
    <x v="3"/>
    <x v="1"/>
    <m/>
  </r>
  <r>
    <x v="1"/>
    <n v="42"/>
    <d v="2024-10-14T09:22:00"/>
    <d v="2024-10-14T10:24:00"/>
    <x v="49"/>
    <x v="0"/>
    <x v="1"/>
    <d v="1899-12-30T02:00:00"/>
    <s v="COLOMBO - TDR &amp; Shipment Status for vessel MONACO / 109E // B # VX78CC24000013"/>
    <x v="0"/>
    <x v="1"/>
    <m/>
  </r>
  <r>
    <x v="1"/>
    <n v="42"/>
    <d v="2024-10-11T23:01:00"/>
    <d v="2024-10-14T18:16:00"/>
    <x v="50"/>
    <x v="1"/>
    <x v="1"/>
    <d v="1899-12-30T02:00:00"/>
    <s v="TOP URGENT //  INQUIRY FOR AR/TDR MUNDRA MOGRAL V.0086  // TDR PENDING FOR THE VESSEL : TS VANCOUVER V.24007E"/>
    <x v="1"/>
    <x v="1"/>
    <m/>
  </r>
  <r>
    <x v="1"/>
    <n v="42"/>
    <d v="2024-10-14T17:57:00"/>
    <d v="2024-10-15T10:21:00"/>
    <x v="51"/>
    <x v="1"/>
    <x v="1"/>
    <d v="1899-12-30T02:00:00"/>
    <s v="Chennai - TDR Status - Vessel Name - TS VANCOUVER / 24007W"/>
    <x v="1"/>
    <x v="1"/>
    <m/>
  </r>
  <r>
    <x v="1"/>
    <n v="42"/>
    <d v="2024-10-15T16:54:00"/>
    <d v="2024-10-15T20:08:00"/>
    <x v="52"/>
    <x v="1"/>
    <x v="1"/>
    <d v="1899-12-30T02:00:00"/>
    <s v=" INCCU (KOLKATA // TDR // MTT LIMBANG 24LG005S // VUXX"/>
    <x v="2"/>
    <x v="1"/>
    <m/>
  </r>
  <r>
    <x v="1"/>
    <n v="42"/>
    <d v="2024-10-16T12:58:00"/>
    <d v="2024-10-16T17:43:00"/>
    <x v="53"/>
    <x v="1"/>
    <x v="1"/>
    <d v="1899-12-30T02:00:00"/>
    <s v="TDR - SSL BHARAT V.163"/>
    <x v="3"/>
    <x v="1"/>
    <m/>
  </r>
  <r>
    <x v="1"/>
    <n v="43"/>
    <d v="2024-10-23T18:34:00"/>
    <d v="2024-10-23T18:47:00"/>
    <x v="21"/>
    <x v="0"/>
    <x v="1"/>
    <d v="1899-12-30T02:00:00"/>
    <s v="// TDR ////  SSL GUJARAT V. 161  /// INTUT - INMUN"/>
    <x v="3"/>
    <x v="1"/>
    <m/>
  </r>
  <r>
    <x v="1"/>
    <n v="43"/>
    <d v="2024-10-24T14:19:00"/>
    <d v="2024-10-24T15:32:00"/>
    <x v="30"/>
    <x v="0"/>
    <x v="1"/>
    <d v="1899-12-30T02:00:00"/>
    <s v="TDR // RE: SHIPMENT STATUS -  YANGON TO CHENNAI ON MV. ISEACO WISDOM / 133S // SRR # RSGFL102400002 // B # VX07MY24000019"/>
    <x v="10"/>
    <x v="1"/>
    <m/>
  </r>
  <r>
    <x v="1"/>
    <n v="43"/>
    <d v="2024-10-24T14:19:00"/>
    <d v="2024-10-24T15:32:00"/>
    <x v="30"/>
    <x v="0"/>
    <x v="1"/>
    <d v="1899-12-30T02:00:00"/>
    <s v="TDR // RE: SHIPMENT STATUS -  YANGON TO CHENNAI ON MV. ISEACO WISDOM / 133S // SRR # RSGFL102400002 // B # VX07MY24000019"/>
    <x v="10"/>
    <x v="1"/>
    <m/>
  </r>
  <r>
    <x v="1"/>
    <n v="43"/>
    <d v="2024-10-25T19:32:00"/>
    <d v="2024-10-26T20:08:00"/>
    <x v="54"/>
    <x v="0"/>
    <x v="1"/>
    <d v="1899-12-30T02:00:00"/>
    <s v="ARRIVAL REPORT FOR  EVER LEGION V.056E  ETA CMB  24.10.2024"/>
    <x v="0"/>
    <x v="1"/>
    <m/>
  </r>
  <r>
    <x v="1"/>
    <n v="44"/>
    <d v="2024-10-28T19:39:00"/>
    <d v="2024-10-29T12:38:00"/>
    <x v="55"/>
    <x v="1"/>
    <x v="1"/>
    <d v="1899-12-30T02:00:00"/>
    <s v="REEL SHIPPING ( SMR) 03X40'HC LADEN CNTRS TDR FOR  NOVOROSSIYSK   T/S VIA PKG-WEST ON VSL MV. SOL MALAYSIA ,VOY--2417S, SLD CGP DT- 28.10.2024 . EX : CGP-- MYWSP  and  FPOD  to  NOVOROSSIYK (RUSSIA)."/>
    <x v="0"/>
    <x v="1"/>
    <m/>
  </r>
  <r>
    <x v="1"/>
    <n v="44"/>
    <d v="2024-10-29T12:34:00"/>
    <d v="2024-10-29T15:05:00"/>
    <x v="56"/>
    <x v="1"/>
    <x v="1"/>
    <d v="1899-12-30T02:00:00"/>
    <s v="TDR// INTERASIA CATALYST V.  0046E"/>
    <x v="1"/>
    <x v="1"/>
    <m/>
  </r>
  <r>
    <x v="0"/>
    <n v="44"/>
    <d v="2024-11-01T10:47:00"/>
    <d v="2024-11-01T10:59:00"/>
    <x v="24"/>
    <x v="0"/>
    <x v="1"/>
    <d v="1899-12-30T02:00:00"/>
    <s v="DEPARTURE REPORT FOR 01X40HC LOADED  ON MOGRAL V.087W ETD CMB 01.11.2024"/>
    <x v="0"/>
    <x v="1"/>
    <m/>
  </r>
  <r>
    <x v="0"/>
    <n v="44"/>
    <d v="2024-11-01T11:01:00"/>
    <d v="2024-11-01T14:19:00"/>
    <x v="57"/>
    <x v="1"/>
    <x v="1"/>
    <d v="1899-12-30T02:00:00"/>
    <s v=" Chennai - TDR Status - Vessel XIN TIAN JIN  V. 93 E // BL # VX87II24000084"/>
    <x v="1"/>
    <x v="1"/>
    <m/>
  </r>
  <r>
    <x v="0"/>
    <n v="44"/>
    <d v="2024-11-01T12:54:00"/>
    <d v="2024-11-01T14:25:00"/>
    <x v="58"/>
    <x v="0"/>
    <x v="1"/>
    <d v="1899-12-30T02:00:00"/>
    <s v="DEPARTURE REPORT FOR 01X40HC LOADED  ON MOGRAL V.087W ETD CMB 01.11.2024"/>
    <x v="0"/>
    <x v="1"/>
    <m/>
  </r>
  <r>
    <x v="0"/>
    <n v="44"/>
    <d v="2024-11-01T14:32:00"/>
    <d v="2024-11-01T14:37:00"/>
    <x v="19"/>
    <x v="0"/>
    <x v="1"/>
    <d v="1899-12-30T02:00:00"/>
    <s v="INCCU (KOLKATA // TDR // MTT LIMBANG 24LG006S // VUXX"/>
    <x v="2"/>
    <x v="1"/>
    <m/>
  </r>
  <r>
    <x v="0"/>
    <n v="44"/>
    <d v="2024-11-01T15:08:00"/>
    <d v="2024-11-01T16:02:00"/>
    <x v="59"/>
    <x v="0"/>
    <x v="1"/>
    <d v="1899-12-30T02:00:00"/>
    <s v=" INCCU (KOLKATA // TDR // MTT LIMBANG 24LG006S // VUXX"/>
    <x v="2"/>
    <x v="1"/>
    <m/>
  </r>
  <r>
    <x v="0"/>
    <n v="46"/>
    <d v="2024-11-10T09:30:00"/>
    <d v="2024-11-11T10:45:00"/>
    <x v="60"/>
    <x v="0"/>
    <x v="1"/>
    <d v="1899-12-30T02:00:00"/>
    <s v="DEPARTURE REPORT FOR 1X20 &amp; 1X40HC LOADED  ON SM KAVERI V.081W ETD CMB 08.11.2024"/>
    <x v="0"/>
    <x v="1"/>
    <m/>
  </r>
  <r>
    <x v="0"/>
    <n v="45"/>
    <d v="2024-11-04T19:27:00"/>
    <d v="2024-11-05T10:11:00"/>
    <x v="61"/>
    <x v="1"/>
    <x v="1"/>
    <d v="1899-12-30T02:00:00"/>
    <s v="INCCU (KOLKATA // TDR // FSL SINGAPOE 104E  // VUXX"/>
    <x v="2"/>
    <x v="1"/>
    <m/>
  </r>
  <r>
    <x v="1"/>
    <n v="40"/>
    <d v="2024-10-01T00:30:00"/>
    <d v="2024-10-01T10:53:00"/>
    <x v="62"/>
    <x v="1"/>
    <x v="2"/>
    <d v="1899-12-30T01:00:00"/>
    <s v="RE: TDR -PREALERT// M.V.SITC ZHAOMING V-2408E // INVTZ (T/S at WEST PORT KELANG) to ST.PETERSBURG // VX74IV24000009 &amp; VX74IV24000010 &amp; vVX74IV24000011 // "/>
    <x v="7"/>
    <x v="1"/>
    <m/>
  </r>
  <r>
    <x v="1"/>
    <n v="40"/>
    <d v="2024-10-01T12:07:00"/>
    <d v="2024-10-01T12:21:00"/>
    <x v="63"/>
    <x v="0"/>
    <x v="2"/>
    <d v="1899-12-30T01:00:00"/>
    <s v="TDR - SSL BHARAT V.162"/>
    <x v="3"/>
    <x v="1"/>
    <m/>
  </r>
  <r>
    <x v="1"/>
    <n v="40"/>
    <d v="2024-10-03T13:38:00"/>
    <d v="2024-10-03T13:42:00"/>
    <x v="64"/>
    <x v="0"/>
    <x v="2"/>
    <d v="1899-12-30T01:00:00"/>
    <s v="SYNERGY KEELUNG V. 0018 SLD INMAA : 03.10.2024 (T/S at WEST PORTKELANG ) to RUNVS &amp; RULED // REEL"/>
    <x v="1"/>
    <x v="1"/>
    <m/>
  </r>
  <r>
    <x v="1"/>
    <n v="40"/>
    <d v="2024-10-03T17:45:00"/>
    <d v="2024-10-03T18:02:00"/>
    <x v="65"/>
    <x v="0"/>
    <x v="2"/>
    <d v="1899-12-30T01:00:00"/>
    <s v="RE: (REEL SHIPPING) SMR, 03X40'HC LADEN CNTRS TDR FOR  NOVOROSSIYSK   T/S VIA PKG-WEST ON VSL MV.SKY WIND ,VOY--049S, SLD CGP DT- 03.10.2024 . EX : CGP-- MYWSP  and  FPOD  to  NOVOROSSIYK (RUSSIA)."/>
    <x v="0"/>
    <x v="1"/>
    <m/>
  </r>
  <r>
    <x v="1"/>
    <n v="40"/>
    <d v="2024-10-04T12:02:00"/>
    <d v="2024-10-04T12:07:00"/>
    <x v="19"/>
    <x v="0"/>
    <x v="2"/>
    <d v="1899-12-30T01:00:00"/>
    <s v="RE: // TDR ////  SSL BHARAT V. 162  /// INTUT - INMUN"/>
    <x v="3"/>
    <x v="1"/>
    <m/>
  </r>
  <r>
    <x v="1"/>
    <n v="40"/>
    <d v="2024-10-04T19:05:00"/>
    <d v="2024-10-04T21:26:00"/>
    <x v="66"/>
    <x v="1"/>
    <x v="2"/>
    <d v="1899-12-30T01:00:00"/>
    <s v="Arrival Report SSL SABARIMALAI 158 // REEL"/>
    <x v="1"/>
    <x v="1"/>
    <m/>
  </r>
  <r>
    <x v="1"/>
    <n v="40"/>
    <d v="2024-10-05T15:23:00"/>
    <d v="2024-10-05T15:28:00"/>
    <x v="19"/>
    <x v="0"/>
    <x v="2"/>
    <d v="1899-12-30T01:00:00"/>
    <s v="TDR M.V.MOGRAL V.086W"/>
    <x v="4"/>
    <x v="1"/>
    <m/>
  </r>
  <r>
    <x v="1"/>
    <n v="41"/>
    <d v="2024-10-06T18:20:00"/>
    <d v="2024-10-06T18:57:00"/>
    <x v="67"/>
    <x v="0"/>
    <x v="2"/>
    <d v="1899-12-30T01:00:00"/>
    <s v="REEL SHIPPING) SMR, 03X40'HC LADEN CNTRS TDR FOR  NOVOROSSIYSK   T/S VIA PKG-WEST ON VSL MV. FITZ ROY ,VOY--186E, SLD CGP DT- 06.10.2024 . EX : CGP-- MYWSP  and  FPOD  to  NOVOROSSIYK (RUSSIA)."/>
    <x v="8"/>
    <x v="1"/>
    <m/>
  </r>
  <r>
    <x v="1"/>
    <n v="41"/>
    <d v="2024-10-07T13:36:00"/>
    <d v="2024-10-07T14:41:00"/>
    <x v="68"/>
    <x v="1"/>
    <x v="2"/>
    <d v="1899-12-30T01:00:00"/>
    <s v="RE: REQUEST FOR VESSEL / VOYAGE CREATION IN EBMS"/>
    <x v="2"/>
    <x v="1"/>
    <m/>
  </r>
  <r>
    <x v="1"/>
    <n v="41"/>
    <d v="2024-10-09T15:05:00"/>
    <d v="2024-10-09T15:11:00"/>
    <x v="6"/>
    <x v="0"/>
    <x v="2"/>
    <d v="1899-12-30T01:00:00"/>
    <s v="RE: TDR &amp; PRE ALERT//CEN // VX07MY24000003//24000013/24000014/24000015 //24000016/24000017/24000018//24000020/24000021 //ETD 09 OCT 2024 // MV.SITC HAIPHONG V.2436W // TOTAL 45 X20'GP // "/>
    <x v="8"/>
    <x v="1"/>
    <m/>
  </r>
  <r>
    <x v="1"/>
    <n v="41"/>
    <d v="2024-10-09T17:14:00"/>
    <d v="2024-10-09T17:23:00"/>
    <x v="69"/>
    <x v="0"/>
    <x v="2"/>
    <d v="1899-12-30T01:00:00"/>
    <s v="Arrival Report SSL THAMIRABARANI V. 050 // REEL"/>
    <x v="1"/>
    <x v="1"/>
    <m/>
  </r>
  <r>
    <x v="1"/>
    <n v="41"/>
    <d v="2024-10-10T11:49:00"/>
    <d v="2024-10-10T12:46:00"/>
    <x v="70"/>
    <x v="0"/>
    <x v="2"/>
    <d v="1899-12-30T01:00:00"/>
    <s v="Urgent -  Inquiry for AR VSL/VOY SOL PIONEER / 2411N in Kolkata"/>
    <x v="2"/>
    <x v="1"/>
    <m/>
  </r>
  <r>
    <x v="1"/>
    <n v="41"/>
    <d v="2024-10-10T14:31:00"/>
    <d v="2024-10-10T14:37:00"/>
    <x v="6"/>
    <x v="0"/>
    <x v="2"/>
    <d v="1899-12-30T01:00:00"/>
    <s v=" AR - SCI CHENNAI V.2411"/>
    <x v="4"/>
    <x v="1"/>
    <m/>
  </r>
  <r>
    <x v="1"/>
    <n v="41"/>
    <d v="2024-10-10T16:23:00"/>
    <d v="2024-10-10T16:38:00"/>
    <x v="71"/>
    <x v="0"/>
    <x v="2"/>
    <d v="1899-12-30T01:00:00"/>
    <s v="URGNET -  INCCU (KOLKATA // TDR //  FSL KELANG V. 239E // VOLTA"/>
    <x v="2"/>
    <x v="1"/>
    <m/>
  </r>
  <r>
    <x v="1"/>
    <n v="41"/>
    <d v="2024-10-11T09:47:00"/>
    <d v="2024-10-11T10:41:00"/>
    <x v="59"/>
    <x v="0"/>
    <x v="2"/>
    <d v="1899-12-30T01:00:00"/>
    <s v=" // TDR ////  SSL GUJARAT V. 160  /// INTUT - INMUN"/>
    <x v="3"/>
    <x v="1"/>
    <m/>
  </r>
  <r>
    <x v="1"/>
    <n v="41"/>
    <d v="2024-10-12T09:41:00"/>
    <d v="2024-10-12T14:23:00"/>
    <x v="72"/>
    <x v="1"/>
    <x v="2"/>
    <d v="1899-12-30T01:00:00"/>
    <s v="Chennai - TDR Status - Vessel Name - TS VANCOUVER / 24007W"/>
    <x v="1"/>
    <x v="1"/>
    <m/>
  </r>
  <r>
    <x v="1"/>
    <n v="42"/>
    <d v="2024-10-14T17:22:00"/>
    <d v="2024-10-14T18:00:00"/>
    <x v="73"/>
    <x v="0"/>
    <x v="2"/>
    <d v="1899-12-30T01:00:00"/>
    <s v="AR // INVTZ // MV SM MANALI V-0046W // ETA:10-10-2024"/>
    <x v="7"/>
    <x v="1"/>
    <m/>
  </r>
  <r>
    <x v="1"/>
    <n v="42"/>
    <d v="2024-10-15T11:39:00"/>
    <d v="2024-10-15T11:58:00"/>
    <x v="74"/>
    <x v="0"/>
    <x v="2"/>
    <d v="1899-12-30T01:00:00"/>
    <s v=" INCCU (KOLKATA // TDR // MTT LIMBANG 24LG005S // VUXX"/>
    <x v="2"/>
    <x v="1"/>
    <m/>
  </r>
  <r>
    <x v="1"/>
    <n v="42"/>
    <d v="2024-10-15T16:57:00"/>
    <d v="2024-10-15T17:28:00"/>
    <x v="75"/>
    <x v="0"/>
    <x v="2"/>
    <d v="1899-12-30T01:00:00"/>
    <s v="REEL SHIPPING ( SMR) 02X40'HC LADEN CNTRS TDR FOR  NOVOROSSIYSK   T/S VIA PKG-WEST ON VSL MV. BLPL BLESSING ,VOY--2416S, SLD CGP DT- 15.10.2024 . EX : CGP-- MYWSP  and  FPOD  to  NOVOROSSIYK (RUSSIA)."/>
    <x v="8"/>
    <x v="1"/>
    <m/>
  </r>
  <r>
    <x v="1"/>
    <n v="42"/>
    <d v="2024-10-16T11:43:00"/>
    <d v="2024-10-16T11:58:00"/>
    <x v="71"/>
    <x v="0"/>
    <x v="2"/>
    <d v="1899-12-30T01:00:00"/>
    <s v="TDR - SSL BHARAT V.163"/>
    <x v="3"/>
    <x v="1"/>
    <m/>
  </r>
  <r>
    <x v="1"/>
    <n v="42"/>
    <d v="2024-10-18T10:17:00"/>
    <d v="2024-10-18T10:50:00"/>
    <x v="76"/>
    <x v="0"/>
    <x v="2"/>
    <d v="1899-12-30T01:00:00"/>
    <s v="DEPARTURE REPORT FOR 2X40HC LOADED  ON SM MANALI V.046W ETD CMB 17.10.2024"/>
    <x v="0"/>
    <x v="1"/>
    <m/>
  </r>
  <r>
    <x v="1"/>
    <n v="42"/>
    <d v="2024-10-18T10:17:00"/>
    <d v="2024-10-18T10:50:00"/>
    <x v="76"/>
    <x v="0"/>
    <x v="2"/>
    <d v="1899-12-30T01:00:00"/>
    <s v="DEPARTURE REPORT FOR 2X40HC LOADED  ON SM MANALI V.046W ETD CMB 17.10.2024"/>
    <x v="0"/>
    <x v="1"/>
    <m/>
  </r>
  <r>
    <x v="1"/>
    <n v="43"/>
    <d v="2024-10-20T09:08:00"/>
    <d v="2024-10-20T12:33:00"/>
    <x v="77"/>
    <x v="1"/>
    <x v="2"/>
    <d v="1899-12-30T01:00:00"/>
    <s v=" MONACO V.109E ETD CMB 19.10.2024"/>
    <x v="0"/>
    <x v="1"/>
    <m/>
  </r>
  <r>
    <x v="1"/>
    <n v="43"/>
    <d v="2024-10-21T17:59:00"/>
    <d v="2024-10-22T10:22:00"/>
    <x v="78"/>
    <x v="1"/>
    <x v="2"/>
    <d v="1899-12-30T01:00:00"/>
    <s v="COLOMBO - TDR &amp; Shipment Status for vessel EVER LEGION / 056E // B # VX78CC24000015 &amp; VX78CC24000016"/>
    <x v="0"/>
    <x v="1"/>
    <m/>
  </r>
  <r>
    <x v="1"/>
    <n v="43"/>
    <d v="2024-10-22T09:47:00"/>
    <d v="2024-10-22T10:25:00"/>
    <x v="73"/>
    <x v="0"/>
    <x v="2"/>
    <d v="1899-12-30T01:00:00"/>
    <s v="TDR RENJIAN 23  V . 2439 // REEL"/>
    <x v="1"/>
    <x v="1"/>
    <m/>
  </r>
  <r>
    <x v="1"/>
    <n v="43"/>
    <d v="2024-10-22T10:06:00"/>
    <d v="2024-10-22T10:26:00"/>
    <x v="79"/>
    <x v="0"/>
    <x v="2"/>
    <d v="1899-12-30T01:00:00"/>
    <s v="TDR - SSL GUJARAT V.161"/>
    <x v="3"/>
    <x v="1"/>
    <m/>
  </r>
  <r>
    <x v="1"/>
    <n v="43"/>
    <d v="2024-10-22T18:45:00"/>
    <d v="2024-10-22T19:05:00"/>
    <x v="79"/>
    <x v="0"/>
    <x v="2"/>
    <d v="1899-12-30T01:00:00"/>
    <s v="REVISED  Booking 3x40 HC CTG TO  NOVOROSSIYSK, RUSSIA  A/C; RAJBARI JUTE MILLS LTD // SRR # RSBCA102400007"/>
    <x v="8"/>
    <x v="1"/>
    <m/>
  </r>
  <r>
    <x v="1"/>
    <n v="43"/>
    <d v="2024-10-24T13:26:00"/>
    <d v="2024-10-24T15:05:00"/>
    <x v="80"/>
    <x v="1"/>
    <x v="2"/>
    <d v="1899-12-30T01:00:00"/>
    <s v="// TDR ////  SSL GUJARAT V. 161  /// INTUT - INMUN"/>
    <x v="3"/>
    <x v="1"/>
    <m/>
  </r>
  <r>
    <x v="1"/>
    <n v="43"/>
    <d v="2024-10-24T14:19:00"/>
    <d v="2024-10-24T15:32:00"/>
    <x v="30"/>
    <x v="1"/>
    <x v="2"/>
    <d v="1899-12-30T01:00:00"/>
    <s v="TDR // RE: SHIPMENT STATUS -  YANGON TO CHENNAI ON MV. ISEACO WISDOM / 133S // SRR # RSGFL102400002 // B # VX07MY24000019"/>
    <x v="1"/>
    <x v="1"/>
    <m/>
  </r>
  <r>
    <x v="1"/>
    <n v="43"/>
    <d v="2024-10-24T13:05:00"/>
    <d v="2024-10-24T13:09:00"/>
    <x v="64"/>
    <x v="0"/>
    <x v="2"/>
    <d v="1899-12-30T01:00:00"/>
    <s v="RE: // TDR ////  SSL GUJARAT V. 161  /// INTUT - INMUN"/>
    <x v="3"/>
    <x v="1"/>
    <m/>
  </r>
  <r>
    <x v="1"/>
    <n v="43"/>
    <d v="2024-10-24T12:48:00"/>
    <d v="2024-10-24T13:18:00"/>
    <x v="43"/>
    <x v="0"/>
    <x v="2"/>
    <d v="1899-12-30T01:00:00"/>
    <s v="TDR // RE: SHIPMENT STATUS -  YANGON TO CHENNAI ON MV. ISEACO WISDOM / 133S // SRR # RSGFL102400002 // B # VX07MY24000019"/>
    <x v="10"/>
    <x v="1"/>
    <m/>
  </r>
  <r>
    <x v="1"/>
    <n v="43"/>
    <d v="2024-10-25T15:44:00"/>
    <d v="2024-10-25T17:42:00"/>
    <x v="81"/>
    <x v="1"/>
    <x v="2"/>
    <d v="1899-12-30T01:00:00"/>
    <s v="ARRIVAL REPORT FOR  EVER LEGION V.056E  ETA CMB  24.10.2024"/>
    <x v="0"/>
    <x v="1"/>
    <m/>
  </r>
  <r>
    <x v="1"/>
    <n v="43"/>
    <d v="2024-10-25T17:51:00"/>
    <d v="2024-10-25T18:11:00"/>
    <x v="79"/>
    <x v="0"/>
    <x v="2"/>
    <d v="1899-12-30T01:00:00"/>
    <s v=" EVER LEGION V.056E ETD CMB 25.10.2024"/>
    <x v="0"/>
    <x v="1"/>
    <m/>
  </r>
  <r>
    <x v="1"/>
    <n v="43"/>
    <d v="2024-10-26T16:51:00"/>
    <d v="2024-10-26T19:45:00"/>
    <x v="82"/>
    <x v="1"/>
    <x v="2"/>
    <d v="1899-12-30T01:00:00"/>
    <s v="REEL SHIPPING ( SMR) 04X40'HC LADEN CNTRS TDR FOR  NOVOROSSIYSK   T/S VIA PKG-WEST ON VSL MV. FITZ ROY ,VOY--187E, SLD CGP DT- 24.10.2024 . EX : CGP-- MYWSP  and  FPOD  to  NOVOROSSIYK (RUSSIA)."/>
    <x v="8"/>
    <x v="1"/>
    <m/>
  </r>
  <r>
    <x v="1"/>
    <n v="44"/>
    <d v="2024-10-28T17:54:00"/>
    <d v="2024-10-28T18:00:00"/>
    <x v="6"/>
    <x v="0"/>
    <x v="2"/>
    <d v="1899-12-30T01:00:00"/>
    <s v="REEL SHIPPING ( SMR) 03X40'HC LADEN CNTRS TDR FOR  NOVOROSSIYSK   T/S VIA PKG-WEST ON VSL MV. SOL MALAYSIA ,VOY--2417S, SLD CGP DT- 28.10.2024 . EX : CGP-- MYWSP  and  FPOD  to  NOVOROSSIYK (RUSSIA)."/>
    <x v="8"/>
    <x v="1"/>
    <m/>
  </r>
  <r>
    <x v="1"/>
    <n v="44"/>
    <d v="2024-10-29T11:36:00"/>
    <d v="2024-10-29T12:23:00"/>
    <x v="83"/>
    <x v="0"/>
    <x v="2"/>
    <d v="1899-12-30T01:00:00"/>
    <s v="TDR// INTERASIA CATALYST V.  0046E"/>
    <x v="1"/>
    <x v="1"/>
    <m/>
  </r>
  <r>
    <x v="1"/>
    <n v="44"/>
    <d v="2024-10-29T11:30:00"/>
    <d v="2024-10-29T12:25:00"/>
    <x v="84"/>
    <x v="0"/>
    <x v="2"/>
    <d v="1899-12-30T01:00:00"/>
    <s v="TDR// SNL HAIKOU V. 2408W "/>
    <x v="1"/>
    <x v="1"/>
    <m/>
  </r>
  <r>
    <x v="1"/>
    <n v="44"/>
    <d v="2024-10-29T12:28:00"/>
    <d v="2024-10-29T14:55:00"/>
    <x v="85"/>
    <x v="1"/>
    <x v="2"/>
    <d v="1899-12-30T01:00:00"/>
    <s v="TDR// SNL HAIKOU V. 2408W"/>
    <x v="1"/>
    <x v="1"/>
    <m/>
  </r>
  <r>
    <x v="0"/>
    <n v="44"/>
    <d v="2024-11-01T10:45:00"/>
    <d v="2024-11-01T10:54:00"/>
    <x v="69"/>
    <x v="0"/>
    <x v="2"/>
    <d v="1899-12-30T01:00:00"/>
    <s v="TDR - SSL BHARAT V.164"/>
    <x v="3"/>
    <x v="1"/>
    <m/>
  </r>
  <r>
    <x v="0"/>
    <n v="44"/>
    <d v="2024-11-01T10:47:00"/>
    <d v="2024-11-01T10:59:00"/>
    <x v="24"/>
    <x v="0"/>
    <x v="2"/>
    <d v="1899-12-30T01:00:00"/>
    <s v="DEPARTURE REPORT FOR 01X40HC LOADED  ON MOGRAL V.087W ETD CMB 01.11.2024"/>
    <x v="0"/>
    <x v="1"/>
    <m/>
  </r>
  <r>
    <x v="0"/>
    <n v="44"/>
    <d v="2024-11-01T14:23:00"/>
    <d v="2024-11-01T14:35:00"/>
    <x v="24"/>
    <x v="0"/>
    <x v="2"/>
    <d v="1899-12-30T01:00:00"/>
    <s v="TDR - SSL BHARAT V.164"/>
    <x v="3"/>
    <x v="1"/>
    <m/>
  </r>
  <r>
    <x v="0"/>
    <n v="45"/>
    <d v="2024-11-06T15:16:00"/>
    <d v="2024-11-06T16:05:00"/>
    <x v="86"/>
    <x v="0"/>
    <x v="2"/>
    <d v="1899-12-30T01:00:00"/>
    <s v="REEL SHIPPING ( SMR) 02X40'HC LADEN CNTRS TDR FOR  NOVOROSSIYSK AND ST PETERSBURG   T/S VIA PKG-WEST ON VSL MV. SKY WIND ,VOY--051S, SLD CGP DT- 05.11.2024 . EX : CG"/>
    <x v="8"/>
    <x v="1"/>
    <m/>
  </r>
  <r>
    <x v="0"/>
    <n v="45"/>
    <d v="2024-11-07T17:40:00"/>
    <d v="2024-11-07T18:00:00"/>
    <x v="79"/>
    <x v="0"/>
    <x v="2"/>
    <d v="1899-12-30T01:00:00"/>
    <s v="// TDR ////  SSL GUJARAT V. 162  /// INTUT - INMUN"/>
    <x v="3"/>
    <x v="1"/>
    <m/>
  </r>
  <r>
    <x v="0"/>
    <n v="46"/>
    <d v="2024-11-10T09:30:00"/>
    <d v="2024-11-11T10:45:00"/>
    <x v="60"/>
    <x v="1"/>
    <x v="2"/>
    <d v="1899-12-30T01:00:00"/>
    <s v="DEPARTURE REPORT FOR 1X20 &amp; 1X40HC LOADED  ON SM KAVERI V.081W ETD CMB 08.11.2024"/>
    <x v="0"/>
    <x v="1"/>
    <m/>
  </r>
  <r>
    <x v="0"/>
    <n v="46"/>
    <d v="2024-11-11T18:12:00"/>
    <d v="2024-11-11T18:16:00"/>
    <x v="64"/>
    <x v="0"/>
    <x v="2"/>
    <d v="1899-12-30T01:00:00"/>
    <s v="VISAKHAPATNAM - TDR Status - SITC ZHAOMING / 2409E - B # VX74IV24000017,VX74IV24000018,VX74IV24000019,VX74IV24000020,VX74IV24000021,VX74IV24000022,VX74IV24000023 &amp; VX74IV24000025"/>
    <x v="7"/>
    <x v="1"/>
    <m/>
  </r>
  <r>
    <x v="0"/>
    <n v="47"/>
    <d v="2024-11-22T16:22:00"/>
    <d v="2024-11-22T16:25:00"/>
    <x v="36"/>
    <x v="0"/>
    <x v="2"/>
    <d v="1899-12-30T01:00:00"/>
    <s v="ARRIVAL REPORT FOR X-PRESS CAPELLA V.24007E ETA CMB 20.11.2024"/>
    <x v="0"/>
    <x v="1"/>
    <m/>
  </r>
  <r>
    <x v="0"/>
    <n v="48"/>
    <d v="2024-11-28T10:21:00"/>
    <d v="2024-11-28T15:33:00"/>
    <x v="87"/>
    <x v="1"/>
    <x v="2"/>
    <d v="1899-12-30T01:00:00"/>
    <s v="AR//M.V.SM KAVERI V 0082E ATA 27-11-2024"/>
    <x v="7"/>
    <x v="1"/>
    <m/>
  </r>
  <r>
    <x v="0"/>
    <n v="45"/>
    <d v="2024-11-04T16:54:00"/>
    <d v="2024-11-04T17:51:00"/>
    <x v="70"/>
    <x v="0"/>
    <x v="3"/>
    <d v="1899-12-31T00:00:00"/>
    <s v="RE: 1669594 / Reel Shipping LLC / CTSP St.Petersburg / SEP281024 / APO291003 / tba"/>
    <x v="0"/>
    <x v="0"/>
    <m/>
  </r>
  <r>
    <x v="0"/>
    <n v="48"/>
    <d v="2024-11-25T11:16:00"/>
    <d v="2024-11-26T12:50:00"/>
    <x v="88"/>
    <x v="0"/>
    <x v="3"/>
    <d v="1899-12-31T00:00:00"/>
    <s v="REEL // D&amp; D COLLECTION // MYANMAR // MMYGN+MMTLA+MMRGN // NOVEMBER WEEK 3"/>
    <x v="10"/>
    <x v="0"/>
    <m/>
  </r>
  <r>
    <x v="0"/>
    <n v="48"/>
    <d v="2024-11-25T11:16:00"/>
    <d v="2024-11-25T11:20:00"/>
    <x v="64"/>
    <x v="0"/>
    <x v="3"/>
    <d v="1899-12-31T00:00:00"/>
    <s v="REEL// D&amp; D Collection report // COCHIN  INCOK // NOVEMBER WEEK 3"/>
    <x v="4"/>
    <x v="0"/>
    <m/>
  </r>
  <r>
    <x v="0"/>
    <n v="48"/>
    <d v="2024-11-25T11:48:00"/>
    <d v="2024-11-25T13:16:00"/>
    <x v="89"/>
    <x v="0"/>
    <x v="3"/>
    <d v="1899-12-31T00:00:00"/>
    <s v="REEL // D&amp; D COLLECTION // BANGLADESH // CHITTAGONG // NOVEMBER WEEK 3"/>
    <x v="8"/>
    <x v="0"/>
    <m/>
  </r>
  <r>
    <x v="0"/>
    <n v="48"/>
    <d v="2024-11-25T11:17:57"/>
    <d v="2024-11-25T11:19:00"/>
    <x v="90"/>
    <x v="0"/>
    <x v="3"/>
    <d v="1899-12-31T00:00:00"/>
    <s v="REEL // D &amp; D Collection report /// Visakhapatnam INVTZ // NOVEMBER WEEK 3"/>
    <x v="9"/>
    <x v="0"/>
    <m/>
  </r>
  <r>
    <x v="0"/>
    <n v="48"/>
    <d v="2024-11-25T11:17:23"/>
    <d v="2024-11-25T11:21:00"/>
    <x v="91"/>
    <x v="0"/>
    <x v="3"/>
    <d v="1899-12-31T00:00:00"/>
    <s v="REEL// D&amp; D Collection report // TUTICORIN INTUT //NOVEMBER WEEK 3"/>
    <x v="3"/>
    <x v="0"/>
    <m/>
  </r>
  <r>
    <x v="0"/>
    <n v="48"/>
    <d v="2024-11-25T11:16:56"/>
    <d v="2024-11-25T20:20:00"/>
    <x v="92"/>
    <x v="0"/>
    <x v="3"/>
    <d v="1899-12-31T00:00:00"/>
    <s v="REEL /// D &amp; D Collection report/// Chennai INMAA // NOVEMBER WEEK 3"/>
    <x v="1"/>
    <x v="0"/>
    <m/>
  </r>
  <r>
    <x v="1"/>
    <n v="40"/>
    <d v="2024-10-01T10:37:00"/>
    <d v="2024-10-01T10:37:00"/>
    <x v="93"/>
    <x v="0"/>
    <x v="3"/>
    <d v="1899-12-31T00:00:00"/>
    <s v="REEL// D &amp; D Collection report  //SRILANKA  COLOMBO // SEPTEMBER WEEK 4"/>
    <x v="0"/>
    <x v="1"/>
    <m/>
  </r>
  <r>
    <x v="1"/>
    <n v="40"/>
    <d v="2024-10-01T10:39:00"/>
    <d v="2024-10-01T10:52:00"/>
    <x v="21"/>
    <x v="0"/>
    <x v="3"/>
    <d v="1899-12-31T00:00:00"/>
    <s v="REEL // D&amp; D COLLECTION // MYANMAR // MMYGN+MMTLA+MMRGN // SEPTEMBER WEEK 4"/>
    <x v="10"/>
    <x v="1"/>
    <m/>
  </r>
  <r>
    <x v="1"/>
    <n v="40"/>
    <d v="2024-10-01T10:41:00"/>
    <d v="2024-10-01T10:43:00"/>
    <x v="94"/>
    <x v="0"/>
    <x v="3"/>
    <d v="1899-12-31T00:00:00"/>
    <s v="REEL// D&amp; D Collection report // TUTICORIN INTUT //SEPTEMBER WEEK 4"/>
    <x v="3"/>
    <x v="1"/>
    <m/>
  </r>
  <r>
    <x v="1"/>
    <n v="40"/>
    <d v="2024-10-01T10:42:00"/>
    <d v="2024-10-01T11:11:00"/>
    <x v="46"/>
    <x v="0"/>
    <x v="3"/>
    <d v="1899-12-31T00:00:00"/>
    <s v="REEL /// D &amp; D Collection report/// Chennai INMAA // SEPTEMBER WEEK 4"/>
    <x v="1"/>
    <x v="1"/>
    <m/>
  </r>
  <r>
    <x v="1"/>
    <n v="40"/>
    <d v="2024-10-01T10:43:00"/>
    <d v="2024-10-01T10:51:00"/>
    <x v="29"/>
    <x v="0"/>
    <x v="3"/>
    <d v="1899-12-31T00:00:00"/>
    <s v=" REEL// D&amp; D Collection report // COCHIN  INCOK // SEPTEMBER WEEK 4"/>
    <x v="4"/>
    <x v="1"/>
    <m/>
  </r>
  <r>
    <x v="1"/>
    <n v="40"/>
    <d v="2024-10-01T10:44:00"/>
    <d v="2024-10-01T10:52:00"/>
    <x v="29"/>
    <x v="0"/>
    <x v="3"/>
    <d v="1899-12-31T00:00:00"/>
    <s v="REEL // D &amp; D Collection report /// Visakhapatnam INVTZ //SEPTEMBER WEEK 4"/>
    <x v="7"/>
    <x v="1"/>
    <m/>
  </r>
  <r>
    <x v="1"/>
    <n v="40"/>
    <d v="2024-10-01T10:46:00"/>
    <d v="2024-10-01T14:19:00"/>
    <x v="95"/>
    <x v="0"/>
    <x v="3"/>
    <d v="1899-12-31T00:00:00"/>
    <s v="REEL // D&amp; D COLLECTION // BANGLADESH // CHITTAGONG // SEPTEMBER WEEK 4"/>
    <x v="8"/>
    <x v="1"/>
    <m/>
  </r>
  <r>
    <x v="1"/>
    <n v="40"/>
    <d v="2024-10-01T10:37:00"/>
    <d v="2024-10-01T15:28:00"/>
    <x v="96"/>
    <x v="0"/>
    <x v="3"/>
    <d v="1899-12-31T00:00:00"/>
    <s v="REEL// D &amp; D Collection report  //SRILANKA  COLOMBO // SEPTEMBER WEEK 3"/>
    <x v="0"/>
    <x v="1"/>
    <m/>
  </r>
  <r>
    <x v="1"/>
    <n v="40"/>
    <d v="2024-10-01T10:43:00"/>
    <d v="2024-10-01T10:51:00"/>
    <x v="29"/>
    <x v="0"/>
    <x v="3"/>
    <d v="1899-12-31T00:00:00"/>
    <s v="REEL// D&amp; D Collection report // COCHIN  INCOK // SEPTEMBER WEEK 3"/>
    <x v="4"/>
    <x v="1"/>
    <m/>
  </r>
  <r>
    <x v="1"/>
    <n v="40"/>
    <d v="2024-10-01T10:42:00"/>
    <d v="2024-10-01T11:11:00"/>
    <x v="46"/>
    <x v="0"/>
    <x v="3"/>
    <d v="1899-12-31T00:00:00"/>
    <s v="REEL /// D &amp; D Collection report/// Chennai INMAA // SEPTEMBER WEEK 3"/>
    <x v="1"/>
    <x v="1"/>
    <m/>
  </r>
  <r>
    <x v="1"/>
    <n v="40"/>
    <d v="2024-10-01T10:41:00"/>
    <d v="2024-10-01T10:43:00"/>
    <x v="94"/>
    <x v="0"/>
    <x v="3"/>
    <d v="1899-12-31T00:00:00"/>
    <s v="REEL// D&amp; D Collection report // TUTICORIN INTUT //SEPTEMBER WEEK 3"/>
    <x v="3"/>
    <x v="1"/>
    <m/>
  </r>
  <r>
    <x v="1"/>
    <n v="40"/>
    <d v="2024-10-01T10:39:00"/>
    <d v="2024-10-01T10:52:00"/>
    <x v="21"/>
    <x v="0"/>
    <x v="3"/>
    <d v="1899-12-31T00:00:00"/>
    <s v="REEL // D&amp; D COLLECTION // MYANMAR // MMYGN+MMTLA+MMRGN // SEPTEMBER WEEK 3"/>
    <x v="10"/>
    <x v="1"/>
    <m/>
  </r>
  <r>
    <x v="1"/>
    <n v="41"/>
    <d v="2024-10-07T14:40:00"/>
    <d v="2024-10-08T15:02:00"/>
    <x v="97"/>
    <x v="0"/>
    <x v="3"/>
    <d v="1899-12-31T00:00:00"/>
    <s v="REEL //D &amp; D Collection report /// KOLKATA+HALDIA  // INCCU+INHAL /// OCTOBER WEEK 1"/>
    <x v="2"/>
    <x v="1"/>
    <m/>
  </r>
  <r>
    <x v="1"/>
    <n v="41"/>
    <d v="2024-10-07T14:45:00"/>
    <d v="2024-10-08T10:40:00"/>
    <x v="98"/>
    <x v="0"/>
    <x v="3"/>
    <d v="1899-12-31T00:00:00"/>
    <s v="REEL// D &amp; D Collection report  //SRILANKA  COLOMBO // OCTOBER WEEK 1"/>
    <x v="0"/>
    <x v="1"/>
    <m/>
  </r>
  <r>
    <x v="1"/>
    <n v="41"/>
    <d v="2024-10-07T14:48:00"/>
    <d v="2024-10-08T10:36:00"/>
    <x v="99"/>
    <x v="0"/>
    <x v="3"/>
    <d v="1899-12-31T00:00:00"/>
    <s v="REEL // D&amp; D COLLECTION // MYANMAR // MMYGN+MMTLA+MMRGN // OCTOBER WEEK 1"/>
    <x v="10"/>
    <x v="1"/>
    <m/>
  </r>
  <r>
    <x v="1"/>
    <n v="41"/>
    <d v="2024-10-07T14:49:00"/>
    <d v="2024-10-07T14:59:00"/>
    <x v="2"/>
    <x v="0"/>
    <x v="3"/>
    <d v="1899-12-31T00:00:00"/>
    <s v="REEL// D&amp; D Collection report // TUTICORIN INTUT //OCTOBER WEEK 1"/>
    <x v="3"/>
    <x v="1"/>
    <m/>
  </r>
  <r>
    <x v="1"/>
    <n v="41"/>
    <d v="2024-10-07T14:51:00"/>
    <d v="2024-10-08T09:27:00"/>
    <x v="100"/>
    <x v="0"/>
    <x v="3"/>
    <d v="1899-12-31T00:00:00"/>
    <s v="REEL /// D &amp; D Collection report/// Chennai INMAA // OCTOBER WEEK 1"/>
    <x v="1"/>
    <x v="1"/>
    <m/>
  </r>
  <r>
    <x v="1"/>
    <n v="41"/>
    <d v="2024-10-07T14:55:00"/>
    <d v="2024-10-07T15:35:00"/>
    <x v="3"/>
    <x v="0"/>
    <x v="3"/>
    <d v="1899-12-31T00:00:00"/>
    <s v="REEL // D &amp; D Collection report /// Visakhapatnam INVTZ // OCTOBER WEEK 1"/>
    <x v="7"/>
    <x v="1"/>
    <m/>
  </r>
  <r>
    <x v="1"/>
    <n v="41"/>
    <d v="2024-10-07T14:56:00"/>
    <d v="2024-10-07T15:22:00"/>
    <x v="101"/>
    <x v="0"/>
    <x v="3"/>
    <d v="1899-12-31T00:00:00"/>
    <s v="REEL // D&amp; D COLLECTION // BANGLADESH // CHITTAGONG // OCTOBER WEEK 1"/>
    <x v="8"/>
    <x v="1"/>
    <m/>
  </r>
  <r>
    <x v="1"/>
    <n v="41"/>
    <d v="2024-10-07T14:49:00"/>
    <d v="2024-10-07T14:59:00"/>
    <x v="2"/>
    <x v="0"/>
    <x v="3"/>
    <d v="1899-12-31T00:00:00"/>
    <s v="REEL// D&amp; D Collection report // TUTICORIN INTUT //OCTOBER WEEK 1"/>
    <x v="3"/>
    <x v="1"/>
    <m/>
  </r>
  <r>
    <x v="1"/>
    <n v="42"/>
    <d v="2024-10-14T13:15:00"/>
    <d v="2024-10-15T12:13:00"/>
    <x v="102"/>
    <x v="0"/>
    <x v="3"/>
    <d v="1899-12-31T00:00:00"/>
    <s v="REEL //D &amp; D Collection report /// KOLKATA+HALDIA  // INCCU+INHAL /// OCTOBER WEEK 2"/>
    <x v="2"/>
    <x v="1"/>
    <m/>
  </r>
  <r>
    <x v="1"/>
    <n v="42"/>
    <d v="2024-10-14T13:16:00"/>
    <d v="2024-10-14T13:20:00"/>
    <x v="64"/>
    <x v="0"/>
    <x v="3"/>
    <d v="1899-12-31T00:00:00"/>
    <s v="REEL// D &amp; D Collection report  //SRILANKA  COLOMBO // OCTOBER WEEK 2"/>
    <x v="0"/>
    <x v="1"/>
    <m/>
  </r>
  <r>
    <x v="1"/>
    <n v="42"/>
    <d v="2024-10-14T13:17:00"/>
    <d v="2024-10-14T13:33:00"/>
    <x v="103"/>
    <x v="0"/>
    <x v="3"/>
    <d v="1899-12-31T00:00:00"/>
    <s v="REEL // D&amp; D COLLECTION // MYANMAR // MMYGN+MMTLA+MMRGN // OCTOBER WEEK 2"/>
    <x v="10"/>
    <x v="1"/>
    <m/>
  </r>
  <r>
    <x v="1"/>
    <n v="42"/>
    <d v="2024-10-14T13:20:00"/>
    <d v="2024-10-15T13:35:00"/>
    <x v="104"/>
    <x v="0"/>
    <x v="3"/>
    <d v="1899-12-31T00:00:00"/>
    <s v="REEL// D&amp; D Collection report // TUTICORIN INTUT //OCTOBER WEEK 2"/>
    <x v="3"/>
    <x v="1"/>
    <m/>
  </r>
  <r>
    <x v="1"/>
    <n v="42"/>
    <d v="2024-10-14T13:21:00"/>
    <d v="2024-10-15T00:16:00"/>
    <x v="105"/>
    <x v="0"/>
    <x v="3"/>
    <d v="1899-12-31T00:00:00"/>
    <s v="REEL /// D &amp; D Collection report/// Chennai INMAA // OCTOBER WEEK 2"/>
    <x v="1"/>
    <x v="1"/>
    <m/>
  </r>
  <r>
    <x v="1"/>
    <n v="42"/>
    <d v="2024-10-14T13:22:00"/>
    <d v="2024-10-14T13:23:00"/>
    <x v="106"/>
    <x v="0"/>
    <x v="3"/>
    <d v="1899-12-31T00:00:00"/>
    <s v="REEL // D &amp; D Collection report /// Visakhapatnam INVTZ // OCTOBER WEEK 2"/>
    <x v="7"/>
    <x v="1"/>
    <m/>
  </r>
  <r>
    <x v="1"/>
    <n v="42"/>
    <d v="2024-10-14T13:22:00"/>
    <d v="2024-10-14T14:02:00"/>
    <x v="3"/>
    <x v="0"/>
    <x v="3"/>
    <d v="1899-12-31T00:00:00"/>
    <s v="REEL // D&amp; D COLLECTION // BANGLADESH // CHITTAGONG // OCTOBER WEEK 2"/>
    <x v="8"/>
    <x v="1"/>
    <m/>
  </r>
  <r>
    <x v="1"/>
    <n v="42"/>
    <d v="2024-10-14T13:24:00"/>
    <d v="2024-10-15T10:57:00"/>
    <x v="107"/>
    <x v="0"/>
    <x v="3"/>
    <d v="1899-12-31T00:00:00"/>
    <s v="REEL// D&amp; D Collection report // COCHIN  INCOK // OCTOBER WEEK 2"/>
    <x v="4"/>
    <x v="1"/>
    <m/>
  </r>
  <r>
    <x v="1"/>
    <n v="43"/>
    <d v="2024-10-21T16:28:00"/>
    <d v="2024-10-23T10:22:00"/>
    <x v="108"/>
    <x v="0"/>
    <x v="3"/>
    <d v="1899-12-31T00:00:00"/>
    <s v="REEL //D &amp; D Collection report /// KOLKATA+HALDIA  // INCCU+INHAL /// OCTOBER WEEK 3"/>
    <x v="2"/>
    <x v="1"/>
    <m/>
  </r>
  <r>
    <x v="1"/>
    <n v="43"/>
    <d v="2024-10-21T16:30:00"/>
    <d v="2024-10-22T14:51:00"/>
    <x v="109"/>
    <x v="0"/>
    <x v="3"/>
    <d v="1899-12-31T00:00:00"/>
    <s v="REEL// D &amp; D Collection report  //SRILANKA  COLOMBO // OCTOBER WEEK 3"/>
    <x v="0"/>
    <x v="1"/>
    <m/>
  </r>
  <r>
    <x v="1"/>
    <n v="43"/>
    <d v="2024-10-21T16:31:00"/>
    <d v="2024-10-22T08:18:00"/>
    <x v="110"/>
    <x v="0"/>
    <x v="3"/>
    <d v="1899-12-31T00:00:00"/>
    <s v="REEL // D&amp; D COLLECTION // MYANMAR // MMYGN+MMTLA+MMRGN // OCTOBER WEEK 3"/>
    <x v="10"/>
    <x v="1"/>
    <m/>
  </r>
  <r>
    <x v="1"/>
    <n v="43"/>
    <d v="2024-10-23T12:11:00"/>
    <d v="2024-10-23T12:16:00"/>
    <x v="19"/>
    <x v="0"/>
    <x v="3"/>
    <d v="1899-12-31T00:00:00"/>
    <s v="REEL /// D &amp; D Collection report/// Chennai INMAA // OCTOBER WEEK 3"/>
    <x v="1"/>
    <x v="1"/>
    <m/>
  </r>
  <r>
    <x v="1"/>
    <n v="43"/>
    <d v="2024-10-21T16:32:00"/>
    <d v="2024-10-21T16:35:00"/>
    <x v="36"/>
    <x v="0"/>
    <x v="3"/>
    <d v="1899-12-31T00:00:00"/>
    <s v="REEL// D&amp; D Collection report // TUTICORIN INTUT //OCTOBER WEEK 3"/>
    <x v="3"/>
    <x v="1"/>
    <m/>
  </r>
  <r>
    <x v="1"/>
    <n v="43"/>
    <d v="2024-10-21T16:34:00"/>
    <d v="2024-10-23T10:31:00"/>
    <x v="111"/>
    <x v="0"/>
    <x v="3"/>
    <d v="1899-12-31T00:00:00"/>
    <s v="REEL // D &amp; D Collection report /// Visakhapatnam INVTZ // OCTOBER WEEK 3"/>
    <x v="7"/>
    <x v="1"/>
    <m/>
  </r>
  <r>
    <x v="1"/>
    <n v="43"/>
    <d v="2024-10-21T16:34:00"/>
    <d v="2024-10-21T16:52:00"/>
    <x v="112"/>
    <x v="0"/>
    <x v="3"/>
    <d v="1899-12-31T00:00:00"/>
    <s v="REEL // D&amp; D COLLECTION // BANGLADESH // CHITTAGONG // OCTOBER WEEK 3"/>
    <x v="8"/>
    <x v="1"/>
    <m/>
  </r>
  <r>
    <x v="1"/>
    <n v="43"/>
    <d v="2024-10-21T16:35:00"/>
    <d v="2024-10-21T16:40:00"/>
    <x v="19"/>
    <x v="0"/>
    <x v="3"/>
    <d v="1899-12-31T00:00:00"/>
    <s v="REEL// D&amp; D Collection report // COCHIN  INCOK // OCTOBER WEEK 3"/>
    <x v="4"/>
    <x v="1"/>
    <m/>
  </r>
  <r>
    <x v="1"/>
    <n v="43"/>
    <d v="2024-10-21T16:34:00"/>
    <d v="2024-10-23T10:31:00"/>
    <x v="111"/>
    <x v="0"/>
    <x v="3"/>
    <d v="1899-12-31T00:00:00"/>
    <s v="REEL // D &amp; D Collection report /// Visakhapatnam INVTZ // OCTOBER WEEK 3"/>
    <x v="7"/>
    <x v="1"/>
    <m/>
  </r>
  <r>
    <x v="0"/>
    <n v="45"/>
    <d v="2024-11-01T12:38:00"/>
    <d v="2024-11-05T11:43:00"/>
    <x v="113"/>
    <x v="0"/>
    <x v="3"/>
    <d v="1899-12-31T00:00:00"/>
    <s v="REEL //D &amp; D Collection report /// KOLKATA+HALDIA  // INCCU+INHAL /// OCTOBER WEEK 4"/>
    <x v="2"/>
    <x v="1"/>
    <m/>
  </r>
  <r>
    <x v="0"/>
    <n v="44"/>
    <d v="2024-11-01T12:40:00"/>
    <d v="2024-11-01T12:49:00"/>
    <x v="69"/>
    <x v="0"/>
    <x v="3"/>
    <d v="1899-12-31T00:00:00"/>
    <s v="REEL// D &amp; D Collection report  //SRILANKA  COLOMBO // OCTOBER WEEK 4"/>
    <x v="0"/>
    <x v="1"/>
    <m/>
  </r>
  <r>
    <x v="0"/>
    <n v="45"/>
    <d v="2024-11-01T12:40:00"/>
    <d v="2024-11-04T13:53:00"/>
    <x v="114"/>
    <x v="0"/>
    <x v="3"/>
    <d v="1899-12-31T00:00:00"/>
    <s v="REEL // D&amp; D COLLECTION // MYANMAR // MMYGN+MMTLA+MMRGN // OCTOBER WEEK 4"/>
    <x v="10"/>
    <x v="1"/>
    <m/>
  </r>
  <r>
    <x v="0"/>
    <n v="44"/>
    <d v="2024-11-01T12:42:00"/>
    <d v="2024-11-01T13:01:00"/>
    <x v="74"/>
    <x v="0"/>
    <x v="3"/>
    <d v="1899-12-31T00:00:00"/>
    <s v="REEL// D&amp; D Collection report // TUTICORIN INTUT //OCTOBER WEEK 4"/>
    <x v="3"/>
    <x v="1"/>
    <m/>
  </r>
  <r>
    <x v="0"/>
    <n v="44"/>
    <d v="2024-11-01T12:43:00"/>
    <d v="2024-11-01T13:11:00"/>
    <x v="13"/>
    <x v="0"/>
    <x v="3"/>
    <d v="1899-12-31T00:00:00"/>
    <s v="REEL // D &amp; D Collection report /// Visakhapatnam INVTZ // OCTOBER WEEK 4"/>
    <x v="7"/>
    <x v="1"/>
    <m/>
  </r>
  <r>
    <x v="0"/>
    <n v="45"/>
    <d v="2024-11-01T12:45:00"/>
    <d v="2024-11-03T08:57:00"/>
    <x v="115"/>
    <x v="0"/>
    <x v="3"/>
    <d v="1899-12-31T00:00:00"/>
    <s v="REEL // D&amp; D COLLECTION // BANGLADESH // CHITTAGONG // OCTOBER WEEK 4"/>
    <x v="8"/>
    <x v="1"/>
    <m/>
  </r>
  <r>
    <x v="0"/>
    <n v="45"/>
    <d v="2024-11-01T12:45:00"/>
    <d v="2024-11-04T11:41:00"/>
    <x v="116"/>
    <x v="0"/>
    <x v="3"/>
    <d v="1899-12-31T00:00:00"/>
    <s v=" REEL// D&amp; D Collection report // COCHIN  INCOK // OCTOBER WEEK 4"/>
    <x v="4"/>
    <x v="1"/>
    <m/>
  </r>
  <r>
    <x v="0"/>
    <n v="45"/>
    <d v="2024-11-08T17:34:00"/>
    <d v="2024-11-09T19:19:00"/>
    <x v="117"/>
    <x v="0"/>
    <x v="3"/>
    <d v="1899-12-31T00:00:00"/>
    <s v="REEL //D &amp; D Collection report /// KOLKATA+HALDIA  // INCCU+INHAL /// NOVEMBER WEEK 1"/>
    <x v="2"/>
    <x v="1"/>
    <m/>
  </r>
  <r>
    <x v="0"/>
    <n v="45"/>
    <d v="2024-11-08T17:35:00"/>
    <d v="2024-11-08T17:37:00"/>
    <x v="94"/>
    <x v="0"/>
    <x v="3"/>
    <d v="1899-12-31T00:00:00"/>
    <s v="REEL// D &amp; D Collection report  //SRILANKA  COLOMBO // NOVEMBER WEEK 1"/>
    <x v="0"/>
    <x v="1"/>
    <m/>
  </r>
  <r>
    <x v="0"/>
    <n v="46"/>
    <d v="2024-11-08T17:36:00"/>
    <d v="2024-11-12T09:29:00"/>
    <x v="118"/>
    <x v="0"/>
    <x v="3"/>
    <d v="1899-12-31T00:00:00"/>
    <s v="REEL // D&amp; D COLLECTION // MYANMAR // MMYGN+MMTLA+MMRGN // NOVEMBER WEEK 1"/>
    <x v="10"/>
    <x v="1"/>
    <m/>
  </r>
  <r>
    <x v="0"/>
    <n v="46"/>
    <d v="2024-11-08T17:37:00"/>
    <d v="2024-11-12T19:43:00"/>
    <x v="119"/>
    <x v="0"/>
    <x v="3"/>
    <d v="1899-12-31T00:00:00"/>
    <s v="REEL /// D &amp; D Collection report/// Chennai INMAA // NOVEMBER WEEK 1"/>
    <x v="1"/>
    <x v="1"/>
    <m/>
  </r>
  <r>
    <x v="0"/>
    <n v="45"/>
    <d v="2024-11-08T17:38:00"/>
    <d v="2024-11-08T17:40:00"/>
    <x v="94"/>
    <x v="0"/>
    <x v="3"/>
    <d v="1899-12-31T00:00:00"/>
    <s v="REEL// D&amp; D Collection report // TUTICORIN INTUT //NOVEMBER WEEK 1"/>
    <x v="3"/>
    <x v="1"/>
    <m/>
  </r>
  <r>
    <x v="0"/>
    <n v="45"/>
    <d v="2024-11-08T17:39:00"/>
    <d v="2024-11-08T17:48:00"/>
    <x v="69"/>
    <x v="0"/>
    <x v="3"/>
    <d v="1899-12-31T00:00:00"/>
    <s v="REEL // D &amp; D Collection report /// Visakhapatnam INVTZ // NOVEMBER WEEK 1"/>
    <x v="7"/>
    <x v="1"/>
    <m/>
  </r>
  <r>
    <x v="0"/>
    <n v="46"/>
    <d v="2024-11-08T17:40:00"/>
    <d v="2024-11-10T09:25:00"/>
    <x v="120"/>
    <x v="0"/>
    <x v="3"/>
    <d v="1899-12-31T00:00:00"/>
    <s v="REEL // D&amp; D COLLECTION // BANGLADESH // CHITTAGONG // NOVEMBER WEEK 1"/>
    <x v="8"/>
    <x v="1"/>
    <m/>
  </r>
  <r>
    <x v="0"/>
    <n v="45"/>
    <d v="2024-11-08T17:41:00"/>
    <d v="2024-11-08T18:34:00"/>
    <x v="18"/>
    <x v="0"/>
    <x v="3"/>
    <d v="1899-12-31T00:00:00"/>
    <s v="REEL// D&amp; D Collection report // COCHIN  INCOK // NOVEMBER WEEK 1"/>
    <x v="4"/>
    <x v="1"/>
    <m/>
  </r>
  <r>
    <x v="0"/>
    <n v="45"/>
    <d v="2024-11-05T15:22:00"/>
    <d v="2024-11-05T18:11:00"/>
    <x v="121"/>
    <x v="0"/>
    <x v="4"/>
    <d v="1900-01-01T00:00:00"/>
    <s v="Due diligence MUARA 24131N"/>
    <x v="11"/>
    <x v="0"/>
    <m/>
  </r>
  <r>
    <x v="0"/>
    <n v="45"/>
    <d v="2024-11-06T11:22:00"/>
    <d v="2024-11-06T12:53:00"/>
    <x v="58"/>
    <x v="0"/>
    <x v="4"/>
    <d v="1900-01-01T00:00:00"/>
    <s v="CM file"/>
    <x v="11"/>
    <x v="0"/>
    <m/>
  </r>
  <r>
    <x v="0"/>
    <n v="46"/>
    <d v="2024-11-15T14:00:00"/>
    <d v="2024-11-15T19:14:00"/>
    <x v="122"/>
    <x v="0"/>
    <x v="4"/>
    <d v="1900-01-01T00:00:00"/>
    <s v="Due diligence files 5CX BIGLI 24035W"/>
    <x v="12"/>
    <x v="0"/>
    <m/>
  </r>
  <r>
    <x v="0"/>
    <n v="47"/>
    <d v="2024-11-18T15:15:00"/>
    <d v="2024-11-19T15:15:00"/>
    <x v="123"/>
    <x v="0"/>
    <x v="4"/>
    <d v="1900-01-01T00:00:00"/>
    <s v="Due diligence Bigli 24035W (5 files)"/>
    <x v="12"/>
    <x v="0"/>
    <m/>
  </r>
  <r>
    <x v="0"/>
    <n v="47"/>
    <d v="2024-11-18T16:47:00"/>
    <d v="2024-11-19T15:56:00"/>
    <x v="124"/>
    <x v="0"/>
    <x v="4"/>
    <d v="1900-01-01T00:00:00"/>
    <s v="RE: Due diligence files 5CX BIGLI 24035W"/>
    <x v="12"/>
    <x v="0"/>
    <m/>
  </r>
  <r>
    <x v="0"/>
    <n v="47"/>
    <d v="2024-11-15T23:54:00"/>
    <d v="2024-11-19T15:58:00"/>
    <x v="125"/>
    <x v="0"/>
    <x v="4"/>
    <d v="1900-01-01T00:00:00"/>
    <s v="RE: Due diligence files PINOCCHIO - 5CX"/>
    <x v="12"/>
    <x v="0"/>
    <m/>
  </r>
  <r>
    <x v="0"/>
    <n v="47"/>
    <d v="2024-11-19T18:28:00"/>
    <d v="2024-11-19T18:28:00"/>
    <x v="93"/>
    <x v="0"/>
    <x v="4"/>
    <d v="1900-01-01T00:00:00"/>
    <s v="RE: Due diligence files SIMBA 24037W - 5CX"/>
    <x v="12"/>
    <x v="0"/>
    <m/>
  </r>
  <r>
    <x v="0"/>
    <n v="47"/>
    <d v="2024-11-20T15:20:00"/>
    <d v="2024-11-20T15:20:00"/>
    <x v="93"/>
    <x v="0"/>
    <x v="4"/>
    <d v="1900-01-01T00:00:00"/>
    <s v="RE: Due diligence files TIMON - 5CX"/>
    <x v="12"/>
    <x v="0"/>
    <m/>
  </r>
  <r>
    <x v="0"/>
    <n v="47"/>
    <d v="2024-11-21T16:06:00"/>
    <d v="2024-11-21T16:06:00"/>
    <x v="93"/>
    <x v="0"/>
    <x v="4"/>
    <d v="1900-01-01T00:00:00"/>
    <s v="RE: Due diligence files MOANA - 5CX (5 Files)"/>
    <x v="12"/>
    <x v="0"/>
    <m/>
  </r>
  <r>
    <x v="0"/>
    <n v="48"/>
    <d v="2024-11-25T12:55:00"/>
    <d v="2024-11-25T14:37:00"/>
    <x v="126"/>
    <x v="0"/>
    <x v="4"/>
    <d v="1900-01-01T00:00:00"/>
    <s v="FW: Due Diligence report TIMON 24036W / CNNGB - SEA LEAD  [MCaaS #25564897]"/>
    <x v="12"/>
    <x v="0"/>
    <m/>
  </r>
  <r>
    <x v="0"/>
    <n v="48"/>
    <d v="2024-11-25T12:55:00"/>
    <d v="2024-11-28T12:42:00"/>
    <x v="127"/>
    <x v="0"/>
    <x v="4"/>
    <d v="1900-01-01T00:00:00"/>
    <s v="RE: Due diligence files TIMON - 5CX"/>
    <x v="12"/>
    <x v="0"/>
    <m/>
  </r>
  <r>
    <x v="0"/>
    <n v="48"/>
    <d v="2024-11-28T11:37:00"/>
    <d v="2024-11-28T12:50:00"/>
    <x v="30"/>
    <x v="0"/>
    <x v="4"/>
    <d v="1900-01-01T00:00:00"/>
    <s v="RE: Due diligence files ZHONG GU LAN ZHOU 24040W"/>
    <x v="12"/>
    <x v="0"/>
    <m/>
  </r>
  <r>
    <x v="1"/>
    <n v="40"/>
    <d v="2024-10-01T11:11:00"/>
    <d v="2024-10-04T11:47:00"/>
    <x v="128"/>
    <x v="0"/>
    <x v="4"/>
    <d v="1900-01-01T00:00:00"/>
    <s v="Due diligence VICTORIA FORTUNE 24065N"/>
    <x v="13"/>
    <x v="1"/>
    <m/>
  </r>
  <r>
    <x v="1"/>
    <n v="40"/>
    <d v="2024-10-02T13:52:00"/>
    <d v="2024-10-02T22:00:00"/>
    <x v="129"/>
    <x v="0"/>
    <x v="4"/>
    <d v="1900-01-01T00:00:00"/>
    <s v="Due diligence ACE 2435N"/>
    <x v="13"/>
    <x v="1"/>
    <m/>
  </r>
  <r>
    <x v="1"/>
    <n v="40"/>
    <d v="2024-10-03T12:12:00"/>
    <d v="2024-10-04T11:47:00"/>
    <x v="130"/>
    <x v="0"/>
    <x v="4"/>
    <d v="1900-01-01T00:00:00"/>
    <s v="Due diligence Victoria Fortune 24065S"/>
    <x v="13"/>
    <x v="1"/>
    <m/>
  </r>
  <r>
    <x v="1"/>
    <n v="41"/>
    <d v="2024-10-07T14:34:00"/>
    <d v="2024-10-07T17:07:00"/>
    <x v="41"/>
    <x v="0"/>
    <x v="4"/>
    <d v="1900-01-01T00:00:00"/>
    <s v="Due diligence TB ANPING RUBLT "/>
    <x v="13"/>
    <x v="1"/>
    <m/>
  </r>
  <r>
    <x v="1"/>
    <n v="41"/>
    <d v="2024-10-08T12:30:00"/>
    <d v="2024-10-08T16:51:00"/>
    <x v="131"/>
    <x v="0"/>
    <x v="4"/>
    <d v="1900-01-01T00:00:00"/>
    <s v="Due diligence DHANU 2466S"/>
    <x v="13"/>
    <x v="1"/>
    <m/>
  </r>
  <r>
    <x v="1"/>
    <n v="41"/>
    <d v="2024-10-08T12:26:00"/>
    <d v="2024-10-08T13:04:00"/>
    <x v="73"/>
    <x v="1"/>
    <x v="4"/>
    <d v="1900-01-01T00:00:00"/>
    <s v="Crios // Due Diligence CERUS 24013S - "/>
    <x v="13"/>
    <x v="1"/>
    <m/>
  </r>
  <r>
    <x v="1"/>
    <n v="42"/>
    <d v="2024-10-11T16:59:00"/>
    <d v="2024-10-14T11:21:00"/>
    <x v="132"/>
    <x v="0"/>
    <x v="4"/>
    <d v="1900-01-01T00:00:00"/>
    <s v="Due diligence MUARA 24030N"/>
    <x v="13"/>
    <x v="1"/>
    <m/>
  </r>
  <r>
    <x v="1"/>
    <n v="41"/>
    <d v="2024-10-09T15:33:00"/>
    <d v="2024-10-09T17:44:00"/>
    <x v="133"/>
    <x v="0"/>
    <x v="4"/>
    <d v="1900-01-01T00:00:00"/>
    <s v="MV AEOLUS - RU Waters DD V24045 N"/>
    <x v="13"/>
    <x v="1"/>
    <m/>
  </r>
  <r>
    <x v="1"/>
    <n v="42"/>
    <d v="2024-10-11T20:29:00"/>
    <d v="2024-10-16T14:41:00"/>
    <x v="134"/>
    <x v="0"/>
    <x v="4"/>
    <d v="1900-01-01T00:00:00"/>
    <s v="Due diligence -  ACE 2435S - export from RULED"/>
    <x v="13"/>
    <x v="1"/>
    <m/>
  </r>
  <r>
    <x v="1"/>
    <n v="42"/>
    <d v="2024-10-14T11:17:00"/>
    <d v="2024-10-14T11:21:00"/>
    <x v="64"/>
    <x v="0"/>
    <x v="4"/>
    <d v="1900-01-01T00:00:00"/>
    <s v=" Due diligence report // RUKLD // MUARA 24030S"/>
    <x v="13"/>
    <x v="1"/>
    <m/>
  </r>
  <r>
    <x v="1"/>
    <n v="42"/>
    <d v="2024-10-15T13:05:00"/>
    <d v="2024-10-16T10:54:00"/>
    <x v="135"/>
    <x v="0"/>
    <x v="4"/>
    <d v="1900-01-01T00:00:00"/>
    <s v="Due diligence CERUS 24018N"/>
    <x v="13"/>
    <x v="1"/>
    <m/>
  </r>
  <r>
    <x v="1"/>
    <n v="42"/>
    <d v="2024-10-05T13:05:00"/>
    <d v="2024-10-16T16:21:00"/>
    <x v="136"/>
    <x v="0"/>
    <x v="4"/>
    <d v="1900-01-01T00:00:00"/>
    <s v="Due diligence CERUS 24018N"/>
    <x v="13"/>
    <x v="1"/>
    <m/>
  </r>
  <r>
    <x v="1"/>
    <n v="42"/>
    <d v="2024-10-15T19:09:00"/>
    <d v="2024-10-16T14:41:00"/>
    <x v="137"/>
    <x v="0"/>
    <x v="4"/>
    <d v="1900-01-01T00:00:00"/>
    <s v="Due diligence ACE 2435S"/>
    <x v="13"/>
    <x v="1"/>
    <m/>
  </r>
  <r>
    <x v="1"/>
    <n v="42"/>
    <d v="2024-10-15T19:44:00"/>
    <d v="2024-10-16T14:50:00"/>
    <x v="138"/>
    <x v="0"/>
    <x v="4"/>
    <d v="1900-01-01T00:00:00"/>
    <s v="Due diligence VICTORIA FORTUNE 24066S"/>
    <x v="13"/>
    <x v="1"/>
    <m/>
  </r>
  <r>
    <x v="1"/>
    <n v="42"/>
    <d v="2024-10-15T17:37:00"/>
    <d v="2024-10-16T16:40:00"/>
    <x v="139"/>
    <x v="0"/>
    <x v="4"/>
    <d v="1900-01-01T00:00:00"/>
    <s v="VICTORIA FORTUNE - DD"/>
    <x v="13"/>
    <x v="1"/>
    <m/>
  </r>
  <r>
    <x v="1"/>
    <n v="42"/>
    <d v="2024-10-15T17:36:00"/>
    <d v="2024-10-16T11:47:00"/>
    <x v="140"/>
    <x v="0"/>
    <x v="4"/>
    <d v="1900-01-01T00:00:00"/>
    <s v="AEOLUS - DD"/>
    <x v="13"/>
    <x v="1"/>
    <m/>
  </r>
  <r>
    <x v="1"/>
    <n v="42"/>
    <d v="2024-10-16T18:21:00"/>
    <d v="2024-10-17T14:44:00"/>
    <x v="141"/>
    <x v="0"/>
    <x v="4"/>
    <d v="1900-01-01T00:00:00"/>
    <s v="Due diligence ANDREI TITOV 24027N"/>
    <x v="13"/>
    <x v="1"/>
    <m/>
  </r>
  <r>
    <x v="1"/>
    <n v="43"/>
    <d v="2024-10-22T18:04:00"/>
    <d v="2024-10-22T18:25:00"/>
    <x v="39"/>
    <x v="0"/>
    <x v="4"/>
    <d v="1900-01-01T00:00:00"/>
    <s v="REEL DUE DILIGENCE//Hong Yong Lan Tian 24082S ex VRA "/>
    <x v="13"/>
    <x v="1"/>
    <m/>
  </r>
  <r>
    <x v="1"/>
    <n v="43"/>
    <d v="2024-10-22T18:03:00"/>
    <d v="2024-10-22T18:43:00"/>
    <x v="3"/>
    <x v="0"/>
    <x v="4"/>
    <d v="1900-01-01T00:00:00"/>
    <s v="Due diligence YUAN XIANG FEN JIN 24135S"/>
    <x v="13"/>
    <x v="1"/>
    <m/>
  </r>
  <r>
    <x v="1"/>
    <n v="43"/>
    <d v="2024-10-21T16:19:00"/>
    <d v="2024-10-22T15:17:00"/>
    <x v="102"/>
    <x v="0"/>
    <x v="4"/>
    <d v="1900-01-01T00:00:00"/>
    <s v="Due diligence ANDREI TITOV 24027S"/>
    <x v="13"/>
    <x v="1"/>
    <m/>
  </r>
  <r>
    <x v="1"/>
    <n v="43"/>
    <d v="2024-10-19T21:18:00"/>
    <d v="2024-10-20T00:34:00"/>
    <x v="142"/>
    <x v="0"/>
    <x v="4"/>
    <d v="1900-01-01T00:00:00"/>
    <s v="Due diligence ROB 2486N"/>
    <x v="13"/>
    <x v="1"/>
    <m/>
  </r>
  <r>
    <x v="1"/>
    <n v="43"/>
    <d v="2024-10-19T15:28:00"/>
    <d v="2024-10-20T00:47:00"/>
    <x v="143"/>
    <x v="0"/>
    <x v="4"/>
    <d v="1900-01-01T00:00:00"/>
    <s v="Due diligence ROB 2486N POL MACAS"/>
    <x v="13"/>
    <x v="1"/>
    <m/>
  </r>
  <r>
    <x v="0"/>
    <n v="46"/>
    <d v="2024-11-12T17:46:00"/>
    <d v="2024-11-12T18:20:00"/>
    <x v="144"/>
    <x v="0"/>
    <x v="4"/>
    <d v="1900-01-01T00:00:00"/>
    <s v="Due diligence ACE 2436N"/>
    <x v="13"/>
    <x v="1"/>
    <m/>
  </r>
  <r>
    <x v="1"/>
    <n v="44"/>
    <d v="2024-10-28T13:41:00"/>
    <d v="2024-10-29T11:13:00"/>
    <x v="145"/>
    <x v="0"/>
    <x v="4"/>
    <d v="1900-01-01T00:00:00"/>
    <s v="24067 Victoria Fortune manifest DD"/>
    <x v="13"/>
    <x v="1"/>
    <m/>
  </r>
  <r>
    <x v="0"/>
    <n v="44"/>
    <d v="2024-10-30T13:13:00"/>
    <d v="2024-11-01T11:14:00"/>
    <x v="146"/>
    <x v="0"/>
    <x v="4"/>
    <d v="1900-01-01T00:00:00"/>
    <s v="Due diligence DHANU 2468N TRALI/MACAS"/>
    <x v="13"/>
    <x v="1"/>
    <m/>
  </r>
  <r>
    <x v="0"/>
    <n v="46"/>
    <d v="2024-11-12T14:39:00"/>
    <d v="2024-11-12T18:20:00"/>
    <x v="147"/>
    <x v="0"/>
    <x v="4"/>
    <d v="1900-01-01T00:00:00"/>
    <s v="Due diligence ACE 2436N"/>
    <x v="13"/>
    <x v="1"/>
    <m/>
  </r>
  <r>
    <x v="0"/>
    <n v="45"/>
    <d v="2024-11-06T12:38:00"/>
    <d v="2024-11-06T12:38:00"/>
    <x v="93"/>
    <x v="0"/>
    <x v="4"/>
    <d v="1900-01-01T00:00:00"/>
    <s v="24068 Victoria Fortune manifest DD"/>
    <x v="13"/>
    <x v="1"/>
    <m/>
  </r>
  <r>
    <x v="0"/>
    <n v="45"/>
    <d v="2024-11-06T16:20:00"/>
    <d v="2024-11-07T16:22:00"/>
    <x v="148"/>
    <x v="0"/>
    <x v="4"/>
    <d v="1900-01-01T00:00:00"/>
    <s v="ANDREI TITOV 24028N TRMPT &amp; TRALI"/>
    <x v="13"/>
    <x v="1"/>
    <m/>
  </r>
  <r>
    <x v="0"/>
    <n v="45"/>
    <d v="2024-11-07T13:01:00"/>
    <d v="2024-11-07T16:29:00"/>
    <x v="149"/>
    <x v="0"/>
    <x v="4"/>
    <d v="1900-01-01T00:00:00"/>
    <s v="ANDREI TITOV 24028S"/>
    <x v="13"/>
    <x v="1"/>
    <m/>
  </r>
  <r>
    <x v="0"/>
    <n v="46"/>
    <d v="2024-11-08T18:30:00"/>
    <d v="2024-11-11T11:23:00"/>
    <x v="150"/>
    <x v="0"/>
    <x v="4"/>
    <d v="1900-01-01T00:00:00"/>
    <s v="  CERUS 24018S"/>
    <x v="13"/>
    <x v="1"/>
    <m/>
  </r>
  <r>
    <x v="0"/>
    <n v="46"/>
    <d v="2024-11-11T16:47:00"/>
    <d v="2024-11-11T17:50:00"/>
    <x v="151"/>
    <x v="0"/>
    <x v="4"/>
    <d v="1900-01-01T00:00:00"/>
    <s v="REEL DUE DILIGENCE//HAO HAI JI YUN 24210S"/>
    <x v="13"/>
    <x v="1"/>
    <m/>
  </r>
  <r>
    <x v="0"/>
    <n v="46"/>
    <d v="2024-11-11T18:13:00"/>
    <d v="2024-11-11T18:13:00"/>
    <x v="93"/>
    <x v="0"/>
    <x v="4"/>
    <d v="1900-01-01T00:00:00"/>
    <s v="REEL DUE DILIGENCE//Hong Yong Lan Tian 24083S ex VRA"/>
    <x v="13"/>
    <x v="1"/>
    <m/>
  </r>
  <r>
    <x v="0"/>
    <n v="46"/>
    <d v="2024-11-12T17:46:00"/>
    <d v="2024-11-12T18:20:00"/>
    <x v="144"/>
    <x v="0"/>
    <x v="4"/>
    <d v="1900-01-01T00:00:00"/>
    <s v="ACE 2436N MACAS"/>
    <x v="13"/>
    <x v="1"/>
    <m/>
  </r>
  <r>
    <x v="0"/>
    <n v="46"/>
    <d v="2024-11-12T16:23:00"/>
    <d v="2024-11-13T12:00:00"/>
    <x v="152"/>
    <x v="0"/>
    <x v="4"/>
    <d v="1900-01-01T00:00:00"/>
    <s v="ANDREI TITOV 24029N"/>
    <x v="13"/>
    <x v="1"/>
    <m/>
  </r>
  <r>
    <x v="0"/>
    <n v="46"/>
    <d v="2024-11-12T14:46:00"/>
    <d v="2024-11-12T16:09:00"/>
    <x v="153"/>
    <x v="0"/>
    <x v="4"/>
    <d v="1900-01-01T00:00:00"/>
    <s v="VICTORIA FORTUNE 24068S"/>
    <x v="13"/>
    <x v="1"/>
    <m/>
  </r>
  <r>
    <x v="0"/>
    <n v="46"/>
    <d v="2024-11-12T13:44:00"/>
    <d v="2024-11-13T11:32:00"/>
    <x v="154"/>
    <x v="0"/>
    <x v="4"/>
    <d v="1900-01-01T00:00:00"/>
    <s v="CUL JAKARTA"/>
    <x v="13"/>
    <x v="1"/>
    <m/>
  </r>
  <r>
    <x v="0"/>
    <n v="47"/>
    <d v="2024-11-18T12:35:00"/>
    <d v="2024-11-19T18:28:00"/>
    <x v="155"/>
    <x v="0"/>
    <x v="4"/>
    <d v="1900-01-01T00:00:00"/>
    <s v="Reel Due diligence // Format // RUSSIA _POL RUBLT DHANU 2468S"/>
    <x v="13"/>
    <x v="1"/>
    <m/>
  </r>
  <r>
    <x v="0"/>
    <n v="47"/>
    <d v="2024-11-15T19:14:00"/>
    <d v="2024-11-18T16:47:00"/>
    <x v="156"/>
    <x v="0"/>
    <x v="4"/>
    <d v="1900-01-01T00:00:00"/>
    <s v="1. BIGLI 24035W"/>
    <x v="14"/>
    <x v="1"/>
    <m/>
  </r>
  <r>
    <x v="0"/>
    <n v="47"/>
    <d v="2024-11-18T14:35:00"/>
    <d v="2024-11-19T14:31:00"/>
    <x v="157"/>
    <x v="0"/>
    <x v="4"/>
    <d v="1900-01-01T00:00:00"/>
    <s v="2. TIMON 24036W"/>
    <x v="14"/>
    <x v="1"/>
    <m/>
  </r>
  <r>
    <x v="0"/>
    <n v="47"/>
    <d v="2024-11-18T14:56:00"/>
    <d v="2024-11-18T18:40:00"/>
    <x v="158"/>
    <x v="0"/>
    <x v="4"/>
    <d v="1900-01-01T00:00:00"/>
    <s v="4. YOGI 24038W"/>
    <x v="14"/>
    <x v="1"/>
    <m/>
  </r>
  <r>
    <x v="0"/>
    <n v="47"/>
    <d v="2024-11-19T10:42:00"/>
    <d v="2024-11-22T11:00:00"/>
    <x v="159"/>
    <x v="0"/>
    <x v="4"/>
    <d v="1900-01-01T00:00:00"/>
    <s v="5. RANTANPLAN"/>
    <x v="14"/>
    <x v="1"/>
    <m/>
  </r>
  <r>
    <x v="0"/>
    <n v="47"/>
    <d v="2024-11-18T18:59:00"/>
    <d v="2024-11-19T18:10:00"/>
    <x v="160"/>
    <x v="0"/>
    <x v="4"/>
    <d v="1900-01-01T00:00:00"/>
    <s v="6. ZHONG GU LAN ZHOU 24040W"/>
    <x v="14"/>
    <x v="1"/>
    <m/>
  </r>
  <r>
    <x v="0"/>
    <n v="47"/>
    <d v="2024-11-21T17:19:00"/>
    <d v="2024-11-22T14:30:00"/>
    <x v="161"/>
    <x v="0"/>
    <x v="4"/>
    <d v="1900-01-01T00:00:00"/>
    <s v="RUNVS-TDR-ANDREI TITOV 24029S"/>
    <x v="13"/>
    <x v="1"/>
    <m/>
  </r>
  <r>
    <x v="0"/>
    <n v="47"/>
    <d v="2024-11-18T14:56:00"/>
    <d v="2024-11-19T14:29:00"/>
    <x v="162"/>
    <x v="0"/>
    <x v="4"/>
    <d v="1900-01-01T00:00:00"/>
    <s v="MUARA"/>
    <x v="13"/>
    <x v="1"/>
    <m/>
  </r>
  <r>
    <x v="0"/>
    <n v="47"/>
    <d v="2024-11-21T11:19:00"/>
    <d v="2024-11-21T16:02:00"/>
    <x v="163"/>
    <x v="0"/>
    <x v="4"/>
    <d v="1900-01-01T00:00:00"/>
    <s v="VICTORIA FORTUNE - DD docs and SPIRE inf V.24069N"/>
    <x v="13"/>
    <x v="1"/>
    <m/>
  </r>
  <r>
    <x v="0"/>
    <n v="47"/>
    <d v="2024-11-21T17:19:00"/>
    <d v="2024-11-22T14:30:00"/>
    <x v="161"/>
    <x v="0"/>
    <x v="4"/>
    <d v="1900-01-01T00:00:00"/>
    <s v="Reel Due diligence // Format // RUSSIA _POL RUBLT TB ANPING 24071S"/>
    <x v="13"/>
    <x v="1"/>
    <m/>
  </r>
  <r>
    <x v="0"/>
    <n v="47"/>
    <d v="2024-11-19T14:14:00"/>
    <d v="2024-11-21T17:46:00"/>
    <x v="164"/>
    <x v="0"/>
    <x v="4"/>
    <d v="1900-01-01T00:00:00"/>
    <s v="Due diligence -  ACE 2436S - export from RULED"/>
    <x v="13"/>
    <x v="1"/>
    <m/>
  </r>
  <r>
    <x v="0"/>
    <n v="48"/>
    <d v="2024-11-25T13:52:00"/>
    <d v="2024-11-26T14:32:00"/>
    <x v="165"/>
    <x v="0"/>
    <x v="4"/>
    <d v="1900-01-01T00:00:00"/>
    <s v="MV CERUS / DD docs and SPIRE inf V.24019N"/>
    <x v="13"/>
    <x v="1"/>
    <m/>
  </r>
  <r>
    <x v="0"/>
    <n v="48"/>
    <d v="2024-11-25T15:05:00"/>
    <d v="2024-11-27T12:13:00"/>
    <x v="166"/>
    <x v="0"/>
    <x v="4"/>
    <d v="1900-01-01T00:00:00"/>
    <s v="TEX - Declaration / Documents needed to send for Russian port call - 240001N"/>
    <x v="13"/>
    <x v="1"/>
    <m/>
  </r>
  <r>
    <x v="0"/>
    <n v="48"/>
    <d v="2024-11-25T15:05:00"/>
    <d v="2024-11-27T12:13:00"/>
    <x v="166"/>
    <x v="0"/>
    <x v="4"/>
    <d v="1900-01-01T00:00:00"/>
    <s v="Due diligence -  ACE 2436S - export from RULED"/>
    <x v="13"/>
    <x v="1"/>
    <m/>
  </r>
  <r>
    <x v="0"/>
    <n v="48"/>
    <d v="2024-11-25T15:05:00"/>
    <d v="2024-11-27T12:13:00"/>
    <x v="166"/>
    <x v="0"/>
    <x v="4"/>
    <d v="1900-01-01T00:00:00"/>
    <s v="RUNVS-TDR-ANDREI TITOV 24029N"/>
    <x v="13"/>
    <x v="1"/>
    <m/>
  </r>
  <r>
    <x v="0"/>
    <n v="48"/>
    <d v="2024-11-25T15:05:00"/>
    <d v="2024-11-27T12:13:00"/>
    <x v="166"/>
    <x v="0"/>
    <x v="4"/>
    <d v="1900-01-01T00:00:00"/>
    <s v="AEOLUS DD DOCS &amp; SPIRE FILE - 24046N"/>
    <x v="13"/>
    <x v="1"/>
    <m/>
  </r>
  <r>
    <x v="0"/>
    <n v="48"/>
    <d v="2024-11-25T15:05:00"/>
    <d v="2024-11-27T12:13:00"/>
    <x v="166"/>
    <x v="0"/>
    <x v="4"/>
    <d v="1900-01-01T00:00:00"/>
    <s v="Due diligence files ZHONG GU LAN ZHOU 24040W"/>
    <x v="13"/>
    <x v="1"/>
    <m/>
  </r>
  <r>
    <x v="0"/>
    <n v="48"/>
    <d v="2024-11-25T15:05:00"/>
    <d v="2024-11-27T12:13:00"/>
    <x v="166"/>
    <x v="0"/>
    <x v="4"/>
    <d v="1900-01-01T00:00:00"/>
    <s v="REEL DUE DILIGENCE//ex HT Honor 2401S  RUVVO+RUVRA"/>
    <x v="13"/>
    <x v="1"/>
    <m/>
  </r>
  <r>
    <x v="0"/>
    <n v="48"/>
    <d v="2024-11-25T15:05:00"/>
    <d v="2024-11-27T12:13:00"/>
    <x v="166"/>
    <x v="0"/>
    <x v="4"/>
    <d v="1900-01-01T00:00:00"/>
    <s v="1. BIGLI 24036E (not yet receive)"/>
    <x v="14"/>
    <x v="1"/>
    <m/>
  </r>
  <r>
    <x v="0"/>
    <n v="48"/>
    <d v="2024-11-25T15:05:00"/>
    <d v="2024-11-27T12:13:00"/>
    <x v="166"/>
    <x v="0"/>
    <x v="4"/>
    <d v="1900-01-01T00:00:00"/>
    <s v="2. SIMBA / 24037E (not yet receive)"/>
    <x v="14"/>
    <x v="1"/>
    <m/>
  </r>
  <r>
    <x v="0"/>
    <n v="48"/>
    <d v="2024-11-25T15:05:00"/>
    <d v="2024-11-27T12:13:00"/>
    <x v="166"/>
    <x v="0"/>
    <x v="4"/>
    <d v="1900-01-01T00:00:00"/>
    <s v="1. TIMON  24036E"/>
    <x v="14"/>
    <x v="1"/>
    <m/>
  </r>
  <r>
    <x v="0"/>
    <n v="48"/>
    <d v="2024-11-25T15:05:00"/>
    <d v="2024-11-27T12:13:00"/>
    <x v="166"/>
    <x v="0"/>
    <x v="4"/>
    <d v="1900-01-01T00:00:00"/>
    <s v="2. YOGI  24038E"/>
    <x v="14"/>
    <x v="1"/>
    <m/>
  </r>
  <r>
    <x v="0"/>
    <n v="48"/>
    <d v="2024-11-25T15:05:00"/>
    <d v="2024-11-27T12:13:00"/>
    <x v="166"/>
    <x v="0"/>
    <x v="4"/>
    <d v="1900-01-01T00:00:00"/>
    <s v="3. RANTANPLAN 24039E"/>
    <x v="14"/>
    <x v="1"/>
    <m/>
  </r>
  <r>
    <x v="0"/>
    <n v="48"/>
    <d v="2024-11-25T15:05:00"/>
    <d v="2024-11-27T12:13:00"/>
    <x v="166"/>
    <x v="0"/>
    <x v="4"/>
    <d v="1900-01-01T00:00:00"/>
    <s v="4. ZHONG GU LAN ZHOU  24040E"/>
    <x v="14"/>
    <x v="1"/>
    <m/>
  </r>
  <r>
    <x v="0"/>
    <n v="48"/>
    <d v="2024-11-25T15:05:00"/>
    <d v="2024-11-27T12:13:00"/>
    <x v="166"/>
    <x v="0"/>
    <x v="4"/>
    <d v="1900-01-01T00:00:00"/>
    <s v="5. MOANA 24041E"/>
    <x v="14"/>
    <x v="1"/>
    <m/>
  </r>
  <r>
    <x v="0"/>
    <n v="48"/>
    <d v="2024-11-25T15:05:00"/>
    <d v="2024-11-27T12:13:00"/>
    <x v="166"/>
    <x v="0"/>
    <x v="4"/>
    <d v="1900-01-01T00:00:00"/>
    <s v="1. HAKUNA MATATA 24042W "/>
    <x v="14"/>
    <x v="1"/>
    <m/>
  </r>
  <r>
    <x v="0"/>
    <n v="48"/>
    <d v="2024-11-25T15:05:00"/>
    <d v="2024-11-27T12:13:00"/>
    <x v="166"/>
    <x v="0"/>
    <x v="4"/>
    <d v="1900-01-01T00:00:00"/>
    <s v="2. ZHON GU CHENG DU 24043W "/>
    <x v="14"/>
    <x v="1"/>
    <m/>
  </r>
  <r>
    <x v="0"/>
    <n v="48"/>
    <d v="2024-11-27T15:13:00"/>
    <d v="2024-11-27T15:56:00"/>
    <x v="167"/>
    <x v="0"/>
    <x v="4"/>
    <d v="1900-01-01T00:00:00"/>
    <s v="3. LIANG XIANG 85 24044W"/>
    <x v="14"/>
    <x v="1"/>
    <m/>
  </r>
  <r>
    <x v="0"/>
    <n v="48"/>
    <d v="2024-11-27T15:14:00"/>
    <d v="2024-11-27T17:08:00"/>
    <x v="168"/>
    <x v="0"/>
    <x v="4"/>
    <d v="1900-01-01T00:00:00"/>
    <s v="4. BIGLI 24045W"/>
    <x v="14"/>
    <x v="1"/>
    <m/>
  </r>
  <r>
    <x v="1"/>
    <n v="40"/>
    <d v="2024-09-26T09:12:00"/>
    <d v="2024-10-03T13:14:00"/>
    <x v="169"/>
    <x v="0"/>
    <x v="4"/>
    <d v="1900-01-01T00:00:00"/>
    <s v="Due diligence  AEOLUS 24044N TRALI MACAS"/>
    <x v="13"/>
    <x v="1"/>
    <m/>
  </r>
  <r>
    <x v="1"/>
    <n v="41"/>
    <d v="2024-10-07T11:45:00"/>
    <d v="2024-10-07T11:49:00"/>
    <x v="64"/>
    <x v="0"/>
    <x v="5"/>
    <d v="1899-12-30T01:00:00"/>
    <s v="RE: KOLKATA - TDR &amp; Shipment Status for vessel FSL KELANG / 239E // B # VX90IK24000003 &amp; VX90IK24000004"/>
    <x v="2"/>
    <x v="1"/>
    <m/>
  </r>
  <r>
    <x v="1"/>
    <n v="41"/>
    <d v="2024-10-08T10:20:00"/>
    <d v="2024-10-08T10:35:00"/>
    <x v="71"/>
    <x v="0"/>
    <x v="5"/>
    <d v="1899-12-30T01:00:00"/>
    <s v="RE: LRR YANGON TO CHENNAI, INDIA ON MV. MV. SITC HAIPHONG V. 2436W, ETD ( YGN ) 09 OCT 2024 // DIRECT SVC ) // SRR # RSGFL102400001 // B # VX07MY24000003, VX07MY24000013, to VX07MY24000021"/>
    <x v="10"/>
    <x v="1"/>
    <m/>
  </r>
  <r>
    <x v="1"/>
    <n v="41"/>
    <d v="2024-10-09T16:12:00"/>
    <d v="2024-10-09T16:14:00"/>
    <x v="94"/>
    <x v="0"/>
    <x v="5"/>
    <d v="1899-12-30T01:00:00"/>
    <s v="RE: MOST URGENT // BKG # VX90IK24000003 &amp; VX90IK24000004 //  URGNET - INCCU (KOLKATA // TDR //  FSL KELANG V. 239E // VOLTA"/>
    <x v="2"/>
    <x v="1"/>
    <m/>
  </r>
  <r>
    <x v="1"/>
    <n v="42"/>
    <d v="2024-10-14T15:40:00"/>
    <d v="2024-10-14T16:15:00"/>
    <x v="170"/>
    <x v="0"/>
    <x v="5"/>
    <d v="1899-12-30T01:00:00"/>
    <s v="LRR YANGON TO CHENNAI, INDIA ON MV. MV. SITC HAIPHONG V. 2436W, ETD ( YGN ) 09 OCT 2024 // DIRECT SVC ) // SRR # RSGFL102400001 // B # VX07MY24000003, VX07MY24000013, to VX07MY24000021"/>
    <x v="10"/>
    <x v="1"/>
    <m/>
  </r>
  <r>
    <x v="1"/>
    <n v="42"/>
    <d v="2024-10-14T17:24:00"/>
    <d v="2024-10-14T17:48:00"/>
    <x v="0"/>
    <x v="0"/>
    <x v="5"/>
    <d v="1899-12-30T01:00:00"/>
    <s v="VESSEL ETD EXTENTION // MTT LIMBANG VOY 24LG005S"/>
    <x v="2"/>
    <x v="1"/>
    <m/>
  </r>
  <r>
    <x v="1"/>
    <n v="42"/>
    <d v="2024-10-14T16:47:00"/>
    <d v="2024-10-14T17:58:00"/>
    <x v="171"/>
    <x v="1"/>
    <x v="5"/>
    <d v="1899-12-30T01:00:00"/>
    <s v="Internal Mail: LRR YANGON TO CHENNAI, INDIA ON MV. MV. SITC HAIPHONG V. 2436W, ETD ( YGN ) 09 OCT 2024 // DIRECT SVC ) // SRR # RSGFL102400001 // B # VX07MY24000003, VX07MY24000013, to VX07MY24000021"/>
    <x v="10"/>
    <x v="1"/>
    <m/>
  </r>
  <r>
    <x v="1"/>
    <n v="42"/>
    <d v="2024-10-15T11:03:00"/>
    <d v="2024-10-15T11:56:00"/>
    <x v="18"/>
    <x v="0"/>
    <x v="5"/>
    <d v="1899-12-30T01:00:00"/>
    <s v="Request to amend the ETD for VSL REN JIAN 23  Voy : 2439E"/>
    <x v="1"/>
    <x v="1"/>
    <m/>
  </r>
  <r>
    <x v="1"/>
    <n v="42"/>
    <d v="2024-10-16T09:59:00"/>
    <d v="2024-10-16T10:37:00"/>
    <x v="73"/>
    <x v="0"/>
    <x v="5"/>
    <d v="1899-12-30T01:00:00"/>
    <s v="Chennai - TDR Status - Vessel REN JIAN 23 / 2439"/>
    <x v="1"/>
    <x v="1"/>
    <m/>
  </r>
  <r>
    <x v="1"/>
    <n v="42"/>
    <d v="2024-10-16T12:42:00"/>
    <d v="2024-10-16T13:36:00"/>
    <x v="59"/>
    <x v="0"/>
    <x v="5"/>
    <d v="1899-12-30T01:00:00"/>
    <s v="COLOMBO - TDR &amp; Shipment Status for vessel MONACO / 109E // B # VX78CC24000013"/>
    <x v="0"/>
    <x v="1"/>
    <m/>
  </r>
  <r>
    <x v="1"/>
    <n v="42"/>
    <d v="2024-10-16T13:45:00"/>
    <d v="2024-10-16T13:57:00"/>
    <x v="24"/>
    <x v="0"/>
    <x v="5"/>
    <d v="1899-12-30T01:00:00"/>
    <s v=" Chennai - TDR Status - Vessel SNL ZHANGJIAGANG / 2408W"/>
    <x v="1"/>
    <x v="1"/>
    <m/>
  </r>
  <r>
    <x v="1"/>
    <n v="42"/>
    <d v="2024-10-18T12:31:00"/>
    <d v="2024-10-18T12:37:00"/>
    <x v="6"/>
    <x v="0"/>
    <x v="5"/>
    <d v="1899-12-30T01:00:00"/>
    <s v="KOLKATA - TDR &amp; Shipment Status for vessel SOL STRIDE / 2415S // B # VX90IK24000006 &amp; VX90IK24000007"/>
    <x v="2"/>
    <x v="1"/>
    <m/>
  </r>
  <r>
    <x v="1"/>
    <n v="43"/>
    <d v="2024-10-22T11:30:00"/>
    <d v="2024-10-22T11:52:00"/>
    <x v="31"/>
    <x v="0"/>
    <x v="5"/>
    <d v="1899-12-30T01:00:00"/>
    <s v="VSL CREATION AND ETD EXTEND VSL: SNL HAIKOU V 2408   &amp;    INTERASIA CATALYST  Voy : 0046E "/>
    <x v="1"/>
    <x v="1"/>
    <m/>
  </r>
  <r>
    <x v="1"/>
    <n v="43"/>
    <d v="2024-10-25T14:00:00"/>
    <d v="2024-10-25T14:54:00"/>
    <x v="59"/>
    <x v="0"/>
    <x v="5"/>
    <d v="1899-12-30T01:00:00"/>
    <s v="REEL SHIPPING ( SMR) 04X40'HC LADEN CNTRS TDR FOR  NOVOROSSIYSK   T/S VIA PKG-WEST ON VSL MV. FITZ ROY ,VOY--187E, SLD CGP DT- 24.10.2024 . EX : CGP-- MYWSP  and  FPOD  to  NOVOROSSIYK (RUSSIA)."/>
    <x v="8"/>
    <x v="1"/>
    <m/>
  </r>
  <r>
    <x v="1"/>
    <n v="43"/>
    <d v="2024-10-25T15:02:00"/>
    <d v="2024-10-25T17:40:00"/>
    <x v="172"/>
    <x v="1"/>
    <x v="5"/>
    <d v="1899-12-30T01:00:00"/>
    <s v="REEL SHIPPING ( SMR) 04X40'HC LADEN CNTRS TDR FOR  NOVOROSSIYSK   T/S VIA PKG-WEST ON VSL MV. FITZ ROY ,VOY--187E, SLD CGP DT- 24.10.2024 . EX : CGP-- MYWSP  and  FPOD  to  NOVOROSSIYK (RUSSIA)."/>
    <x v="8"/>
    <x v="1"/>
    <m/>
  </r>
  <r>
    <x v="1"/>
    <n v="44"/>
    <d v="2024-10-25T19:17:00"/>
    <d v="2024-10-27T11:30:00"/>
    <x v="173"/>
    <x v="1"/>
    <x v="5"/>
    <d v="1899-12-30T01:00:00"/>
    <s v="EVER LEGION V.056E ETD CMB 25.10.2024"/>
    <x v="0"/>
    <x v="1"/>
    <m/>
  </r>
  <r>
    <x v="1"/>
    <n v="44"/>
    <d v="2024-10-28T13:40:00"/>
    <d v="2024-10-28T13:44:00"/>
    <x v="64"/>
    <x v="0"/>
    <x v="5"/>
    <d v="1899-12-30T01:00:00"/>
    <s v="VESSEL ETD EXTENTION // MTT LIMBANG 24LG006S"/>
    <x v="2"/>
    <x v="1"/>
    <m/>
  </r>
  <r>
    <x v="1"/>
    <n v="44"/>
    <d v="2024-10-28T13:11:00"/>
    <d v="2024-10-28T17:42:00"/>
    <x v="174"/>
    <x v="1"/>
    <x v="5"/>
    <d v="1899-12-30T01:00:00"/>
    <s v="VISAKHAPATNAM - TDR Status - SNL HAIKOU / 2408W  (5853) - B # VX74IV24000012"/>
    <x v="7"/>
    <x v="1"/>
    <m/>
  </r>
  <r>
    <x v="1"/>
    <n v="44"/>
    <d v="2024-10-29T15:40:00"/>
    <d v="2024-10-29T16:00:00"/>
    <x v="79"/>
    <x v="0"/>
    <x v="5"/>
    <d v="1899-12-30T01:00:00"/>
    <s v="COCHIN - Request for TDR Report for Vessel - SSL BHARAT / 164  (6233) // B # VX89II24000030, VX89II24000032, VX89II24000035 &amp; VX89II24000036"/>
    <x v="4"/>
    <x v="1"/>
    <m/>
  </r>
  <r>
    <x v="0"/>
    <n v="45"/>
    <d v="2024-11-06T09:43:00"/>
    <d v="2024-11-06T11:27:00"/>
    <x v="175"/>
    <x v="1"/>
    <x v="5"/>
    <d v="1899-12-30T01:00:00"/>
    <s v="COLOMBO - TDR &amp; Shipment Status for vessel SM KAVERI / 0081W // B # VX78CC24000015, VX78CC24000018 &amp; VX78CC24000020"/>
    <x v="0"/>
    <x v="1"/>
    <m/>
  </r>
  <r>
    <x v="1"/>
    <n v="44"/>
    <d v="2024-10-30T13:28:00"/>
    <d v="2024-10-30T14:06:00"/>
    <x v="73"/>
    <x v="0"/>
    <x v="6"/>
    <d v="1899-12-30T01:00:00"/>
    <s v=" vessel creation request COCHIN"/>
    <x v="4"/>
    <x v="0"/>
    <m/>
  </r>
  <r>
    <x v="0"/>
    <n v="44"/>
    <d v="2024-11-01T10:51:00"/>
    <d v="2024-11-01T11:03:00"/>
    <x v="24"/>
    <x v="0"/>
    <x v="6"/>
    <d v="1899-12-30T01:00:00"/>
    <s v="VSL CREATION - SYNERGY KEELUNG V. 019E"/>
    <x v="1"/>
    <x v="0"/>
    <m/>
  </r>
  <r>
    <x v="0"/>
    <n v="44"/>
    <d v="2024-11-01T10:26:00"/>
    <d v="2024-11-01T11:17:00"/>
    <x v="176"/>
    <x v="0"/>
    <x v="6"/>
    <d v="1899-12-30T01:00:00"/>
    <s v="DRU071005/VX98BH24000016  /UX457 / FOB Chittagong_l - Sankt Peterburg 1*40hc_new vessel is needed"/>
    <x v="8"/>
    <x v="0"/>
    <m/>
  </r>
  <r>
    <x v="0"/>
    <n v="44"/>
    <d v="2024-11-01T16:02:00"/>
    <d v="2024-11-01T16:08:00"/>
    <x v="6"/>
    <x v="0"/>
    <x v="6"/>
    <d v="1899-12-30T01:00:00"/>
    <s v="NOS211016 /  Sovcont / Chennai / Novorossiysk / VX87II24000075_VESSEL CREATION REQUEST"/>
    <x v="15"/>
    <x v="0"/>
    <m/>
  </r>
  <r>
    <x v="0"/>
    <n v="45"/>
    <d v="2024-11-05T11:50:00"/>
    <d v="2024-11-05T12:11:00"/>
    <x v="39"/>
    <x v="0"/>
    <x v="6"/>
    <d v="1899-12-30T01:00:00"/>
    <s v="Reel Shipping LLC / CTSP St.Petersburg / SEP281024 / APO291003 / tba"/>
    <x v="16"/>
    <x v="0"/>
    <m/>
  </r>
  <r>
    <x v="0"/>
    <n v="45"/>
    <d v="2024-11-06T16:18:00"/>
    <d v="2024-11-06T16:46:00"/>
    <x v="13"/>
    <x v="0"/>
    <x v="6"/>
    <d v="1899-12-30T01:00:00"/>
    <s v="vessel creation request HALDIA KOLKATTA"/>
    <x v="2"/>
    <x v="0"/>
    <m/>
  </r>
  <r>
    <x v="0"/>
    <n v="45"/>
    <d v="2024-11-06T16:19:00"/>
    <d v="2024-11-06T16:47:00"/>
    <x v="13"/>
    <x v="0"/>
    <x v="6"/>
    <d v="1899-12-30T01:00:00"/>
    <s v="vessel creation request TUTICORIN "/>
    <x v="3"/>
    <x v="0"/>
    <m/>
  </r>
  <r>
    <x v="0"/>
    <n v="46"/>
    <d v="2024-11-13T17:40:00"/>
    <d v="2024-11-13T17:53:00"/>
    <x v="21"/>
    <x v="0"/>
    <x v="6"/>
    <d v="1899-12-30T01:00:00"/>
    <s v="RE: vessel creation request COCHIN"/>
    <x v="4"/>
    <x v="0"/>
    <m/>
  </r>
  <r>
    <x v="0"/>
    <n v="46"/>
    <d v="2024-11-13T17:42:00"/>
    <d v="2024-11-13T18:06:00"/>
    <x v="0"/>
    <x v="0"/>
    <x v="6"/>
    <d v="1899-12-30T01:00:00"/>
    <s v="RE: vessel creation request HALDIA/KOLKATA"/>
    <x v="2"/>
    <x v="0"/>
    <m/>
  </r>
  <r>
    <x v="0"/>
    <n v="46"/>
    <d v="2024-11-13T17:44:00"/>
    <d v="2024-11-13T18:10:00"/>
    <x v="101"/>
    <x v="0"/>
    <x v="6"/>
    <d v="1899-12-30T01:00:00"/>
    <s v="RE: vessel creation request TUTICORIN "/>
    <x v="3"/>
    <x v="0"/>
    <m/>
  </r>
  <r>
    <x v="0"/>
    <n v="47"/>
    <d v="2024-11-19T13:36:00"/>
    <d v="2024-11-19T14:40:00"/>
    <x v="177"/>
    <x v="1"/>
    <x v="6"/>
    <d v="1899-12-30T01:00:00"/>
    <s v="RE: COLOMBO - Revise Booking for B # VX78CC24000015"/>
    <x v="0"/>
    <x v="0"/>
    <m/>
  </r>
  <r>
    <x v="0"/>
    <n v="47"/>
    <d v="2024-11-22T12:10:00"/>
    <d v="2024-11-22T12:15:00"/>
    <x v="19"/>
    <x v="0"/>
    <x v="6"/>
    <d v="1899-12-30T01:00:00"/>
    <s v="RE: VESSEL CREATION // REEL // XPRESS IRRAWADDY VOY 24017S"/>
    <x v="2"/>
    <x v="0"/>
    <m/>
  </r>
  <r>
    <x v="0"/>
    <n v="48"/>
    <d v="2024-11-25T11:34:00"/>
    <d v="2024-11-25T13:16:00"/>
    <x v="126"/>
    <x v="1"/>
    <x v="6"/>
    <d v="1899-12-30T01:00:00"/>
    <s v="RE: vessel creation request TUTICORIN  kolkata COCHIN"/>
    <x v="16"/>
    <x v="0"/>
    <m/>
  </r>
  <r>
    <x v="0"/>
    <n v="48"/>
    <d v="2024-11-27T10:22:00"/>
    <d v="2024-11-27T10:25:00"/>
    <x v="36"/>
    <x v="0"/>
    <x v="6"/>
    <d v="1899-12-30T01:00:00"/>
    <s v="SUSPICIOUS:] RE: [SUSPICIOUS:] RE: VSL CREATION // REN JIAN 23 2445E"/>
    <x v="1"/>
    <x v="0"/>
    <m/>
  </r>
  <r>
    <x v="0"/>
    <n v="48"/>
    <d v="2024-11-29T10:09:00"/>
    <d v="2024-11-29T10:13:00"/>
    <x v="64"/>
    <x v="1"/>
    <x v="6"/>
    <d v="1899-12-30T01:00:00"/>
    <s v="RE: Vessel schedule updation - VUXX - M.V. SSL BHARAT / 166"/>
    <x v="3"/>
    <x v="0"/>
    <m/>
  </r>
  <r>
    <x v="1"/>
    <n v="40"/>
    <d v="2024-10-02T10:26:00"/>
    <d v="2024-10-02T12:46:00"/>
    <x v="178"/>
    <x v="1"/>
    <x v="6"/>
    <d v="1899-12-30T01:00:00"/>
    <s v="RE: REQUEST TO CREATE VESSEL VOYAGE IN EBMS // MV SHINA V-009E ETA: 07-10-2024"/>
    <x v="7"/>
    <x v="1"/>
    <m/>
  </r>
  <r>
    <x v="1"/>
    <n v="40"/>
    <d v="2024-10-02T12:21:00"/>
    <d v="2024-10-02T12:59:00"/>
    <x v="73"/>
    <x v="0"/>
    <x v="6"/>
    <d v="1899-12-30T01:00:00"/>
    <s v="vessel creation request HALDIA"/>
    <x v="2"/>
    <x v="1"/>
    <m/>
  </r>
  <r>
    <x v="1"/>
    <n v="40"/>
    <d v="2024-10-02T17:38:00"/>
    <d v="2024-10-02T17:55:00"/>
    <x v="65"/>
    <x v="1"/>
    <x v="6"/>
    <d v="1899-12-30T01:00:00"/>
    <s v="RE: Booking 3x40 HC CTG TO  NOVOROSSIYSK, RUSSIA  A/C; RAJBARI JUTE MILLS LTD // SRR  # RSBCA102400001"/>
    <x v="0"/>
    <x v="1"/>
    <m/>
  </r>
  <r>
    <x v="1"/>
    <n v="40"/>
    <d v="2024-10-03T10:49:00"/>
    <d v="2024-10-03T11:05:00"/>
    <x v="103"/>
    <x v="0"/>
    <x v="6"/>
    <d v="1899-12-30T01:00:00"/>
    <s v="RE: LRR YANGON TO CHENNAI, INDIA ON MV. MV. SITC HAIPHONG V. 2436W, ETD ( YGN ) 09 OCT 2024 // DIRECT SVC ) // SRR # RSGFL102400001"/>
    <x v="10"/>
    <x v="1"/>
    <m/>
  </r>
  <r>
    <x v="1"/>
    <n v="40"/>
    <d v="2024-10-03T11:51:00"/>
    <d v="2024-10-03T12:04:00"/>
    <x v="21"/>
    <x v="0"/>
    <x v="6"/>
    <d v="1899-12-30T01:00:00"/>
    <s v="vessel creation request TUTICORIN "/>
    <x v="3"/>
    <x v="1"/>
    <m/>
  </r>
  <r>
    <x v="1"/>
    <n v="40"/>
    <d v="2024-10-04T14:16:00"/>
    <d v="2024-10-04T15:41:00"/>
    <x v="179"/>
    <x v="1"/>
    <x v="6"/>
    <d v="1899-12-30T01:00:00"/>
    <s v="RE: REQUEST FOR VESSEL / VOYAGE CREATION IN EBMS"/>
    <x v="2"/>
    <x v="1"/>
    <m/>
  </r>
  <r>
    <x v="1"/>
    <n v="41"/>
    <d v="2024-10-07T16:25:00"/>
    <d v="2024-10-07T16:50:00"/>
    <x v="9"/>
    <x v="0"/>
    <x v="6"/>
    <d v="1899-12-30T01:00:00"/>
    <s v="RE: Urgent - Chennai - Shipment Status - B # VX87II24000025 &amp; VX87II24000026 // SNL HAIKOU / 2407E"/>
    <x v="1"/>
    <x v="1"/>
    <m/>
  </r>
  <r>
    <x v="1"/>
    <n v="41"/>
    <d v="2024-10-07T22:16:00"/>
    <d v="2024-10-08T10:31:00"/>
    <x v="180"/>
    <x v="1"/>
    <x v="6"/>
    <d v="1899-12-30T01:00:00"/>
    <s v="RE: Booking 2X40HC CTG TO  NOVOROSSIYSK, RUSSIA  A/C; FARIDPUR JUTE FIBRES LTD // SRR # RSBCA102400002 // "/>
    <x v="8"/>
    <x v="1"/>
    <m/>
  </r>
  <r>
    <x v="1"/>
    <n v="41"/>
    <d v="2024-10-08T18:28:00"/>
    <d v="2024-10-09T10:36:00"/>
    <x v="181"/>
    <x v="1"/>
    <x v="6"/>
    <d v="1899-12-30T01:00:00"/>
    <s v="RE: vessel creation request  COLOMBO"/>
    <x v="0"/>
    <x v="1"/>
    <m/>
  </r>
  <r>
    <x v="1"/>
    <n v="41"/>
    <d v="2024-10-10T09:26:00"/>
    <d v="2024-10-10T10:45:00"/>
    <x v="182"/>
    <x v="0"/>
    <x v="6"/>
    <d v="1899-12-30T01:00:00"/>
    <s v="TDR &amp; PRE ALERT//CEN // VX07MY24000003//24000013/24000014/24000015 //24000016/24000017/24000018//24000020/24000021 //ETD 09 OCT 2024 // MV.SITC HAIPHONG V.2436W // TOTAL 45 X20'GP //"/>
    <x v="8"/>
    <x v="1"/>
    <m/>
  </r>
  <r>
    <x v="1"/>
    <n v="41"/>
    <d v="2024-10-10T17:46:00"/>
    <d v="2024-10-10T18:02:00"/>
    <x v="103"/>
    <x v="0"/>
    <x v="6"/>
    <d v="1899-12-30T01:00:00"/>
    <s v="Urgent -  Inquiry for AR VSL/VOY SOL PIONEER / 2411N in Kolkata"/>
    <x v="2"/>
    <x v="1"/>
    <m/>
  </r>
  <r>
    <x v="1"/>
    <n v="41"/>
    <d v="2024-10-11T15:26:00"/>
    <d v="2024-10-11T15:56:00"/>
    <x v="43"/>
    <x v="0"/>
    <x v="6"/>
    <d v="1899-12-30T01:00:00"/>
    <s v="LRR YANGON TO CHENNAI, INDIA ON MV. ISEACO WISDOM V. 133S, ETD ( YGN ) 23 OCT 2024 // THRU SVC ) // FOR SHUT OUT SHIPMENT : VX07MY24000019 "/>
    <x v="10"/>
    <x v="1"/>
    <m/>
  </r>
  <r>
    <x v="1"/>
    <n v="41"/>
    <d v="2024-10-11T21:29:00"/>
    <d v="2024-10-12T14:27:00"/>
    <x v="183"/>
    <x v="1"/>
    <x v="6"/>
    <d v="1899-12-30T01:00:00"/>
    <s v="EMA091004/Ruscon/ Cochin/ Novorossiysk/VX89II24000027"/>
    <x v="4"/>
    <x v="1"/>
    <m/>
  </r>
  <r>
    <x v="1"/>
    <n v="42"/>
    <d v="2024-10-13T16:08:00"/>
    <d v="2024-10-13T18:20:00"/>
    <x v="184"/>
    <x v="1"/>
    <x v="6"/>
    <d v="1899-12-30T01:00:00"/>
    <s v="RE: Booking 2X40HC CTG TO  NOVOROSSIYSK, RUSSIA  A/C; FARIDPUR JUTE FIBRES LTD // SRR # RSBCA102400002 // B # VX98BH24000017"/>
    <x v="8"/>
    <x v="1"/>
    <m/>
  </r>
  <r>
    <x v="1"/>
    <n v="42"/>
    <d v="2024-10-14T12:05:00"/>
    <d v="2024-10-14T12:24:00"/>
    <x v="74"/>
    <x v="0"/>
    <x v="6"/>
    <d v="1899-12-30T01:00:00"/>
    <s v="VISAKHAPATNAM - TDR Status - SM MANALI / 0046E - B # VX74IV24000012"/>
    <x v="7"/>
    <x v="1"/>
    <m/>
  </r>
  <r>
    <x v="1"/>
    <n v="42"/>
    <d v="2024-10-14T18:17:00"/>
    <d v="2024-10-15T09:54:00"/>
    <x v="185"/>
    <x v="1"/>
    <x v="6"/>
    <d v="1899-12-30T01:00:00"/>
    <s v="create vessels X-PRESS NUPTSE 189S for CHITTAGONG - vessel creation request"/>
    <x v="8"/>
    <x v="1"/>
    <m/>
  </r>
  <r>
    <x v="1"/>
    <n v="42"/>
    <d v="2024-10-15T12:20:00"/>
    <d v="2024-10-15T12:26:00"/>
    <x v="6"/>
    <x v="0"/>
    <x v="6"/>
    <d v="1899-12-30T01:00:00"/>
    <s v="Urgent - Chennai - Shipment Status - VX87II24000026 //"/>
    <x v="1"/>
    <x v="1"/>
    <m/>
  </r>
  <r>
    <x v="1"/>
    <n v="42"/>
    <d v="2024-10-15T17:19:00"/>
    <d v="2024-10-15T17:34:00"/>
    <x v="71"/>
    <x v="0"/>
    <x v="6"/>
    <d v="1899-12-30T01:00:00"/>
    <s v="create vessels GREEN EARTH,V-24036S for CHITTAGONG - vessel creation request"/>
    <x v="8"/>
    <x v="1"/>
    <m/>
  </r>
  <r>
    <x v="1"/>
    <n v="42"/>
    <d v="2024-10-16T13:15:00"/>
    <d v="2024-10-16T13:43:00"/>
    <x v="13"/>
    <x v="0"/>
    <x v="6"/>
    <d v="1899-12-30T01:00:00"/>
    <s v="vessel creation request HALDIA KOLKATTA"/>
    <x v="2"/>
    <x v="1"/>
    <m/>
  </r>
  <r>
    <x v="1"/>
    <n v="42"/>
    <d v="2024-10-16T14:32:00"/>
    <d v="2024-10-16T16:49:00"/>
    <x v="11"/>
    <x v="1"/>
    <x v="6"/>
    <d v="1899-12-30T01:00:00"/>
    <s v="vessel creation request COCHIN"/>
    <x v="4"/>
    <x v="1"/>
    <m/>
  </r>
  <r>
    <x v="1"/>
    <n v="42"/>
    <d v="2024-10-17T12:33:00"/>
    <d v="2024-10-17T13:01:00"/>
    <x v="13"/>
    <x v="0"/>
    <x v="6"/>
    <d v="1899-12-30T01:00:00"/>
    <s v="MRG REF#/6*40 HC/1610470/TUTICORIN - St.Petersburg / APO120902 /VX91IU24000032 tba"/>
    <x v="3"/>
    <x v="1"/>
    <m/>
  </r>
  <r>
    <x v="1"/>
    <n v="42"/>
    <d v="2024-10-17T21:21:00"/>
    <d v="2024-10-18T10:54:00"/>
    <x v="186"/>
    <x v="1"/>
    <x v="6"/>
    <d v="1899-12-30T01:00:00"/>
    <s v=" vessel creation request TUTICORIN "/>
    <x v="3"/>
    <x v="1"/>
    <m/>
  </r>
  <r>
    <x v="1"/>
    <n v="42"/>
    <d v="2024-10-17T21:21:00"/>
    <d v="2024-10-18T10:54:00"/>
    <x v="186"/>
    <x v="1"/>
    <x v="6"/>
    <d v="1899-12-30T01:00:00"/>
    <s v="vessel creation request TUTICORIN "/>
    <x v="3"/>
    <x v="1"/>
    <m/>
  </r>
  <r>
    <x v="1"/>
    <n v="43"/>
    <d v="2024-10-21T23:15:00"/>
    <d v="2024-10-22T10:50:00"/>
    <x v="187"/>
    <x v="1"/>
    <x v="6"/>
    <d v="1899-12-30T01:00:00"/>
    <s v="vessel creation request HALDIA"/>
    <x v="2"/>
    <x v="1"/>
    <m/>
  </r>
  <r>
    <x v="1"/>
    <n v="43"/>
    <d v="2024-10-22T18:20:00"/>
    <d v="2024-10-22T18:29:00"/>
    <x v="69"/>
    <x v="0"/>
    <x v="6"/>
    <d v="1899-12-30T01:00:00"/>
    <s v="DRU211002/VX78CC24000018 /SWA241283 //  Colombo - STP / 1*20' //_new vessel is needed"/>
    <x v="0"/>
    <x v="1"/>
    <m/>
  </r>
  <r>
    <x v="1"/>
    <n v="43"/>
    <d v="2024-10-23T16:20:00"/>
    <d v="2024-10-23T18:40:00"/>
    <x v="178"/>
    <x v="1"/>
    <x v="6"/>
    <d v="1899-12-30T01:00:00"/>
    <s v="VESSEL CREATION // FSL SINGAPORE VOY 104E "/>
    <x v="2"/>
    <x v="1"/>
    <m/>
  </r>
  <r>
    <x v="1"/>
    <n v="44"/>
    <d v="2024-10-28T08:40:00"/>
    <d v="2024-10-28T11:10:00"/>
    <x v="188"/>
    <x v="1"/>
    <x v="6"/>
    <d v="1899-12-30T01:00:00"/>
    <s v="REQUEST TO CREATE VESSEL VOYAGE IN EBMS"/>
    <x v="7"/>
    <x v="1"/>
    <m/>
  </r>
  <r>
    <x v="1"/>
    <n v="44"/>
    <d v="2024-10-28T11:32:00"/>
    <d v="2024-10-28T11:50:00"/>
    <x v="112"/>
    <x v="0"/>
    <x v="6"/>
    <d v="1899-12-30T01:00:00"/>
    <s v="VSL CREATION - XIN TIAN JIN V.93E"/>
    <x v="1"/>
    <x v="1"/>
    <m/>
  </r>
  <r>
    <x v="1"/>
    <n v="44"/>
    <d v="2024-10-29T15:52:00"/>
    <d v="2024-10-29T16:15:00"/>
    <x v="35"/>
    <x v="0"/>
    <x v="6"/>
    <d v="1899-12-30T01:00:00"/>
    <s v="Booking 1x40 HC CTG TO  ST. PETERSBURG, RUSSIA  A/C; SUPER JUTE MILLS LTD // SRR # RSBCA102400009"/>
    <x v="8"/>
    <x v="1"/>
    <m/>
  </r>
  <r>
    <x v="1"/>
    <n v="44"/>
    <d v="2024-10-29T18:56:00"/>
    <d v="2024-10-29T22:40:00"/>
    <x v="158"/>
    <x v="1"/>
    <x v="6"/>
    <d v="1899-12-30T01:00:00"/>
    <s v="vessel creation request HALDIA"/>
    <x v="2"/>
    <x v="1"/>
    <m/>
  </r>
  <r>
    <x v="1"/>
    <n v="44"/>
    <d v="2024-10-29T20:20:00"/>
    <d v="2024-10-29T23:00:00"/>
    <x v="189"/>
    <x v="1"/>
    <x v="6"/>
    <d v="1899-12-30T01:00:00"/>
    <s v="Chittagong_ebms schedule"/>
    <x v="8"/>
    <x v="1"/>
    <m/>
  </r>
  <r>
    <x v="0"/>
    <n v="45"/>
    <d v="2024-11-06T09:39:00"/>
    <d v="2024-11-06T11:34:00"/>
    <x v="190"/>
    <x v="1"/>
    <x v="6"/>
    <d v="1899-12-30T01:00:00"/>
    <s v="LRR FROM YANGON TO CHENNAI, INDIA ON MV. XO LUCKY V-24009W ETD YGN : 21/NOV/2024 // DIRECT SVC // "/>
    <x v="1"/>
    <x v="1"/>
    <m/>
  </r>
  <r>
    <x v="0"/>
    <n v="48"/>
    <d v="2024-11-28T15:36:00"/>
    <d v="2024-11-28T15:44:00"/>
    <x v="29"/>
    <x v="0"/>
    <x v="6"/>
    <d v="1899-12-30T01:00:00"/>
    <s v="EMA271116/Marco-Logistic/Colombo/ Novorossiysk/VX78CC24000023ONE RESPONSIBILITY"/>
    <x v="0"/>
    <x v="1"/>
    <m/>
  </r>
  <r>
    <x v="0"/>
    <n v="48"/>
    <d v="2024-11-29T15:52:00"/>
    <d v="2024-11-29T16:27:00"/>
    <x v="170"/>
    <x v="0"/>
    <x v="6"/>
    <d v="1899-12-30T01:00:00"/>
    <s v="vessel creation request kolkata "/>
    <x v="2"/>
    <x v="1"/>
    <m/>
  </r>
  <r>
    <x v="0"/>
    <n v="45"/>
    <d v="2024-11-04T11:34:00"/>
    <d v="2024-11-04T12:23:00"/>
    <x v="86"/>
    <x v="0"/>
    <x v="7"/>
    <d v="1899-12-31T00:00:00"/>
    <s v="REEL// WDR // SRILANKA  COLOMBO // WEEK 43+44"/>
    <x v="0"/>
    <x v="0"/>
    <m/>
  </r>
  <r>
    <x v="0"/>
    <n v="46"/>
    <d v="2024-11-11T18:31:00"/>
    <d v="2024-11-12T12:29:00"/>
    <x v="191"/>
    <x v="0"/>
    <x v="7"/>
    <d v="1899-12-31T00:00:00"/>
    <s v="RE: REEL //WDR // KOLKATA+HALDIA  // INCCU+INHAL // WEEK 45"/>
    <x v="2"/>
    <x v="0"/>
    <m/>
  </r>
  <r>
    <x v="0"/>
    <n v="46"/>
    <d v="2024-11-11T15:19:00"/>
    <d v="2024-11-12T12:45:00"/>
    <x v="192"/>
    <x v="0"/>
    <x v="7"/>
    <d v="1899-12-31T00:00:00"/>
    <s v="RE: REEL// WDR // SRILANKA  COLOMBO // WEEK 45"/>
    <x v="0"/>
    <x v="0"/>
    <m/>
  </r>
  <r>
    <x v="0"/>
    <n v="46"/>
    <d v="2024-11-12T13:18:00"/>
    <d v="2024-11-12T14:13:00"/>
    <x v="84"/>
    <x v="0"/>
    <x v="7"/>
    <d v="1899-12-31T00:00:00"/>
    <s v="RE: REEL // WDR // VISHAKAPATNAM  INVTZ // WEEK 45"/>
    <x v="9"/>
    <x v="0"/>
    <m/>
  </r>
  <r>
    <x v="0"/>
    <n v="46"/>
    <d v="2024-11-13T17:55:00"/>
    <d v="2024-11-13T18:26:00"/>
    <x v="75"/>
    <x v="0"/>
    <x v="7"/>
    <d v="1899-12-31T00:00:00"/>
    <s v="RE: REEL // WDR  // MYANMAR // MMYGN+MMTLA+MMRGN // WEEK 45"/>
    <x v="10"/>
    <x v="0"/>
    <m/>
  </r>
  <r>
    <x v="0"/>
    <n v="46"/>
    <d v="2024-11-12T19:43:00"/>
    <d v="2024-11-13T10:33:00"/>
    <x v="193"/>
    <x v="0"/>
    <x v="7"/>
    <d v="1899-12-31T00:00:00"/>
    <s v="RE: REEL // WDR report// CHENNAI INMAA // WEEK 45"/>
    <x v="1"/>
    <x v="0"/>
    <m/>
  </r>
  <r>
    <x v="0"/>
    <n v="46"/>
    <d v="2024-11-11T14:50:00"/>
    <d v="2024-11-13T14:12:00"/>
    <x v="194"/>
    <x v="0"/>
    <x v="7"/>
    <d v="1899-12-31T00:00:00"/>
    <s v="RE: REEL // WDR // BANGLADESH // CHITTAGONG // WEEK 45"/>
    <x v="8"/>
    <x v="0"/>
    <m/>
  </r>
  <r>
    <x v="0"/>
    <n v="46"/>
    <d v="2024-11-13T15:52:00"/>
    <d v="2024-11-13T16:22:00"/>
    <x v="43"/>
    <x v="0"/>
    <x v="7"/>
    <d v="1899-12-31T00:00:00"/>
    <s v="RE: AR FOR REEL // WDR  // MYANMAR // MMYGN+MMTLA+MMRGN // WEEK 45"/>
    <x v="10"/>
    <x v="0"/>
    <m/>
  </r>
  <r>
    <x v="0"/>
    <n v="46"/>
    <d v="2024-11-13T17:55:00"/>
    <d v="2024-11-13T18:26:00"/>
    <x v="75"/>
    <x v="0"/>
    <x v="7"/>
    <d v="1899-12-31T00:00:00"/>
    <s v="RE: AR FOR REEL // WDR  // MYANMAR // MMYGN+MMTLA+MMRGN // WEEK 45"/>
    <x v="10"/>
    <x v="0"/>
    <m/>
  </r>
  <r>
    <x v="0"/>
    <n v="47"/>
    <d v="2024-11-18T14:19:00"/>
    <d v="2024-11-19T11:53:00"/>
    <x v="195"/>
    <x v="0"/>
    <x v="7"/>
    <d v="1899-12-31T00:00:00"/>
    <s v="REEL // WDR // BANGLADESH // CHITTAGONG // WEEK 46"/>
    <x v="8"/>
    <x v="0"/>
    <m/>
  </r>
  <r>
    <x v="0"/>
    <n v="47"/>
    <d v="2024-11-18T20:02:00"/>
    <d v="2024-11-19T12:11:00"/>
    <x v="196"/>
    <x v="0"/>
    <x v="7"/>
    <d v="1899-12-31T00:00:00"/>
    <s v="REEL // WDR report// CHENNAI INMAA // WEEK 46"/>
    <x v="1"/>
    <x v="0"/>
    <m/>
  </r>
  <r>
    <x v="0"/>
    <n v="47"/>
    <d v="2024-11-18T13:02:00"/>
    <d v="2024-11-19T12:13:00"/>
    <x v="160"/>
    <x v="0"/>
    <x v="7"/>
    <d v="1899-12-31T00:00:00"/>
    <s v="REEL // WDR // COCHIN INCOK // WEEK 46"/>
    <x v="4"/>
    <x v="0"/>
    <m/>
  </r>
  <r>
    <x v="0"/>
    <n v="47"/>
    <d v="2024-11-18T13:00:00"/>
    <d v="2024-11-19T11:17:00"/>
    <x v="197"/>
    <x v="0"/>
    <x v="7"/>
    <d v="1899-12-31T00:00:00"/>
    <s v="RE: REEL // WDR // VISHAKAPATNAM  INVTZ // WEEK 46"/>
    <x v="9"/>
    <x v="0"/>
    <m/>
  </r>
  <r>
    <x v="0"/>
    <n v="47"/>
    <d v="2024-11-21T09:54:00"/>
    <d v="2024-11-21T11:54:00"/>
    <x v="198"/>
    <x v="0"/>
    <x v="7"/>
    <d v="1899-12-31T00:00:00"/>
    <s v="RE: REEL // WDR  // MYANMAR // MMYGN+MMTLA+MMRGN // WEEK 46"/>
    <x v="10"/>
    <x v="0"/>
    <m/>
  </r>
  <r>
    <x v="0"/>
    <n v="47"/>
    <d v="2024-11-19T12:20:13"/>
    <d v="2024-11-19T12:21:00"/>
    <x v="199"/>
    <x v="0"/>
    <x v="7"/>
    <d v="1899-12-31T00:00:00"/>
    <s v="Re: REEL // WDR report/// TUTICORIN INTUT // WEEK 46"/>
    <x v="3"/>
    <x v="0"/>
    <m/>
  </r>
  <r>
    <x v="0"/>
    <n v="47"/>
    <d v="2024-11-18T16:14:00"/>
    <d v="2024-11-20T12:26:00"/>
    <x v="115"/>
    <x v="0"/>
    <x v="7"/>
    <d v="1899-12-31T00:00:00"/>
    <s v="RE: REEL// WDR // SRILANKA  COLOMBO // WEEK 46"/>
    <x v="0"/>
    <x v="0"/>
    <m/>
  </r>
  <r>
    <x v="0"/>
    <n v="48"/>
    <d v="2024-11-25T11:13:00"/>
    <d v="2024-11-25T16:49:00"/>
    <x v="200"/>
    <x v="0"/>
    <x v="7"/>
    <d v="1899-12-31T00:00:00"/>
    <s v="RE: REEL // WDR // COCHIN INCOK // WEEK 47"/>
    <x v="4"/>
    <x v="0"/>
    <m/>
  </r>
  <r>
    <x v="0"/>
    <n v="48"/>
    <d v="2024-11-25T15:42:00"/>
    <d v="2024-11-25T17:12:00"/>
    <x v="201"/>
    <x v="0"/>
    <x v="7"/>
    <d v="1899-12-31T00:00:00"/>
    <s v="RE: REEL// WDR // SRILANKA  COLOMBO // WEEK 47"/>
    <x v="0"/>
    <x v="0"/>
    <m/>
  </r>
  <r>
    <x v="0"/>
    <n v="48"/>
    <d v="2024-11-26T10:08:00"/>
    <d v="2024-11-26T14:28:00"/>
    <x v="202"/>
    <x v="0"/>
    <x v="7"/>
    <d v="1899-12-31T00:00:00"/>
    <s v="RE: REEL //WDR // KOLKATA+HALDIA  // INCCU+INHAL // WEEK 47"/>
    <x v="2"/>
    <x v="0"/>
    <m/>
  </r>
  <r>
    <x v="0"/>
    <n v="48"/>
    <d v="2024-11-26T15:55:00"/>
    <d v="2024-11-26T17:54:00"/>
    <x v="203"/>
    <x v="0"/>
    <x v="7"/>
    <d v="1899-12-31T00:00:00"/>
    <s v="RE: REEL // WDR report// CHENNAI INMAA // WEEK 47"/>
    <x v="1"/>
    <x v="0"/>
    <m/>
  </r>
  <r>
    <x v="0"/>
    <n v="48"/>
    <d v="2024-11-27T15:33:00"/>
    <d v="2024-11-27T17:33:00"/>
    <x v="198"/>
    <x v="0"/>
    <x v="7"/>
    <d v="1899-12-31T00:00:00"/>
    <s v="RE: REEL // WDR  // MYANMAR // MMYGN+MMTLA+MMRGN // WEEK 47"/>
    <x v="10"/>
    <x v="0"/>
    <m/>
  </r>
  <r>
    <x v="1"/>
    <n v="40"/>
    <d v="2024-10-01T14:15:00"/>
    <d v="2024-10-02T16:30:00"/>
    <x v="204"/>
    <x v="0"/>
    <x v="7"/>
    <d v="1899-12-31T00:00:00"/>
    <s v=" REEL // WDR // BANGLADESH // CHITTAGONG // WEEK 39"/>
    <x v="8"/>
    <x v="1"/>
    <m/>
  </r>
  <r>
    <x v="1"/>
    <n v="40"/>
    <d v="2024-10-01T14:55:00"/>
    <d v="2024-10-01T14:55:00"/>
    <x v="93"/>
    <x v="0"/>
    <x v="7"/>
    <d v="1899-12-31T00:00:00"/>
    <s v="REEL// WDR // SRILANKA  COLOMBO // WEEK 39"/>
    <x v="0"/>
    <x v="1"/>
    <m/>
  </r>
  <r>
    <x v="1"/>
    <n v="40"/>
    <d v="2024-10-01T11:01:00"/>
    <d v="2024-10-02T16:19:00"/>
    <x v="205"/>
    <x v="0"/>
    <x v="7"/>
    <d v="1899-12-31T00:00:00"/>
    <s v="REEL // WDR report/// TUTICORIN INTUT // WEEK 39"/>
    <x v="3"/>
    <x v="1"/>
    <m/>
  </r>
  <r>
    <x v="1"/>
    <n v="41"/>
    <d v="2024-10-01T10:54:00"/>
    <d v="2024-10-07T17:11:00"/>
    <x v="206"/>
    <x v="0"/>
    <x v="7"/>
    <d v="1899-12-31T00:00:00"/>
    <s v="REEL // WDR  // MYANMAR // MMYGN+MMTLA+MMRGN // WEEK 39"/>
    <x v="10"/>
    <x v="1"/>
    <m/>
  </r>
  <r>
    <x v="1"/>
    <n v="40"/>
    <d v="2024-10-03T13:17:00"/>
    <d v="2024-10-03T18:09:00"/>
    <x v="207"/>
    <x v="0"/>
    <x v="7"/>
    <d v="1899-12-31T00:00:00"/>
    <s v=" REEL // WDR // VISHAKAPATNAM  INVTZ // WEEK 39"/>
    <x v="7"/>
    <x v="1"/>
    <m/>
  </r>
  <r>
    <x v="1"/>
    <n v="40"/>
    <d v="2024-10-02T12:07:00"/>
    <d v="2024-10-03T17:05:00"/>
    <x v="208"/>
    <x v="0"/>
    <x v="7"/>
    <d v="1899-12-31T00:00:00"/>
    <s v=" REEL // WDR report// CHENNAI INMAA // WEEK 39"/>
    <x v="1"/>
    <x v="1"/>
    <m/>
  </r>
  <r>
    <x v="1"/>
    <n v="41"/>
    <d v="2024-10-01T11:01:00"/>
    <d v="2024-10-07T11:29:00"/>
    <x v="209"/>
    <x v="0"/>
    <x v="7"/>
    <d v="1899-12-31T00:00:00"/>
    <s v=" REEL // WDR // COCHIN INCOK // WEEK 39"/>
    <x v="4"/>
    <x v="1"/>
    <m/>
  </r>
  <r>
    <x v="1"/>
    <n v="40"/>
    <d v="2024-10-02T10:41:00"/>
    <d v="2024-10-02T16:53:00"/>
    <x v="210"/>
    <x v="0"/>
    <x v="7"/>
    <d v="1899-12-31T00:00:00"/>
    <s v="REEL //WDR // KOLKATA+HALDIA  // INCCU+INHAL // WEEK 39"/>
    <x v="2"/>
    <x v="1"/>
    <m/>
  </r>
  <r>
    <x v="1"/>
    <n v="41"/>
    <d v="2024-10-08T09:21:00"/>
    <d v="2024-10-08T17:04:00"/>
    <x v="211"/>
    <x v="0"/>
    <x v="7"/>
    <d v="1899-12-31T00:00:00"/>
    <s v="REEL// WDR // SRILANKA  COLOMBO // WEEK 40"/>
    <x v="0"/>
    <x v="1"/>
    <m/>
  </r>
  <r>
    <x v="1"/>
    <n v="41"/>
    <d v="2024-10-07T15:59:00"/>
    <d v="2024-10-07T18:04:00"/>
    <x v="212"/>
    <x v="0"/>
    <x v="7"/>
    <d v="1899-12-31T00:00:00"/>
    <s v="REEL // WDR report/// TUTICORIN INTUT // WEEK 40"/>
    <x v="3"/>
    <x v="1"/>
    <m/>
  </r>
  <r>
    <x v="1"/>
    <n v="41"/>
    <d v="2024-10-07T12:53:00"/>
    <d v="2024-10-09T15:35:00"/>
    <x v="213"/>
    <x v="0"/>
    <x v="7"/>
    <d v="1899-12-31T00:00:00"/>
    <s v="REEL // WDR  // MYANMAR // MMYGN+MMTLA+MMRGN // WEEK 40"/>
    <x v="10"/>
    <x v="1"/>
    <m/>
  </r>
  <r>
    <x v="1"/>
    <n v="41"/>
    <d v="2024-10-07T11:57:00"/>
    <d v="2024-10-07T17:34:00"/>
    <x v="214"/>
    <x v="0"/>
    <x v="7"/>
    <d v="1899-12-31T00:00:00"/>
    <s v="REEL // WDR // VISHAKAPATNAM  INVTZ // WEEK 40"/>
    <x v="7"/>
    <x v="1"/>
    <m/>
  </r>
  <r>
    <x v="1"/>
    <n v="41"/>
    <d v="2024-10-08T09:15:00"/>
    <d v="2024-10-08T17:31:00"/>
    <x v="215"/>
    <x v="0"/>
    <x v="7"/>
    <d v="1899-12-31T00:00:00"/>
    <s v="REEL // WDR report// CHENNAI INMAA // WEEK 40"/>
    <x v="1"/>
    <x v="1"/>
    <m/>
  </r>
  <r>
    <x v="1"/>
    <n v="41"/>
    <d v="2024-10-07T14:14:00"/>
    <d v="2024-10-07T17:48:00"/>
    <x v="216"/>
    <x v="0"/>
    <x v="7"/>
    <d v="1899-12-31T00:00:00"/>
    <s v="REEL // WDR // COCHIN INCOK // WEEK 40"/>
    <x v="4"/>
    <x v="1"/>
    <m/>
  </r>
  <r>
    <x v="1"/>
    <n v="41"/>
    <d v="2024-10-08T15:02:00"/>
    <d v="2024-10-11T12:10:00"/>
    <x v="217"/>
    <x v="0"/>
    <x v="7"/>
    <d v="1899-12-31T00:00:00"/>
    <s v="REEL //WDR // KOLKATA+HALDIA  // INCCU+INHAL // WEEK 40"/>
    <x v="2"/>
    <x v="1"/>
    <m/>
  </r>
  <r>
    <x v="1"/>
    <n v="41"/>
    <d v="2024-10-07T15:08:00"/>
    <d v="2024-10-07T17:55:00"/>
    <x v="218"/>
    <x v="0"/>
    <x v="7"/>
    <d v="1899-12-31T00:00:00"/>
    <s v="REEL // WDR // BANGLADESH // CHITTAGONG // WEEK 40"/>
    <x v="8"/>
    <x v="1"/>
    <m/>
  </r>
  <r>
    <x v="1"/>
    <n v="42"/>
    <d v="2024-10-14T15:44:00"/>
    <d v="2024-10-15T15:28:00"/>
    <x v="219"/>
    <x v="0"/>
    <x v="7"/>
    <d v="1899-12-31T00:00:00"/>
    <s v="REEL// WDR // SRILANKA  COLOMBO // WEEK 41"/>
    <x v="0"/>
    <x v="1"/>
    <m/>
  </r>
  <r>
    <x v="1"/>
    <n v="42"/>
    <d v="2024-10-15T13:45:00"/>
    <d v="2024-10-15T15:47:00"/>
    <x v="220"/>
    <x v="0"/>
    <x v="7"/>
    <d v="1899-12-31T00:00:00"/>
    <s v="REEL // WDR report/// TUTICORIN INTUT // WEEK 41"/>
    <x v="3"/>
    <x v="1"/>
    <m/>
  </r>
  <r>
    <x v="1"/>
    <n v="42"/>
    <d v="2024-10-15T10:10:00"/>
    <d v="2024-10-16T22:26:00"/>
    <x v="221"/>
    <x v="0"/>
    <x v="7"/>
    <d v="1899-12-31T00:00:00"/>
    <s v="REEL // WDR // VISHAKAPATNAM  INVTZ // WEEK 41"/>
    <x v="7"/>
    <x v="1"/>
    <m/>
  </r>
  <r>
    <x v="1"/>
    <n v="42"/>
    <d v="2024-10-14T23:53:00"/>
    <d v="2024-10-16T22:49:00"/>
    <x v="222"/>
    <x v="0"/>
    <x v="7"/>
    <d v="1899-12-31T00:00:00"/>
    <s v="REEL // WDR report// CHENNAI INMAA // WEEK 41"/>
    <x v="1"/>
    <x v="1"/>
    <m/>
  </r>
  <r>
    <x v="1"/>
    <n v="42"/>
    <d v="2024-10-15T11:00:00"/>
    <d v="2024-10-15T15:35:00"/>
    <x v="223"/>
    <x v="0"/>
    <x v="7"/>
    <d v="1899-12-31T00:00:00"/>
    <s v="REEL // WDR // COCHIN INCOK // WEEK 41"/>
    <x v="4"/>
    <x v="1"/>
    <m/>
  </r>
  <r>
    <x v="1"/>
    <n v="42"/>
    <d v="2024-10-15T12:12:00"/>
    <d v="2024-10-16T11:13:00"/>
    <x v="224"/>
    <x v="0"/>
    <x v="7"/>
    <d v="1899-12-31T00:00:00"/>
    <s v="REEL //WDR // KOLKATA+HALDIA  // INCCU+INHAL // WEEK 41"/>
    <x v="2"/>
    <x v="1"/>
    <m/>
  </r>
  <r>
    <x v="1"/>
    <n v="42"/>
    <d v="2024-10-14T14:24:00"/>
    <d v="2024-10-15T15:55:00"/>
    <x v="225"/>
    <x v="0"/>
    <x v="7"/>
    <d v="1899-12-31T00:00:00"/>
    <s v="REEL // WDR // BANGLADESH // CHITTAGONG // WEEK 41"/>
    <x v="8"/>
    <x v="1"/>
    <m/>
  </r>
  <r>
    <x v="1"/>
    <n v="43"/>
    <d v="2024-10-21T17:59:00"/>
    <d v="2024-10-22T10:22:00"/>
    <x v="78"/>
    <x v="0"/>
    <x v="7"/>
    <d v="1899-12-31T00:00:00"/>
    <s v="REEL // WDR  // MYANMAR // MMYGN+MMTLA+MMRGN // WEEK 41"/>
    <x v="10"/>
    <x v="1"/>
    <m/>
  </r>
  <r>
    <x v="1"/>
    <n v="43"/>
    <d v="2024-10-22T14:53:00"/>
    <d v="2024-10-22T15:39:00"/>
    <x v="226"/>
    <x v="0"/>
    <x v="7"/>
    <d v="1899-12-31T00:00:00"/>
    <s v="REEL// WDR // SRILANKA  COLOMBO // WEEK 42"/>
    <x v="0"/>
    <x v="1"/>
    <m/>
  </r>
  <r>
    <x v="1"/>
    <n v="43"/>
    <d v="2024-10-22T13:28:00"/>
    <d v="2024-10-22T13:44:00"/>
    <x v="103"/>
    <x v="0"/>
    <x v="7"/>
    <d v="1899-12-31T00:00:00"/>
    <s v="REEL //WDR // KOLKATA+HALDIA  // INCCU+INHAL // WEEK 42"/>
    <x v="2"/>
    <x v="1"/>
    <m/>
  </r>
  <r>
    <x v="1"/>
    <n v="43"/>
    <d v="2024-10-23T11:53:00"/>
    <d v="2024-10-23T12:09:00"/>
    <x v="103"/>
    <x v="0"/>
    <x v="7"/>
    <d v="1899-12-31T00:00:00"/>
    <s v="REEL // WDR // VISHAKAPATNAM  INVTZ // WEEK 42"/>
    <x v="7"/>
    <x v="1"/>
    <m/>
  </r>
  <r>
    <x v="1"/>
    <n v="43"/>
    <d v="2024-10-21T16:02:00"/>
    <d v="2024-10-22T13:39:00"/>
    <x v="227"/>
    <x v="0"/>
    <x v="7"/>
    <d v="1899-12-31T00:00:00"/>
    <s v="REEL // WDR // COCHIN INCOK // WEEK 42"/>
    <x v="4"/>
    <x v="1"/>
    <m/>
  </r>
  <r>
    <x v="1"/>
    <n v="43"/>
    <d v="2024-10-22T13:28:00"/>
    <d v="2024-10-22T13:44:00"/>
    <x v="103"/>
    <x v="0"/>
    <x v="7"/>
    <d v="1899-12-31T00:00:00"/>
    <s v="REEL //WDR // KOLKATA+HALDIA  // INCCU+INHAL // WEEK 42"/>
    <x v="2"/>
    <x v="1"/>
    <m/>
  </r>
  <r>
    <x v="1"/>
    <n v="43"/>
    <d v="2024-10-21T11:53:00"/>
    <d v="2024-10-22T13:51:00"/>
    <x v="228"/>
    <x v="0"/>
    <x v="7"/>
    <d v="1899-12-31T00:00:00"/>
    <s v="REEL //WDR // KOLKATA+HALDIA  // INCCU+INHAL // WEEK 42"/>
    <x v="2"/>
    <x v="1"/>
    <m/>
  </r>
  <r>
    <x v="1"/>
    <n v="43"/>
    <d v="2024-10-21T12:04:00"/>
    <d v="2024-10-22T15:26:00"/>
    <x v="229"/>
    <x v="0"/>
    <x v="7"/>
    <d v="1899-12-31T00:00:00"/>
    <s v=" REEL // WDR // BANGLADESH // CHITTAGONG // WEEK 42"/>
    <x v="8"/>
    <x v="1"/>
    <m/>
  </r>
  <r>
    <x v="1"/>
    <n v="43"/>
    <d v="2024-10-21T13:00:00"/>
    <d v="2024-10-22T15:29:00"/>
    <x v="230"/>
    <x v="0"/>
    <x v="7"/>
    <d v="1899-12-31T00:00:00"/>
    <s v="REEL // WDR  // MYANMAR // MMYGN+MMTLA+MMRGN // WEEK 42"/>
    <x v="10"/>
    <x v="1"/>
    <m/>
  </r>
  <r>
    <x v="1"/>
    <n v="43"/>
    <d v="2024-10-22T14:53:00"/>
    <d v="2024-10-22T15:39:00"/>
    <x v="226"/>
    <x v="0"/>
    <x v="7"/>
    <d v="1899-12-31T00:00:00"/>
    <s v="REEL// WDR // SRILANKA  COLOMBO // WEEK 42"/>
    <x v="0"/>
    <x v="1"/>
    <m/>
  </r>
  <r>
    <x v="0"/>
    <n v="44"/>
    <d v="2024-10-28T12:25:00"/>
    <d v="2024-11-01T08:55:00"/>
    <x v="231"/>
    <x v="0"/>
    <x v="7"/>
    <d v="1899-12-31T00:00:00"/>
    <s v="REEL // WDR // BANGLADESH // CHITTAGONG // WEEK 43+44"/>
    <x v="8"/>
    <x v="1"/>
    <m/>
  </r>
  <r>
    <x v="1"/>
    <n v="44"/>
    <d v="2024-10-28T12:39:00"/>
    <d v="2024-10-30T20:27:00"/>
    <x v="232"/>
    <x v="0"/>
    <x v="7"/>
    <d v="1899-12-31T00:00:00"/>
    <s v=" REEL //WDR // KOLKATA+HALDIA  // INCCU+INHAL // WEEK 43+44"/>
    <x v="2"/>
    <x v="1"/>
    <m/>
  </r>
  <r>
    <x v="1"/>
    <n v="44"/>
    <d v="2024-10-28T12:40:00"/>
    <d v="2024-10-28T15:40:00"/>
    <x v="233"/>
    <x v="0"/>
    <x v="7"/>
    <d v="1899-12-31T00:00:00"/>
    <s v="REEL // WDR report// CHENNAI INMAA // WEEK 43+44"/>
    <x v="1"/>
    <x v="1"/>
    <m/>
  </r>
  <r>
    <x v="1"/>
    <n v="44"/>
    <d v="2024-10-28T12:43:00"/>
    <d v="2024-10-28T12:52:00"/>
    <x v="69"/>
    <x v="0"/>
    <x v="7"/>
    <d v="1899-12-31T00:00:00"/>
    <s v="REEL // WDR // VISHAKAPATNAM  INVTZ // WEEK 43+44"/>
    <x v="7"/>
    <x v="1"/>
    <m/>
  </r>
  <r>
    <x v="0"/>
    <n v="45"/>
    <d v="2024-10-28T12:45:00"/>
    <d v="2024-11-04T09:50:00"/>
    <x v="234"/>
    <x v="0"/>
    <x v="7"/>
    <d v="1899-12-31T00:00:00"/>
    <s v="REEL // WDR  // MYANMAR // MMYGN+MMTLA+MMRGN // WEEK 43+44"/>
    <x v="10"/>
    <x v="1"/>
    <m/>
  </r>
  <r>
    <x v="1"/>
    <n v="44"/>
    <d v="2024-10-28T12:49:00"/>
    <d v="2024-10-28T16:34:00"/>
    <x v="235"/>
    <x v="0"/>
    <x v="7"/>
    <d v="1899-12-31T00:00:00"/>
    <s v="REEL // WDR report/// TUTICORIN INTUT // WEEK 43+44"/>
    <x v="3"/>
    <x v="1"/>
    <m/>
  </r>
  <r>
    <x v="1"/>
    <n v="44"/>
    <d v="2024-10-28T12:49:00"/>
    <d v="2024-10-29T16:25:00"/>
    <x v="236"/>
    <x v="0"/>
    <x v="7"/>
    <d v="1899-12-31T00:00:00"/>
    <s v="REEL// WDR // SRILANKA  COLOMBO // WEEK 43+44"/>
    <x v="0"/>
    <x v="1"/>
    <m/>
  </r>
  <r>
    <x v="1"/>
    <n v="44"/>
    <d v="2024-10-28T12:43:00"/>
    <d v="2024-10-28T12:52:00"/>
    <x v="69"/>
    <x v="0"/>
    <x v="7"/>
    <d v="1899-12-31T00:00:00"/>
    <s v="REEL // WDR // VISHAKAPATNAM  INVTZ // WEEK 43+44"/>
    <x v="7"/>
    <x v="1"/>
    <m/>
  </r>
  <r>
    <x v="0"/>
    <n v="45"/>
    <d v="2024-11-04T13:59:00"/>
    <d v="2024-11-05T14:19:00"/>
    <x v="237"/>
    <x v="0"/>
    <x v="7"/>
    <d v="1899-12-31T00:00:00"/>
    <s v="REEL //WDR // KOLKATA+HALDIA  // INCCU+INHAL // WEEK 43+44"/>
    <x v="2"/>
    <x v="1"/>
    <m/>
  </r>
  <r>
    <x v="0"/>
    <n v="45"/>
    <d v="2024-11-01T14:41:00"/>
    <d v="2024-11-03T15:29:00"/>
    <x v="238"/>
    <x v="0"/>
    <x v="7"/>
    <d v="1899-12-31T00:00:00"/>
    <s v="REEL // WDR // COCHIN INCOK // WEEK 43+44"/>
    <x v="4"/>
    <x v="1"/>
    <m/>
  </r>
  <r>
    <x v="0"/>
    <n v="45"/>
    <d v="2024-11-01T08:55:00"/>
    <d v="2024-11-03T15:43:00"/>
    <x v="239"/>
    <x v="0"/>
    <x v="7"/>
    <d v="1899-12-31T00:00:00"/>
    <s v="REEL // WDR // BANGLADESH // CHITTAGONG // WEEK 43+44"/>
    <x v="8"/>
    <x v="1"/>
    <m/>
  </r>
  <r>
    <x v="0"/>
    <n v="45"/>
    <d v="2024-10-28T16:34:00"/>
    <d v="2024-11-03T15:51:00"/>
    <x v="240"/>
    <x v="0"/>
    <x v="7"/>
    <d v="1899-12-31T00:00:00"/>
    <s v="REEL // WDR report/// TUTICORIN INTUT // WEEK 43+44"/>
    <x v="3"/>
    <x v="1"/>
    <m/>
  </r>
  <r>
    <x v="0"/>
    <n v="45"/>
    <d v="2024-10-28T12:52:00"/>
    <d v="2024-11-03T15:55:00"/>
    <x v="241"/>
    <x v="0"/>
    <x v="7"/>
    <d v="1899-12-31T00:00:00"/>
    <s v="REEL // WDR // VISHAKAPATNAM  INVTZ // WEEK 43+44"/>
    <x v="7"/>
    <x v="1"/>
    <m/>
  </r>
  <r>
    <x v="0"/>
    <n v="45"/>
    <d v="2024-11-04T11:34:00"/>
    <d v="2024-11-04T12:23:00"/>
    <x v="86"/>
    <x v="0"/>
    <x v="7"/>
    <d v="1899-12-31T00:00:00"/>
    <s v="REEL// WDR // SRILANKA  COLOMBO // WEEK 43+44"/>
    <x v="0"/>
    <x v="1"/>
    <m/>
  </r>
  <r>
    <x v="0"/>
    <n v="45"/>
    <d v="2024-11-04T13:59:00"/>
    <d v="2024-11-05T14:19:00"/>
    <x v="237"/>
    <x v="0"/>
    <x v="7"/>
    <d v="1899-12-31T00:00:00"/>
    <s v="REEL //WDR // KOLKATA+HALDIA  // INCCU+INHAL // WEEK 43+44"/>
    <x v="2"/>
    <x v="1"/>
    <m/>
  </r>
  <r>
    <x v="0"/>
    <n v="45"/>
    <d v="2024-10-28T12:45:00"/>
    <d v="2024-11-07T14:20:00"/>
    <x v="242"/>
    <x v="0"/>
    <x v="7"/>
    <d v="1899-12-31T00:00:00"/>
    <s v="REEL // WDR  // MYANMAR // MMYGN+MMTLA+MMRGN // WEEK 43+44"/>
    <x v="10"/>
    <x v="1"/>
    <m/>
  </r>
  <r>
    <x v="0"/>
    <n v="45"/>
    <d v="2024-11-06T16:45:00"/>
    <d v="2024-11-07T14:47:00"/>
    <x v="243"/>
    <x v="0"/>
    <x v="7"/>
    <d v="1899-12-31T00:00:00"/>
    <s v="REEL // WDR report// CHENNAI INMAA // WEEK 43+44"/>
    <x v="1"/>
    <x v="1"/>
    <m/>
  </r>
  <r>
    <x v="0"/>
    <n v="46"/>
    <d v="2024-11-11T12:24:00"/>
    <d v="2024-11-13T14:12:00"/>
    <x v="244"/>
    <x v="0"/>
    <x v="7"/>
    <d v="1899-12-31T00:00:00"/>
    <s v="REEL // WDR // BANGLADESH // CHITTAGONG // WEEK 45"/>
    <x v="8"/>
    <x v="1"/>
    <m/>
  </r>
  <r>
    <x v="0"/>
    <n v="46"/>
    <d v="2024-11-11T12:26:00"/>
    <d v="2024-11-12T12:29:00"/>
    <x v="245"/>
    <x v="0"/>
    <x v="7"/>
    <d v="1899-12-31T00:00:00"/>
    <s v="REEL //WDR // KOLKATA+HALDIA  // INCCU+INHAL // WEEK 45"/>
    <x v="2"/>
    <x v="1"/>
    <m/>
  </r>
  <r>
    <x v="0"/>
    <n v="46"/>
    <d v="2024-11-11T12:27:00"/>
    <d v="2024-11-13T10:33:00"/>
    <x v="246"/>
    <x v="0"/>
    <x v="7"/>
    <d v="1899-12-31T00:00:00"/>
    <s v="REEL // WDR report// CHENNAI INMAA // WEEK 45"/>
    <x v="1"/>
    <x v="1"/>
    <m/>
  </r>
  <r>
    <x v="0"/>
    <n v="46"/>
    <d v="2024-11-11T12:27:00"/>
    <d v="2024-11-11T15:23:00"/>
    <x v="247"/>
    <x v="0"/>
    <x v="7"/>
    <d v="1899-12-31T00:00:00"/>
    <s v="REEL // WDR // COCHIN INCOK // WEEK 45"/>
    <x v="4"/>
    <x v="1"/>
    <m/>
  </r>
  <r>
    <x v="0"/>
    <n v="46"/>
    <d v="2024-11-11T12:28:00"/>
    <d v="2024-11-12T14:13:00"/>
    <x v="117"/>
    <x v="0"/>
    <x v="7"/>
    <d v="1899-12-31T00:00:00"/>
    <s v="REEL // WDR // VISHAKAPATNAM  INVTZ // WEEK 45"/>
    <x v="7"/>
    <x v="1"/>
    <m/>
  </r>
  <r>
    <x v="0"/>
    <n v="46"/>
    <d v="2024-11-13T12:53:00"/>
    <d v="2024-11-13T17:55:00"/>
    <x v="248"/>
    <x v="0"/>
    <x v="7"/>
    <d v="1899-12-31T00:00:00"/>
    <s v="REEL // WDR  // MYANMAR // MMYGN+MMTLA+MMRGN // WEEK 45"/>
    <x v="10"/>
    <x v="1"/>
    <m/>
  </r>
  <r>
    <x v="0"/>
    <n v="46"/>
    <d v="2024-11-11T12:30:00"/>
    <d v="2024-11-11T17:54:00"/>
    <x v="249"/>
    <x v="0"/>
    <x v="7"/>
    <d v="1899-12-31T00:00:00"/>
    <s v="REEL // WDR report/// TUTICORIN INTUT // WEEK 45"/>
    <x v="3"/>
    <x v="1"/>
    <m/>
  </r>
  <r>
    <x v="0"/>
    <n v="46"/>
    <d v="2024-11-11T12:31:00"/>
    <d v="2024-11-12T12:45:00"/>
    <x v="250"/>
    <x v="0"/>
    <x v="7"/>
    <d v="1899-12-31T00:00:00"/>
    <s v="REEL// WDR // SRILANKA  COLOMBO // WEEK 45"/>
    <x v="0"/>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2A584A-92B2-41C4-8024-2CB9AE92DD5C}"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34" firstHeaderRow="1" firstDataRow="1" firstDataCol="1"/>
  <pivotFields count="15">
    <pivotField axis="axisRow"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axis="axisRow" dataField="1" showAll="0">
      <items count="4">
        <item m="1" x="2"/>
        <item x="1"/>
        <item x="0"/>
        <item t="default"/>
      </items>
    </pivotField>
    <pivotField showAll="0"/>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0"/>
    <field x="5"/>
  </rowFields>
  <rowItems count="7">
    <i>
      <x/>
    </i>
    <i r="1">
      <x v="1"/>
    </i>
    <i r="1">
      <x v="2"/>
    </i>
    <i>
      <x v="1"/>
    </i>
    <i r="1">
      <x v="1"/>
    </i>
    <i r="1">
      <x v="2"/>
    </i>
    <i t="grand">
      <x/>
    </i>
  </rowItems>
  <colItems count="1">
    <i/>
  </colItems>
  <dataFields count="1">
    <dataField name="Count of TAT2"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0C616B-B9F7-4ABC-9774-F14C1F427C03}"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B61" firstHeaderRow="1" firstDataRow="1" firstDataCol="1"/>
  <pivotFields count="15">
    <pivotField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axis="axisRow" dataField="1" showAll="0">
      <items count="4">
        <item m="1" x="2"/>
        <item x="1"/>
        <item x="0"/>
        <item t="default"/>
      </items>
    </pivotField>
    <pivotField axis="axisRow"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6"/>
    <field x="5"/>
  </rowFields>
  <rowItems count="23">
    <i>
      <x/>
    </i>
    <i r="1">
      <x v="1"/>
    </i>
    <i r="1">
      <x v="2"/>
    </i>
    <i>
      <x v="1"/>
    </i>
    <i r="1">
      <x v="1"/>
    </i>
    <i r="1">
      <x v="2"/>
    </i>
    <i>
      <x v="2"/>
    </i>
    <i r="1">
      <x v="2"/>
    </i>
    <i>
      <x v="3"/>
    </i>
    <i r="1">
      <x v="1"/>
    </i>
    <i r="1">
      <x v="2"/>
    </i>
    <i>
      <x v="4"/>
    </i>
    <i r="1">
      <x v="1"/>
    </i>
    <i r="1">
      <x v="2"/>
    </i>
    <i>
      <x v="5"/>
    </i>
    <i r="1">
      <x v="1"/>
    </i>
    <i r="1">
      <x v="2"/>
    </i>
    <i>
      <x v="6"/>
    </i>
    <i r="1">
      <x v="1"/>
    </i>
    <i r="1">
      <x v="2"/>
    </i>
    <i>
      <x v="7"/>
    </i>
    <i r="1">
      <x v="2"/>
    </i>
    <i t="grand">
      <x/>
    </i>
  </rowItems>
  <colItems count="1">
    <i/>
  </colItems>
  <dataFields count="1">
    <dataField name="Count of TAT2"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B888C7-12EC-46F3-9515-53E2F5600A9A}" name="PivotTable12" cacheId="3" applyNumberFormats="0" applyBorderFormats="0" applyFontFormats="0" applyPatternFormats="0" applyAlignmentFormats="0" applyWidthHeightFormats="1" dataCaption="Values" grandTotalCaption="v" updatedVersion="8" minRefreshableVersion="3" useAutoFormatting="1" itemPrintTitles="1" createdVersion="8" indent="0" outline="1" outlineData="1" multipleFieldFilters="0">
  <location ref="F16:G23" firstHeaderRow="1" firstDataRow="1" firstDataCol="1"/>
  <pivotFields count="15">
    <pivotField axis="axisRow"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axis="axisRow" dataField="1" showAll="0">
      <items count="4">
        <item m="1" x="2"/>
        <item x="1"/>
        <item x="0"/>
        <item t="default"/>
      </items>
    </pivotField>
    <pivotField showAll="0"/>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0"/>
    <field x="5"/>
  </rowFields>
  <rowItems count="7">
    <i>
      <x/>
    </i>
    <i r="1">
      <x v="1"/>
    </i>
    <i r="1">
      <x v="2"/>
    </i>
    <i>
      <x v="1"/>
    </i>
    <i r="1">
      <x v="1"/>
    </i>
    <i r="1">
      <x v="2"/>
    </i>
    <i t="grand">
      <x/>
    </i>
  </rowItems>
  <colItems count="1">
    <i/>
  </colItems>
  <dataFields count="1">
    <dataField name="Count of TAT2" fld="5" subtotal="count" baseField="0" baseItem="0"/>
  </dataFields>
  <formats count="8">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fieldPosition="0">
        <references count="2">
          <reference field="0" count="1" selected="0">
            <x v="0"/>
          </reference>
          <reference field="5" count="0"/>
        </references>
      </pivotArea>
    </format>
    <format dxfId="5">
      <pivotArea dataOnly="0" labelOnly="1" fieldPosition="0">
        <references count="2">
          <reference field="0" count="1" selected="0">
            <x v="1"/>
          </reference>
          <reference field="5" count="0"/>
        </references>
      </pivotArea>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F58D2D3-EE67-46C6-907D-4AB6718CC7A2}" name="PivotTable10"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5:B100" firstHeaderRow="1" firstDataRow="1" firstDataCol="1"/>
  <pivotFields count="15">
    <pivotField axis="axisRow"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dataField="1" showAll="0">
      <items count="4">
        <item m="1" x="2"/>
        <item x="1"/>
        <item x="0"/>
        <item t="default"/>
      </items>
    </pivotField>
    <pivotField axis="axisRow"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6"/>
    <field x="0"/>
  </rowFields>
  <rowItems count="25">
    <i>
      <x/>
    </i>
    <i r="1">
      <x/>
    </i>
    <i r="1">
      <x v="1"/>
    </i>
    <i>
      <x v="1"/>
    </i>
    <i r="1">
      <x/>
    </i>
    <i r="1">
      <x v="1"/>
    </i>
    <i>
      <x v="2"/>
    </i>
    <i r="1">
      <x/>
    </i>
    <i r="1">
      <x v="1"/>
    </i>
    <i>
      <x v="3"/>
    </i>
    <i r="1">
      <x/>
    </i>
    <i r="1">
      <x v="1"/>
    </i>
    <i>
      <x v="4"/>
    </i>
    <i r="1">
      <x/>
    </i>
    <i r="1">
      <x v="1"/>
    </i>
    <i>
      <x v="5"/>
    </i>
    <i r="1">
      <x/>
    </i>
    <i r="1">
      <x v="1"/>
    </i>
    <i>
      <x v="6"/>
    </i>
    <i r="1">
      <x/>
    </i>
    <i r="1">
      <x v="1"/>
    </i>
    <i>
      <x v="7"/>
    </i>
    <i r="1">
      <x/>
    </i>
    <i r="1">
      <x v="1"/>
    </i>
    <i t="grand">
      <x/>
    </i>
  </rowItems>
  <colItems count="1">
    <i/>
  </colItems>
  <dataFields count="1">
    <dataField name="Count of TAT2"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2CA281-5EE1-418A-AFD8-87F335DC87C5}"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75:J84" firstHeaderRow="1" firstDataRow="1" firstDataCol="1"/>
  <pivotFields count="15">
    <pivotField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dataField="1" showAll="0">
      <items count="4">
        <item m="1" x="2"/>
        <item x="1"/>
        <item x="0"/>
        <item t="default"/>
      </items>
    </pivotField>
    <pivotField axis="axisRow"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6"/>
  </rowFields>
  <rowItems count="9">
    <i>
      <x/>
    </i>
    <i>
      <x v="1"/>
    </i>
    <i>
      <x v="2"/>
    </i>
    <i>
      <x v="3"/>
    </i>
    <i>
      <x v="4"/>
    </i>
    <i>
      <x v="5"/>
    </i>
    <i>
      <x v="6"/>
    </i>
    <i>
      <x v="7"/>
    </i>
    <i t="grand">
      <x/>
    </i>
  </rowItems>
  <colItems count="1">
    <i/>
  </colItems>
  <dataFields count="1">
    <dataField name="Count of TAT2"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B4268DA-9143-4BD1-B89F-3B81FBF1B242}"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7:B70" firstHeaderRow="1" firstDataRow="1" firstDataCol="1"/>
  <pivotFields count="15">
    <pivotField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showAll="0">
      <items count="4">
        <item m="1" x="2"/>
        <item x="1"/>
        <item x="0"/>
        <item t="default"/>
      </items>
    </pivotField>
    <pivotField showAll="0"/>
    <pivotField showAll="0"/>
    <pivotField showAll="0"/>
    <pivotField showAll="0"/>
    <pivotField axis="axisRow" dataField="1"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10"/>
  </rowFields>
  <rowItems count="3">
    <i>
      <x/>
    </i>
    <i>
      <x v="1"/>
    </i>
    <i t="grand">
      <x/>
    </i>
  </rowItems>
  <colItems count="1">
    <i/>
  </colItems>
  <dataFields count="1">
    <dataField name="Count of User name" fld="10" subtotal="count" baseField="0" baseItem="0"/>
  </dataFields>
  <chartFormats count="3">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10" count="1" selected="0">
            <x v="0"/>
          </reference>
        </references>
      </pivotArea>
    </chartFormat>
    <chartFormat chart="6" format="1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A0A453-C7CE-45C9-9EAA-61A9EB714E22}" name="PivotTable1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75:F100" firstHeaderRow="1" firstDataRow="1" firstDataCol="1"/>
  <pivotFields count="15">
    <pivotField axis="axisRow"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dataField="1" showAll="0">
      <items count="4">
        <item m="1" x="2"/>
        <item x="1"/>
        <item x="0"/>
        <item t="default"/>
      </items>
    </pivotField>
    <pivotField axis="axisRow"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6"/>
    <field x="0"/>
  </rowFields>
  <rowItems count="25">
    <i>
      <x/>
    </i>
    <i r="1">
      <x/>
    </i>
    <i r="1">
      <x v="1"/>
    </i>
    <i>
      <x v="1"/>
    </i>
    <i r="1">
      <x/>
    </i>
    <i r="1">
      <x v="1"/>
    </i>
    <i>
      <x v="2"/>
    </i>
    <i r="1">
      <x/>
    </i>
    <i r="1">
      <x v="1"/>
    </i>
    <i>
      <x v="3"/>
    </i>
    <i r="1">
      <x/>
    </i>
    <i r="1">
      <x v="1"/>
    </i>
    <i>
      <x v="4"/>
    </i>
    <i r="1">
      <x/>
    </i>
    <i r="1">
      <x v="1"/>
    </i>
    <i>
      <x v="5"/>
    </i>
    <i r="1">
      <x/>
    </i>
    <i r="1">
      <x v="1"/>
    </i>
    <i>
      <x v="6"/>
    </i>
    <i r="1">
      <x/>
    </i>
    <i r="1">
      <x v="1"/>
    </i>
    <i>
      <x v="7"/>
    </i>
    <i r="1">
      <x/>
    </i>
    <i r="1">
      <x v="1"/>
    </i>
    <i t="grand">
      <x/>
    </i>
  </rowItems>
  <colItems count="1">
    <i/>
  </colItems>
  <dataFields count="1">
    <dataField name="Count of TAT2" fld="5" subtotal="count" baseField="0" baseItem="0"/>
  </dataFields>
  <formats count="14">
    <format dxfId="25">
      <pivotArea type="all" dataOnly="0" outline="0" fieldPosition="0"/>
    </format>
    <format dxfId="24">
      <pivotArea outline="0" collapsedLevelsAreSubtotals="1" fieldPosition="0"/>
    </format>
    <format dxfId="23">
      <pivotArea field="6" type="button" dataOnly="0" labelOnly="1" outline="0" axis="axisRow" fieldPosition="0"/>
    </format>
    <format dxfId="22">
      <pivotArea dataOnly="0" labelOnly="1" fieldPosition="0">
        <references count="1">
          <reference field="6" count="0"/>
        </references>
      </pivotArea>
    </format>
    <format dxfId="21">
      <pivotArea dataOnly="0" labelOnly="1" grandRow="1" outline="0" fieldPosition="0"/>
    </format>
    <format dxfId="20">
      <pivotArea dataOnly="0" labelOnly="1" fieldPosition="0">
        <references count="2">
          <reference field="0" count="0"/>
          <reference field="6" count="1" selected="0">
            <x v="0"/>
          </reference>
        </references>
      </pivotArea>
    </format>
    <format dxfId="19">
      <pivotArea dataOnly="0" labelOnly="1" fieldPosition="0">
        <references count="2">
          <reference field="0" count="0"/>
          <reference field="6" count="1" selected="0">
            <x v="1"/>
          </reference>
        </references>
      </pivotArea>
    </format>
    <format dxfId="18">
      <pivotArea dataOnly="0" labelOnly="1" fieldPosition="0">
        <references count="2">
          <reference field="0" count="0"/>
          <reference field="6" count="1" selected="0">
            <x v="2"/>
          </reference>
        </references>
      </pivotArea>
    </format>
    <format dxfId="17">
      <pivotArea dataOnly="0" labelOnly="1" fieldPosition="0">
        <references count="2">
          <reference field="0" count="0"/>
          <reference field="6" count="1" selected="0">
            <x v="3"/>
          </reference>
        </references>
      </pivotArea>
    </format>
    <format dxfId="16">
      <pivotArea dataOnly="0" labelOnly="1" fieldPosition="0">
        <references count="2">
          <reference field="0" count="0"/>
          <reference field="6" count="1" selected="0">
            <x v="4"/>
          </reference>
        </references>
      </pivotArea>
    </format>
    <format dxfId="15">
      <pivotArea dataOnly="0" labelOnly="1" fieldPosition="0">
        <references count="2">
          <reference field="0" count="0"/>
          <reference field="6" count="1" selected="0">
            <x v="5"/>
          </reference>
        </references>
      </pivotArea>
    </format>
    <format dxfId="14">
      <pivotArea dataOnly="0" labelOnly="1" fieldPosition="0">
        <references count="2">
          <reference field="0" count="0"/>
          <reference field="6" count="1" selected="0">
            <x v="6"/>
          </reference>
        </references>
      </pivotArea>
    </format>
    <format dxfId="13">
      <pivotArea dataOnly="0" labelOnly="1" fieldPosition="0">
        <references count="2">
          <reference field="0" count="0"/>
          <reference field="6" count="1" selected="0">
            <x v="7"/>
          </reference>
        </references>
      </pivotArea>
    </format>
    <format dxfId="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4B6BBE0-F866-40D9-AE0F-6037C6EA5A03}" name="PivotTable1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16:J134" firstHeaderRow="1" firstDataRow="1" firstDataCol="1"/>
  <pivotFields count="15">
    <pivotField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showAll="0">
      <items count="4">
        <item m="1" x="2"/>
        <item x="1"/>
        <item x="0"/>
        <item t="default"/>
      </items>
    </pivotField>
    <pivotField showAll="0"/>
    <pivotField showAll="0"/>
    <pivotField showAll="0"/>
    <pivotField axis="axisRow" dataField="1" showAll="0">
      <items count="18">
        <item x="8"/>
        <item x="2"/>
        <item x="4"/>
        <item x="6"/>
        <item x="1"/>
        <item x="5"/>
        <item x="3"/>
        <item x="7"/>
        <item x="9"/>
        <item x="0"/>
        <item x="10"/>
        <item x="11"/>
        <item x="13"/>
        <item x="16"/>
        <item x="15"/>
        <item x="12"/>
        <item x="14"/>
        <item t="default"/>
      </items>
    </pivotField>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9"/>
  </rowFields>
  <rowItems count="18">
    <i>
      <x/>
    </i>
    <i>
      <x v="1"/>
    </i>
    <i>
      <x v="2"/>
    </i>
    <i>
      <x v="3"/>
    </i>
    <i>
      <x v="4"/>
    </i>
    <i>
      <x v="5"/>
    </i>
    <i>
      <x v="6"/>
    </i>
    <i>
      <x v="7"/>
    </i>
    <i>
      <x v="8"/>
    </i>
    <i>
      <x v="9"/>
    </i>
    <i>
      <x v="10"/>
    </i>
    <i>
      <x v="11"/>
    </i>
    <i>
      <x v="12"/>
    </i>
    <i>
      <x v="13"/>
    </i>
    <i>
      <x v="14"/>
    </i>
    <i>
      <x v="15"/>
    </i>
    <i>
      <x v="16"/>
    </i>
    <i t="grand">
      <x/>
    </i>
  </rowItems>
  <colItems count="1">
    <i/>
  </colItems>
  <dataFields count="1">
    <dataField name="Count of Port Agent"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7F79A3E-023E-4C95-A9FC-06A3379B7A5E}"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I90:J115" firstHeaderRow="1" firstDataRow="1" firstDataCol="1"/>
  <pivotFields count="15">
    <pivotField axis="axisRow"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dataField="1" showAll="0">
      <items count="4">
        <item m="1" x="2"/>
        <item x="1"/>
        <item x="0"/>
        <item t="default"/>
      </items>
    </pivotField>
    <pivotField axis="axisRow"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6"/>
    <field x="0"/>
  </rowFields>
  <rowItems count="25">
    <i>
      <x/>
    </i>
    <i r="1">
      <x/>
    </i>
    <i r="1">
      <x v="1"/>
    </i>
    <i>
      <x v="1"/>
    </i>
    <i r="1">
      <x/>
    </i>
    <i r="1">
      <x v="1"/>
    </i>
    <i>
      <x v="2"/>
    </i>
    <i r="1">
      <x/>
    </i>
    <i r="1">
      <x v="1"/>
    </i>
    <i>
      <x v="3"/>
    </i>
    <i r="1">
      <x/>
    </i>
    <i r="1">
      <x v="1"/>
    </i>
    <i>
      <x v="4"/>
    </i>
    <i r="1">
      <x/>
    </i>
    <i r="1">
      <x v="1"/>
    </i>
    <i>
      <x v="5"/>
    </i>
    <i r="1">
      <x/>
    </i>
    <i r="1">
      <x v="1"/>
    </i>
    <i>
      <x v="6"/>
    </i>
    <i r="1">
      <x/>
    </i>
    <i r="1">
      <x v="1"/>
    </i>
    <i>
      <x v="7"/>
    </i>
    <i r="1">
      <x/>
    </i>
    <i r="1">
      <x v="1"/>
    </i>
    <i t="grand">
      <x/>
    </i>
  </rowItems>
  <colItems count="1">
    <i/>
  </colItems>
  <dataFields count="1">
    <dataField name="Count of TAT2" fld="5" subtotal="count" baseField="0" baseItem="0"/>
  </dataFields>
  <formats count="14">
    <format dxfId="39">
      <pivotArea type="all" dataOnly="0" outline="0" fieldPosition="0"/>
    </format>
    <format dxfId="38">
      <pivotArea outline="0" collapsedLevelsAreSubtotals="1" fieldPosition="0"/>
    </format>
    <format dxfId="37">
      <pivotArea field="6" type="button" dataOnly="0" labelOnly="1" outline="0" axis="axisRow" fieldPosition="0"/>
    </format>
    <format dxfId="36">
      <pivotArea dataOnly="0" labelOnly="1" fieldPosition="0">
        <references count="1">
          <reference field="6" count="0"/>
        </references>
      </pivotArea>
    </format>
    <format dxfId="35">
      <pivotArea dataOnly="0" labelOnly="1" grandRow="1" outline="0" fieldPosition="0"/>
    </format>
    <format dxfId="34">
      <pivotArea dataOnly="0" labelOnly="1" fieldPosition="0">
        <references count="2">
          <reference field="0" count="0"/>
          <reference field="6" count="1" selected="0">
            <x v="0"/>
          </reference>
        </references>
      </pivotArea>
    </format>
    <format dxfId="33">
      <pivotArea dataOnly="0" labelOnly="1" fieldPosition="0">
        <references count="2">
          <reference field="0" count="0"/>
          <reference field="6" count="1" selected="0">
            <x v="1"/>
          </reference>
        </references>
      </pivotArea>
    </format>
    <format dxfId="32">
      <pivotArea dataOnly="0" labelOnly="1" fieldPosition="0">
        <references count="2">
          <reference field="0" count="0"/>
          <reference field="6" count="1" selected="0">
            <x v="2"/>
          </reference>
        </references>
      </pivotArea>
    </format>
    <format dxfId="31">
      <pivotArea dataOnly="0" labelOnly="1" fieldPosition="0">
        <references count="2">
          <reference field="0" count="0"/>
          <reference field="6" count="1" selected="0">
            <x v="3"/>
          </reference>
        </references>
      </pivotArea>
    </format>
    <format dxfId="30">
      <pivotArea dataOnly="0" labelOnly="1" fieldPosition="0">
        <references count="2">
          <reference field="0" count="0"/>
          <reference field="6" count="1" selected="0">
            <x v="4"/>
          </reference>
        </references>
      </pivotArea>
    </format>
    <format dxfId="29">
      <pivotArea dataOnly="0" labelOnly="1" fieldPosition="0">
        <references count="2">
          <reference field="0" count="0"/>
          <reference field="6" count="1" selected="0">
            <x v="5"/>
          </reference>
        </references>
      </pivotArea>
    </format>
    <format dxfId="28">
      <pivotArea dataOnly="0" labelOnly="1" fieldPosition="0">
        <references count="2">
          <reference field="0" count="0"/>
          <reference field="6" count="1" selected="0">
            <x v="6"/>
          </reference>
        </references>
      </pivotArea>
    </format>
    <format dxfId="27">
      <pivotArea dataOnly="0" labelOnly="1" fieldPosition="0">
        <references count="2">
          <reference field="0" count="0"/>
          <reference field="6" count="1" selected="0">
            <x v="7"/>
          </reference>
        </references>
      </pivotArea>
    </format>
    <format dxfId="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6B3016-AAA4-4CB5-95A2-A98391E4B66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24" firstHeaderRow="1" firstDataRow="1" firstDataCol="1"/>
  <pivotFields count="15">
    <pivotField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showAll="0">
      <items count="4">
        <item m="1" x="2"/>
        <item x="1"/>
        <item x="0"/>
        <item t="default"/>
      </items>
    </pivotField>
    <pivotField axis="axisRow" dataField="1"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6"/>
  </rowFields>
  <rowItems count="9">
    <i>
      <x/>
    </i>
    <i>
      <x v="1"/>
    </i>
    <i>
      <x v="2"/>
    </i>
    <i>
      <x v="3"/>
    </i>
    <i>
      <x v="4"/>
    </i>
    <i>
      <x v="5"/>
    </i>
    <i>
      <x v="6"/>
    </i>
    <i>
      <x v="7"/>
    </i>
    <i t="grand">
      <x/>
    </i>
  </rowItems>
  <colItems count="1">
    <i/>
  </colItems>
  <dataFields count="1">
    <dataField name="Count of ACTIVITY"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96931B-529B-4379-99A7-24514F1D3BF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15">
    <pivotField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showAll="0">
      <items count="4">
        <item m="1" x="2"/>
        <item x="1"/>
        <item x="0"/>
        <item t="default"/>
      </items>
    </pivotField>
    <pivotField axis="axisRow" dataField="1"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1">
    <field x="6"/>
  </rowFields>
  <rowItems count="9">
    <i>
      <x/>
    </i>
    <i>
      <x v="1"/>
    </i>
    <i>
      <x v="2"/>
    </i>
    <i>
      <x v="3"/>
    </i>
    <i>
      <x v="4"/>
    </i>
    <i>
      <x v="5"/>
    </i>
    <i>
      <x v="6"/>
    </i>
    <i>
      <x v="7"/>
    </i>
    <i t="grand">
      <x/>
    </i>
  </rowItems>
  <colItems count="1">
    <i/>
  </colItems>
  <dataFields count="1">
    <dataField name="Count of ACTIVITY"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44D4845-AF44-4F31-A21A-5EA007365FC6}" name="PivotTable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5:B128" firstHeaderRow="1" firstDataRow="1" firstDataCol="1"/>
  <pivotFields count="15">
    <pivotField axis="axisRow"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showAll="0">
      <items count="4">
        <item m="1" x="2"/>
        <item x="1"/>
        <item x="0"/>
        <item t="default"/>
      </items>
    </pivotField>
    <pivotField axis="axisRow" showAll="0">
      <items count="9">
        <item x="0"/>
        <item x="2"/>
        <item x="3"/>
        <item x="4"/>
        <item x="5"/>
        <item x="1"/>
        <item sd="0" x="6"/>
        <item x="7"/>
        <item t="default"/>
      </items>
    </pivotField>
    <pivotField dataField="1"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6"/>
    <field x="0"/>
  </rowFields>
  <rowItems count="23">
    <i>
      <x/>
    </i>
    <i r="1">
      <x/>
    </i>
    <i r="1">
      <x v="1"/>
    </i>
    <i>
      <x v="1"/>
    </i>
    <i r="1">
      <x/>
    </i>
    <i r="1">
      <x v="1"/>
    </i>
    <i>
      <x v="2"/>
    </i>
    <i r="1">
      <x/>
    </i>
    <i r="1">
      <x v="1"/>
    </i>
    <i>
      <x v="3"/>
    </i>
    <i r="1">
      <x/>
    </i>
    <i r="1">
      <x v="1"/>
    </i>
    <i>
      <x v="4"/>
    </i>
    <i r="1">
      <x/>
    </i>
    <i r="1">
      <x v="1"/>
    </i>
    <i>
      <x v="5"/>
    </i>
    <i r="1">
      <x/>
    </i>
    <i r="1">
      <x v="1"/>
    </i>
    <i>
      <x v="6"/>
    </i>
    <i>
      <x v="7"/>
    </i>
    <i r="1">
      <x/>
    </i>
    <i r="1">
      <x v="1"/>
    </i>
    <i t="grand">
      <x/>
    </i>
  </rowItems>
  <colItems count="1">
    <i/>
  </colItems>
  <dataFields count="1">
    <dataField name="Count of SLA" fld="7" subtotal="count" baseField="0" baseItem="0"/>
  </dataFields>
  <formats count="14">
    <format dxfId="53">
      <pivotArea type="all" dataOnly="0" outline="0" fieldPosition="0"/>
    </format>
    <format dxfId="52">
      <pivotArea outline="0" collapsedLevelsAreSubtotals="1" fieldPosition="0"/>
    </format>
    <format dxfId="51">
      <pivotArea field="6" type="button" dataOnly="0" labelOnly="1" outline="0" axis="axisRow" fieldPosition="0"/>
    </format>
    <format dxfId="50">
      <pivotArea dataOnly="0" labelOnly="1" fieldPosition="0">
        <references count="1">
          <reference field="6" count="0"/>
        </references>
      </pivotArea>
    </format>
    <format dxfId="49">
      <pivotArea dataOnly="0" labelOnly="1" grandRow="1" outline="0" fieldPosition="0"/>
    </format>
    <format dxfId="48">
      <pivotArea dataOnly="0" labelOnly="1" fieldPosition="0">
        <references count="2">
          <reference field="0" count="0"/>
          <reference field="6" count="1" selected="0">
            <x v="0"/>
          </reference>
        </references>
      </pivotArea>
    </format>
    <format dxfId="47">
      <pivotArea dataOnly="0" labelOnly="1" fieldPosition="0">
        <references count="2">
          <reference field="0" count="0"/>
          <reference field="6" count="1" selected="0">
            <x v="1"/>
          </reference>
        </references>
      </pivotArea>
    </format>
    <format dxfId="46">
      <pivotArea dataOnly="0" labelOnly="1" fieldPosition="0">
        <references count="2">
          <reference field="0" count="0"/>
          <reference field="6" count="1" selected="0">
            <x v="2"/>
          </reference>
        </references>
      </pivotArea>
    </format>
    <format dxfId="45">
      <pivotArea dataOnly="0" labelOnly="1" fieldPosition="0">
        <references count="2">
          <reference field="0" count="0"/>
          <reference field="6" count="1" selected="0">
            <x v="3"/>
          </reference>
        </references>
      </pivotArea>
    </format>
    <format dxfId="44">
      <pivotArea dataOnly="0" labelOnly="1" fieldPosition="0">
        <references count="2">
          <reference field="0" count="0"/>
          <reference field="6" count="1" selected="0">
            <x v="4"/>
          </reference>
        </references>
      </pivotArea>
    </format>
    <format dxfId="43">
      <pivotArea dataOnly="0" labelOnly="1" fieldPosition="0">
        <references count="2">
          <reference field="0" count="0"/>
          <reference field="6" count="1" selected="0">
            <x v="5"/>
          </reference>
        </references>
      </pivotArea>
    </format>
    <format dxfId="42">
      <pivotArea dataOnly="0" labelOnly="1" fieldPosition="0">
        <references count="2">
          <reference field="0" count="0"/>
          <reference field="6" count="1" selected="0">
            <x v="6"/>
          </reference>
        </references>
      </pivotArea>
    </format>
    <format dxfId="41">
      <pivotArea dataOnly="0" labelOnly="1" fieldPosition="0">
        <references count="2">
          <reference field="0" count="0"/>
          <reference field="6" count="1" selected="0">
            <x v="7"/>
          </reference>
        </references>
      </pivotArea>
    </format>
    <format dxfId="4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3E1D4B0-A891-46A8-B06A-C40DA5486C9A}" name="PivotTable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H43:I66" firstHeaderRow="1" firstDataRow="1" firstDataCol="1"/>
  <pivotFields count="15">
    <pivotField showAll="0">
      <items count="3">
        <item x="1"/>
        <item x="0"/>
        <item t="default"/>
      </items>
    </pivotField>
    <pivotField showAll="0"/>
    <pivotField numFmtId="22" showAll="0"/>
    <pivotField numFmtId="22" showAll="0"/>
    <pivotField numFmtId="165" showAll="0">
      <items count="253">
        <item x="93"/>
        <item x="199"/>
        <item x="106"/>
        <item x="90"/>
        <item x="94"/>
        <item x="36"/>
        <item x="91"/>
        <item x="64"/>
        <item x="19"/>
        <item x="6"/>
        <item x="10"/>
        <item x="29"/>
        <item x="69"/>
        <item x="2"/>
        <item x="33"/>
        <item x="24"/>
        <item x="21"/>
        <item x="63"/>
        <item x="71"/>
        <item x="103"/>
        <item x="65"/>
        <item x="112"/>
        <item x="74"/>
        <item x="79"/>
        <item x="39"/>
        <item x="31"/>
        <item x="35"/>
        <item x="0"/>
        <item x="9"/>
        <item x="101"/>
        <item x="32"/>
        <item x="13"/>
        <item x="46"/>
        <item x="43"/>
        <item x="75"/>
        <item x="76"/>
        <item x="144"/>
        <item x="170"/>
        <item x="67"/>
        <item x="73"/>
        <item x="3"/>
        <item x="26"/>
        <item x="167"/>
        <item x="38"/>
        <item x="5"/>
        <item x="226"/>
        <item x="83"/>
        <item x="86"/>
        <item x="45"/>
        <item x="176"/>
        <item x="18"/>
        <item x="59"/>
        <item x="84"/>
        <item x="70"/>
        <item x="49"/>
        <item x="151"/>
        <item x="177"/>
        <item x="68"/>
        <item x="25"/>
        <item x="171"/>
        <item x="30"/>
        <item x="182"/>
        <item x="153"/>
        <item x="179"/>
        <item x="89"/>
        <item x="201"/>
        <item x="58"/>
        <item x="1"/>
        <item x="80"/>
        <item x="37"/>
        <item x="126"/>
        <item x="175"/>
        <item x="15"/>
        <item x="168"/>
        <item x="190"/>
        <item x="81"/>
        <item x="203"/>
        <item x="198"/>
        <item x="220"/>
        <item x="212"/>
        <item x="133"/>
        <item x="184"/>
        <item x="11"/>
        <item x="178"/>
        <item x="66"/>
        <item x="85"/>
        <item m="1" x="251"/>
        <item x="188"/>
        <item x="56"/>
        <item x="41"/>
        <item x="172"/>
        <item x="189"/>
        <item x="218"/>
        <item x="121"/>
        <item x="27"/>
        <item x="82"/>
        <item x="247"/>
        <item x="233"/>
        <item x="8"/>
        <item x="52"/>
        <item x="7"/>
        <item x="142"/>
        <item x="57"/>
        <item x="20"/>
        <item x="77"/>
        <item x="149"/>
        <item x="95"/>
        <item x="216"/>
        <item x="147"/>
        <item x="158"/>
        <item x="235"/>
        <item x="47"/>
        <item x="202"/>
        <item x="131"/>
        <item x="174"/>
        <item x="223"/>
        <item x="72"/>
        <item x="163"/>
        <item x="53"/>
        <item x="96"/>
        <item x="207"/>
        <item x="248"/>
        <item x="87"/>
        <item x="122"/>
        <item x="249"/>
        <item x="200"/>
        <item x="214"/>
        <item x="34"/>
        <item x="210"/>
        <item x="211"/>
        <item x="129"/>
        <item x="215"/>
        <item x="14"/>
        <item x="92"/>
        <item x="143"/>
        <item x="62"/>
        <item x="42"/>
        <item x="105"/>
        <item x="187"/>
        <item x="180"/>
        <item x="186"/>
        <item x="16"/>
        <item x="61"/>
        <item x="193"/>
        <item x="185"/>
        <item x="40"/>
        <item x="110"/>
        <item x="181"/>
        <item x="196"/>
        <item x="78"/>
        <item x="51"/>
        <item x="48"/>
        <item x="17"/>
        <item x="183"/>
        <item x="55"/>
        <item x="191"/>
        <item x="140"/>
        <item x="23"/>
        <item x="100"/>
        <item x="138"/>
        <item x="137"/>
        <item x="44"/>
        <item x="152"/>
        <item x="99"/>
        <item x="98"/>
        <item x="141"/>
        <item x="12"/>
        <item x="161"/>
        <item x="192"/>
        <item x="145"/>
        <item x="107"/>
        <item x="195"/>
        <item x="227"/>
        <item x="154"/>
        <item x="135"/>
        <item x="243"/>
        <item x="197"/>
        <item x="109"/>
        <item x="102"/>
        <item x="224"/>
        <item x="139"/>
        <item x="124"/>
        <item x="160"/>
        <item x="162"/>
        <item x="130"/>
        <item x="219"/>
        <item x="157"/>
        <item x="123"/>
        <item x="148"/>
        <item x="245"/>
        <item x="250"/>
        <item x="104"/>
        <item x="237"/>
        <item x="97"/>
        <item x="54"/>
        <item x="165"/>
        <item x="60"/>
        <item x="225"/>
        <item x="88"/>
        <item x="117"/>
        <item x="228"/>
        <item x="204"/>
        <item x="230"/>
        <item x="229"/>
        <item x="236"/>
        <item x="208"/>
        <item x="205"/>
        <item x="155"/>
        <item x="221"/>
        <item x="120"/>
        <item x="22"/>
        <item x="173"/>
        <item x="108"/>
        <item x="111"/>
        <item x="115"/>
        <item x="166"/>
        <item x="146"/>
        <item x="246"/>
        <item x="222"/>
        <item x="194"/>
        <item x="238"/>
        <item x="244"/>
        <item x="213"/>
        <item x="164"/>
        <item x="239"/>
        <item x="232"/>
        <item x="4"/>
        <item x="150"/>
        <item x="132"/>
        <item x="50"/>
        <item x="217"/>
        <item x="156"/>
        <item x="116"/>
        <item x="127"/>
        <item x="159"/>
        <item x="128"/>
        <item x="114"/>
        <item x="118"/>
        <item x="125"/>
        <item x="231"/>
        <item x="113"/>
        <item x="119"/>
        <item x="134"/>
        <item x="240"/>
        <item x="209"/>
        <item x="241"/>
        <item x="206"/>
        <item x="234"/>
        <item x="169"/>
        <item x="28"/>
        <item x="242"/>
        <item x="136"/>
        <item t="default"/>
      </items>
    </pivotField>
    <pivotField axis="axisRow" dataField="1" showAll="0">
      <items count="4">
        <item m="1" x="2"/>
        <item x="1"/>
        <item x="0"/>
        <item t="default"/>
      </items>
    </pivotField>
    <pivotField axis="axisRow" showAll="0">
      <items count="9">
        <item x="0"/>
        <item x="2"/>
        <item x="3"/>
        <item x="4"/>
        <item x="5"/>
        <item x="1"/>
        <item x="6"/>
        <item x="7"/>
        <item t="default"/>
      </items>
    </pivotField>
    <pivotField showAll="0"/>
    <pivotField showAll="0"/>
    <pivotField showAll="0"/>
    <pivotField showAll="0">
      <items count="3">
        <item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s>
  <rowFields count="2">
    <field x="6"/>
    <field x="5"/>
  </rowFields>
  <rowItems count="23">
    <i>
      <x/>
    </i>
    <i r="1">
      <x v="1"/>
    </i>
    <i r="1">
      <x v="2"/>
    </i>
    <i>
      <x v="1"/>
    </i>
    <i r="1">
      <x v="1"/>
    </i>
    <i r="1">
      <x v="2"/>
    </i>
    <i>
      <x v="2"/>
    </i>
    <i r="1">
      <x v="2"/>
    </i>
    <i>
      <x v="3"/>
    </i>
    <i r="1">
      <x v="1"/>
    </i>
    <i r="1">
      <x v="2"/>
    </i>
    <i>
      <x v="4"/>
    </i>
    <i r="1">
      <x v="1"/>
    </i>
    <i r="1">
      <x v="2"/>
    </i>
    <i>
      <x v="5"/>
    </i>
    <i r="1">
      <x v="1"/>
    </i>
    <i r="1">
      <x v="2"/>
    </i>
    <i>
      <x v="6"/>
    </i>
    <i r="1">
      <x v="1"/>
    </i>
    <i r="1">
      <x v="2"/>
    </i>
    <i>
      <x v="7"/>
    </i>
    <i r="1">
      <x v="2"/>
    </i>
    <i t="grand">
      <x/>
    </i>
  </rowItems>
  <colItems count="1">
    <i/>
  </colItems>
  <dataFields count="1">
    <dataField name="Count of TAT2" fld="5" subtotal="count" baseField="0" baseItem="0"/>
  </dataFields>
  <formats count="14">
    <format dxfId="67">
      <pivotArea type="all" dataOnly="0" outline="0" fieldPosition="0"/>
    </format>
    <format dxfId="66">
      <pivotArea outline="0" collapsedLevelsAreSubtotals="1" fieldPosition="0"/>
    </format>
    <format dxfId="65">
      <pivotArea field="6" type="button" dataOnly="0" labelOnly="1" outline="0" axis="axisRow" fieldPosition="0"/>
    </format>
    <format dxfId="64">
      <pivotArea dataOnly="0" labelOnly="1" fieldPosition="0">
        <references count="1">
          <reference field="6" count="0"/>
        </references>
      </pivotArea>
    </format>
    <format dxfId="63">
      <pivotArea dataOnly="0" labelOnly="1" grandRow="1" outline="0" fieldPosition="0"/>
    </format>
    <format dxfId="62">
      <pivotArea dataOnly="0" labelOnly="1" fieldPosition="0">
        <references count="2">
          <reference field="5" count="0"/>
          <reference field="6" count="1" selected="0">
            <x v="0"/>
          </reference>
        </references>
      </pivotArea>
    </format>
    <format dxfId="61">
      <pivotArea dataOnly="0" labelOnly="1" fieldPosition="0">
        <references count="2">
          <reference field="5" count="0"/>
          <reference field="6" count="1" selected="0">
            <x v="1"/>
          </reference>
        </references>
      </pivotArea>
    </format>
    <format dxfId="60">
      <pivotArea dataOnly="0" labelOnly="1" fieldPosition="0">
        <references count="2">
          <reference field="5" count="1">
            <x v="2"/>
          </reference>
          <reference field="6" count="1" selected="0">
            <x v="2"/>
          </reference>
        </references>
      </pivotArea>
    </format>
    <format dxfId="59">
      <pivotArea dataOnly="0" labelOnly="1" fieldPosition="0">
        <references count="2">
          <reference field="5" count="0"/>
          <reference field="6" count="1" selected="0">
            <x v="3"/>
          </reference>
        </references>
      </pivotArea>
    </format>
    <format dxfId="58">
      <pivotArea dataOnly="0" labelOnly="1" fieldPosition="0">
        <references count="2">
          <reference field="5" count="0"/>
          <reference field="6" count="1" selected="0">
            <x v="4"/>
          </reference>
        </references>
      </pivotArea>
    </format>
    <format dxfId="57">
      <pivotArea dataOnly="0" labelOnly="1" fieldPosition="0">
        <references count="2">
          <reference field="5" count="0"/>
          <reference field="6" count="1" selected="0">
            <x v="5"/>
          </reference>
        </references>
      </pivotArea>
    </format>
    <format dxfId="56">
      <pivotArea dataOnly="0" labelOnly="1" fieldPosition="0">
        <references count="2">
          <reference field="5" count="0"/>
          <reference field="6" count="1" selected="0">
            <x v="6"/>
          </reference>
        </references>
      </pivotArea>
    </format>
    <format dxfId="55">
      <pivotArea dataOnly="0" labelOnly="1" fieldPosition="0">
        <references count="2">
          <reference field="5" count="1">
            <x v="2"/>
          </reference>
          <reference field="6" count="1" selected="0">
            <x v="7"/>
          </reference>
        </references>
      </pivotArea>
    </format>
    <format dxfId="54">
      <pivotArea dataOnly="0" labelOnly="1" outline="0" axis="axisValues" fieldPosition="0"/>
    </format>
  </formats>
  <chartFormats count="30">
    <chartFormat chart="8" format="31" series="1">
      <pivotArea type="data" outline="0" fieldPosition="0">
        <references count="1">
          <reference field="4294967294" count="1" selected="0">
            <x v="0"/>
          </reference>
        </references>
      </pivotArea>
    </chartFormat>
    <chartFormat chart="8" format="32">
      <pivotArea type="data" outline="0" fieldPosition="0">
        <references count="3">
          <reference field="4294967294" count="1" selected="0">
            <x v="0"/>
          </reference>
          <reference field="5" count="1" selected="0">
            <x v="1"/>
          </reference>
          <reference field="6" count="1" selected="0">
            <x v="0"/>
          </reference>
        </references>
      </pivotArea>
    </chartFormat>
    <chartFormat chart="8" format="33">
      <pivotArea type="data" outline="0" fieldPosition="0">
        <references count="3">
          <reference field="4294967294" count="1" selected="0">
            <x v="0"/>
          </reference>
          <reference field="5" count="1" selected="0">
            <x v="2"/>
          </reference>
          <reference field="6" count="1" selected="0">
            <x v="0"/>
          </reference>
        </references>
      </pivotArea>
    </chartFormat>
    <chartFormat chart="8" format="34">
      <pivotArea type="data" outline="0" fieldPosition="0">
        <references count="3">
          <reference field="4294967294" count="1" selected="0">
            <x v="0"/>
          </reference>
          <reference field="5" count="1" selected="0">
            <x v="1"/>
          </reference>
          <reference field="6" count="1" selected="0">
            <x v="1"/>
          </reference>
        </references>
      </pivotArea>
    </chartFormat>
    <chartFormat chart="8" format="35">
      <pivotArea type="data" outline="0" fieldPosition="0">
        <references count="3">
          <reference field="4294967294" count="1" selected="0">
            <x v="0"/>
          </reference>
          <reference field="5" count="1" selected="0">
            <x v="2"/>
          </reference>
          <reference field="6" count="1" selected="0">
            <x v="1"/>
          </reference>
        </references>
      </pivotArea>
    </chartFormat>
    <chartFormat chart="8" format="36">
      <pivotArea type="data" outline="0" fieldPosition="0">
        <references count="3">
          <reference field="4294967294" count="1" selected="0">
            <x v="0"/>
          </reference>
          <reference field="5" count="1" selected="0">
            <x v="2"/>
          </reference>
          <reference field="6" count="1" selected="0">
            <x v="2"/>
          </reference>
        </references>
      </pivotArea>
    </chartFormat>
    <chartFormat chart="8" format="37">
      <pivotArea type="data" outline="0" fieldPosition="0">
        <references count="3">
          <reference field="4294967294" count="1" selected="0">
            <x v="0"/>
          </reference>
          <reference field="5" count="1" selected="0">
            <x v="1"/>
          </reference>
          <reference field="6" count="1" selected="0">
            <x v="3"/>
          </reference>
        </references>
      </pivotArea>
    </chartFormat>
    <chartFormat chart="8" format="38">
      <pivotArea type="data" outline="0" fieldPosition="0">
        <references count="3">
          <reference field="4294967294" count="1" selected="0">
            <x v="0"/>
          </reference>
          <reference field="5" count="1" selected="0">
            <x v="2"/>
          </reference>
          <reference field="6" count="1" selected="0">
            <x v="3"/>
          </reference>
        </references>
      </pivotArea>
    </chartFormat>
    <chartFormat chart="8" format="39">
      <pivotArea type="data" outline="0" fieldPosition="0">
        <references count="3">
          <reference field="4294967294" count="1" selected="0">
            <x v="0"/>
          </reference>
          <reference field="5" count="1" selected="0">
            <x v="1"/>
          </reference>
          <reference field="6" count="1" selected="0">
            <x v="4"/>
          </reference>
        </references>
      </pivotArea>
    </chartFormat>
    <chartFormat chart="8" format="40">
      <pivotArea type="data" outline="0" fieldPosition="0">
        <references count="3">
          <reference field="4294967294" count="1" selected="0">
            <x v="0"/>
          </reference>
          <reference field="5" count="1" selected="0">
            <x v="2"/>
          </reference>
          <reference field="6" count="1" selected="0">
            <x v="4"/>
          </reference>
        </references>
      </pivotArea>
    </chartFormat>
    <chartFormat chart="8" format="41">
      <pivotArea type="data" outline="0" fieldPosition="0">
        <references count="3">
          <reference field="4294967294" count="1" selected="0">
            <x v="0"/>
          </reference>
          <reference field="5" count="1" selected="0">
            <x v="1"/>
          </reference>
          <reference field="6" count="1" selected="0">
            <x v="5"/>
          </reference>
        </references>
      </pivotArea>
    </chartFormat>
    <chartFormat chart="8" format="42">
      <pivotArea type="data" outline="0" fieldPosition="0">
        <references count="3">
          <reference field="4294967294" count="1" selected="0">
            <x v="0"/>
          </reference>
          <reference field="5" count="1" selected="0">
            <x v="2"/>
          </reference>
          <reference field="6" count="1" selected="0">
            <x v="5"/>
          </reference>
        </references>
      </pivotArea>
    </chartFormat>
    <chartFormat chart="8" format="43">
      <pivotArea type="data" outline="0" fieldPosition="0">
        <references count="3">
          <reference field="4294967294" count="1" selected="0">
            <x v="0"/>
          </reference>
          <reference field="5" count="1" selected="0">
            <x v="1"/>
          </reference>
          <reference field="6" count="1" selected="0">
            <x v="6"/>
          </reference>
        </references>
      </pivotArea>
    </chartFormat>
    <chartFormat chart="8" format="44">
      <pivotArea type="data" outline="0" fieldPosition="0">
        <references count="3">
          <reference field="4294967294" count="1" selected="0">
            <x v="0"/>
          </reference>
          <reference field="5" count="1" selected="0">
            <x v="2"/>
          </reference>
          <reference field="6" count="1" selected="0">
            <x v="6"/>
          </reference>
        </references>
      </pivotArea>
    </chartFormat>
    <chartFormat chart="8" format="45">
      <pivotArea type="data" outline="0" fieldPosition="0">
        <references count="3">
          <reference field="4294967294" count="1" selected="0">
            <x v="0"/>
          </reference>
          <reference field="5" count="1" selected="0">
            <x v="2"/>
          </reference>
          <reference field="6" count="1" selected="0">
            <x v="7"/>
          </reference>
        </references>
      </pivotArea>
    </chartFormat>
    <chartFormat chart="10" format="61" series="1">
      <pivotArea type="data" outline="0" fieldPosition="0">
        <references count="1">
          <reference field="4294967294" count="1" selected="0">
            <x v="0"/>
          </reference>
        </references>
      </pivotArea>
    </chartFormat>
    <chartFormat chart="10" format="62">
      <pivotArea type="data" outline="0" fieldPosition="0">
        <references count="3">
          <reference field="4294967294" count="1" selected="0">
            <x v="0"/>
          </reference>
          <reference field="5" count="1" selected="0">
            <x v="1"/>
          </reference>
          <reference field="6" count="1" selected="0">
            <x v="0"/>
          </reference>
        </references>
      </pivotArea>
    </chartFormat>
    <chartFormat chart="10" format="63">
      <pivotArea type="data" outline="0" fieldPosition="0">
        <references count="3">
          <reference field="4294967294" count="1" selected="0">
            <x v="0"/>
          </reference>
          <reference field="5" count="1" selected="0">
            <x v="2"/>
          </reference>
          <reference field="6" count="1" selected="0">
            <x v="0"/>
          </reference>
        </references>
      </pivotArea>
    </chartFormat>
    <chartFormat chart="10" format="64">
      <pivotArea type="data" outline="0" fieldPosition="0">
        <references count="3">
          <reference field="4294967294" count="1" selected="0">
            <x v="0"/>
          </reference>
          <reference field="5" count="1" selected="0">
            <x v="1"/>
          </reference>
          <reference field="6" count="1" selected="0">
            <x v="1"/>
          </reference>
        </references>
      </pivotArea>
    </chartFormat>
    <chartFormat chart="10" format="65">
      <pivotArea type="data" outline="0" fieldPosition="0">
        <references count="3">
          <reference field="4294967294" count="1" selected="0">
            <x v="0"/>
          </reference>
          <reference field="5" count="1" selected="0">
            <x v="2"/>
          </reference>
          <reference field="6" count="1" selected="0">
            <x v="1"/>
          </reference>
        </references>
      </pivotArea>
    </chartFormat>
    <chartFormat chart="10" format="66">
      <pivotArea type="data" outline="0" fieldPosition="0">
        <references count="3">
          <reference field="4294967294" count="1" selected="0">
            <x v="0"/>
          </reference>
          <reference field="5" count="1" selected="0">
            <x v="2"/>
          </reference>
          <reference field="6" count="1" selected="0">
            <x v="2"/>
          </reference>
        </references>
      </pivotArea>
    </chartFormat>
    <chartFormat chart="10" format="67">
      <pivotArea type="data" outline="0" fieldPosition="0">
        <references count="3">
          <reference field="4294967294" count="1" selected="0">
            <x v="0"/>
          </reference>
          <reference field="5" count="1" selected="0">
            <x v="1"/>
          </reference>
          <reference field="6" count="1" selected="0">
            <x v="3"/>
          </reference>
        </references>
      </pivotArea>
    </chartFormat>
    <chartFormat chart="10" format="68">
      <pivotArea type="data" outline="0" fieldPosition="0">
        <references count="3">
          <reference field="4294967294" count="1" selected="0">
            <x v="0"/>
          </reference>
          <reference field="5" count="1" selected="0">
            <x v="2"/>
          </reference>
          <reference field="6" count="1" selected="0">
            <x v="3"/>
          </reference>
        </references>
      </pivotArea>
    </chartFormat>
    <chartFormat chart="10" format="69">
      <pivotArea type="data" outline="0" fieldPosition="0">
        <references count="3">
          <reference field="4294967294" count="1" selected="0">
            <x v="0"/>
          </reference>
          <reference field="5" count="1" selected="0">
            <x v="1"/>
          </reference>
          <reference field="6" count="1" selected="0">
            <x v="4"/>
          </reference>
        </references>
      </pivotArea>
    </chartFormat>
    <chartFormat chart="10" format="70">
      <pivotArea type="data" outline="0" fieldPosition="0">
        <references count="3">
          <reference field="4294967294" count="1" selected="0">
            <x v="0"/>
          </reference>
          <reference field="5" count="1" selected="0">
            <x v="2"/>
          </reference>
          <reference field="6" count="1" selected="0">
            <x v="4"/>
          </reference>
        </references>
      </pivotArea>
    </chartFormat>
    <chartFormat chart="10" format="71">
      <pivotArea type="data" outline="0" fieldPosition="0">
        <references count="3">
          <reference field="4294967294" count="1" selected="0">
            <x v="0"/>
          </reference>
          <reference field="5" count="1" selected="0">
            <x v="1"/>
          </reference>
          <reference field="6" count="1" selected="0">
            <x v="5"/>
          </reference>
        </references>
      </pivotArea>
    </chartFormat>
    <chartFormat chart="10" format="72">
      <pivotArea type="data" outline="0" fieldPosition="0">
        <references count="3">
          <reference field="4294967294" count="1" selected="0">
            <x v="0"/>
          </reference>
          <reference field="5" count="1" selected="0">
            <x v="2"/>
          </reference>
          <reference field="6" count="1" selected="0">
            <x v="5"/>
          </reference>
        </references>
      </pivotArea>
    </chartFormat>
    <chartFormat chart="10" format="73">
      <pivotArea type="data" outline="0" fieldPosition="0">
        <references count="3">
          <reference field="4294967294" count="1" selected="0">
            <x v="0"/>
          </reference>
          <reference field="5" count="1" selected="0">
            <x v="1"/>
          </reference>
          <reference field="6" count="1" selected="0">
            <x v="6"/>
          </reference>
        </references>
      </pivotArea>
    </chartFormat>
    <chartFormat chart="10" format="74">
      <pivotArea type="data" outline="0" fieldPosition="0">
        <references count="3">
          <reference field="4294967294" count="1" selected="0">
            <x v="0"/>
          </reference>
          <reference field="5" count="1" selected="0">
            <x v="2"/>
          </reference>
          <reference field="6" count="1" selected="0">
            <x v="6"/>
          </reference>
        </references>
      </pivotArea>
    </chartFormat>
    <chartFormat chart="10" format="75">
      <pivotArea type="data" outline="0" fieldPosition="0">
        <references count="3">
          <reference field="4294967294" count="1" selected="0">
            <x v="0"/>
          </reference>
          <reference field="5" count="1" selected="0">
            <x v="2"/>
          </reference>
          <reference field="6"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BFA63BF-3803-4086-B036-581CBF5649EC}"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1:B15" firstHeaderRow="1" firstDataRow="1" firstDataCol="1"/>
  <pivotFields count="11">
    <pivotField showAll="0">
      <items count="3">
        <item x="1"/>
        <item x="0"/>
        <item t="default"/>
      </items>
    </pivotField>
    <pivotField showAll="0"/>
    <pivotField numFmtId="22" showAll="0"/>
    <pivotField numFmtId="22" showAll="0"/>
    <pivotField numFmtId="165" showAll="0"/>
    <pivotField axis="axisRow" showAll="0">
      <items count="3">
        <item x="1"/>
        <item x="0"/>
        <item t="default"/>
      </items>
    </pivotField>
    <pivotField axis="axisRow" dataField="1" showAll="0">
      <items count="2">
        <item x="0"/>
        <item t="default"/>
      </items>
    </pivotField>
    <pivotField numFmtId="166" showAll="0"/>
    <pivotField showAll="0"/>
    <pivotField showAll="0"/>
    <pivotField showAll="0"/>
  </pivotFields>
  <rowFields count="2">
    <field x="6"/>
    <field x="5"/>
  </rowFields>
  <rowItems count="4">
    <i>
      <x/>
    </i>
    <i r="1">
      <x/>
    </i>
    <i r="1">
      <x v="1"/>
    </i>
    <i t="grand">
      <x/>
    </i>
  </rowItems>
  <colItems count="1">
    <i/>
  </colItems>
  <dataFields count="1">
    <dataField name="Count of ACTIVITY"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38A3E9C-8E45-4B98-AD7D-D3D57FE7692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1">
    <pivotField showAll="0">
      <items count="3">
        <item x="1"/>
        <item x="0"/>
        <item t="default"/>
      </items>
    </pivotField>
    <pivotField showAll="0"/>
    <pivotField numFmtId="22" showAll="0"/>
    <pivotField numFmtId="22" showAll="0"/>
    <pivotField numFmtId="165" showAll="0"/>
    <pivotField axis="axisRow" showAll="0">
      <items count="3">
        <item x="1"/>
        <item x="0"/>
        <item t="default"/>
      </items>
    </pivotField>
    <pivotField axis="axisRow" dataField="1" showAll="0">
      <items count="2">
        <item x="0"/>
        <item t="default"/>
      </items>
    </pivotField>
    <pivotField numFmtId="166" showAll="0"/>
    <pivotField showAll="0"/>
    <pivotField showAll="0"/>
    <pivotField showAll="0"/>
  </pivotFields>
  <rowFields count="2">
    <field x="6"/>
    <field x="5"/>
  </rowFields>
  <rowItems count="4">
    <i>
      <x/>
    </i>
    <i r="1">
      <x/>
    </i>
    <i r="1">
      <x v="1"/>
    </i>
    <i t="grand">
      <x/>
    </i>
  </rowItems>
  <colItems count="1">
    <i/>
  </colItems>
  <dataFields count="1">
    <dataField name="Count of ACTIVITY"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409B9D-30E9-4F6A-A0AF-1E97C13BEFD2}"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1">
    <pivotField showAll="0">
      <items count="3">
        <item h="1" x="1"/>
        <item x="0"/>
        <item t="default"/>
      </items>
    </pivotField>
    <pivotField showAll="0"/>
    <pivotField numFmtId="22" showAll="0"/>
    <pivotField numFmtId="22" showAll="0"/>
    <pivotField numFmtId="165" showAll="0"/>
    <pivotField axis="axisRow" dataField="1" showAll="0">
      <items count="3">
        <item x="0"/>
        <item x="1"/>
        <item t="default"/>
      </items>
    </pivotField>
    <pivotField axis="axisRow" showAll="0">
      <items count="2">
        <item x="0"/>
        <item t="default"/>
      </items>
    </pivotField>
    <pivotField numFmtId="166" showAll="0"/>
    <pivotField showAll="0"/>
    <pivotField showAll="0"/>
    <pivotField showAll="0"/>
  </pivotFields>
  <rowFields count="2">
    <field x="6"/>
    <field x="5"/>
  </rowFields>
  <rowItems count="4">
    <i>
      <x/>
    </i>
    <i r="1">
      <x/>
    </i>
    <i r="1">
      <x v="1"/>
    </i>
    <i t="grand">
      <x/>
    </i>
  </rowItems>
  <colItems count="1">
    <i/>
  </colItems>
  <dataFields count="1">
    <dataField name="Count of TAT2"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6D74C1E-6241-4799-9EBE-5AB7A3F5E13F}"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35" firstHeaderRow="1" firstDataRow="1" firstDataCol="0"/>
  <pivotFields count="11">
    <pivotField showAll="0"/>
    <pivotField showAll="0"/>
    <pivotField numFmtId="22" showAll="0"/>
    <pivotField numFmtId="22" showAll="0"/>
    <pivotField numFmtId="165" showAll="0"/>
    <pivotField showAll="0"/>
    <pivotField showAll="0"/>
    <pivotField numFmtId="167"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T2" xr10:uid="{3C699E14-EE4B-471A-82F6-03CCCC95BC80}" sourceName="TAT2">
  <pivotTables>
    <pivotTable tabId="2" name="PivotTable3"/>
    <pivotTable tabId="2" name="PivotTable8"/>
    <pivotTable tabId="2" name="PivotTable1"/>
    <pivotTable tabId="2" name="PivotTable2"/>
    <pivotTable tabId="2" name="PivotTable7"/>
    <pivotTable tabId="2" name="PivotTable9"/>
    <pivotTable tabId="2" name="PivotTable10"/>
    <pivotTable tabId="2" name="PivotTable11"/>
    <pivotTable tabId="2" name="PivotTable12"/>
    <pivotTable tabId="2" name="PivotTable4"/>
    <pivotTable tabId="2" name="PivotTable5"/>
    <pivotTable tabId="2" name="PivotTable6"/>
    <pivotTable tabId="2" name="PivotTable13"/>
  </pivotTables>
  <data>
    <tabular pivotCacheId="1848279921">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_name" xr10:uid="{33D6708A-3D1A-4165-9FBD-1B801C65CEE4}" sourceName="User name">
  <pivotTables>
    <pivotTable tabId="2" name="PivotTable1"/>
    <pivotTable tabId="2" name="PivotTable2"/>
    <pivotTable tabId="2" name="PivotTable3"/>
    <pivotTable tabId="2" name="PivotTable7"/>
    <pivotTable tabId="2" name="PivotTable8"/>
    <pivotTable tabId="2" name="PivotTable9"/>
    <pivotTable tabId="2" name="PivotTable10"/>
    <pivotTable tabId="2" name="PivotTable11"/>
    <pivotTable tabId="2" name="PivotTable12"/>
    <pivotTable tabId="2" name="PivotTable4"/>
    <pivotTable tabId="2" name="PivotTable5"/>
    <pivotTable tabId="2" name="PivotTable6"/>
    <pivotTable tabId="2" name="PivotTable13"/>
  </pivotTables>
  <data>
    <tabular pivotCacheId="184827992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22CA4367-ACEB-449A-BF78-8D1F79FCB203}" sourceName="Months">
  <pivotTables>
    <pivotTable tabId="2" name="PivotTable2"/>
    <pivotTable tabId="2" name="PivotTable3"/>
    <pivotTable tabId="2" name="PivotTable12"/>
    <pivotTable tabId="2" name="PivotTable1"/>
    <pivotTable tabId="2" name="PivotTable10"/>
    <pivotTable tabId="2" name="PivotTable11"/>
    <pivotTable tabId="2" name="PivotTable7"/>
    <pivotTable tabId="2" name="PivotTable8"/>
    <pivotTable tabId="2" name="PivotTable9"/>
    <pivotTable tabId="2" name="PivotTable4"/>
    <pivotTable tabId="2" name="PivotTable5"/>
    <pivotTable tabId="2" name="PivotTable6"/>
    <pivotTable tabId="2" name="PivotTable13"/>
  </pivotTables>
  <data>
    <tabular pivotCacheId="184827992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T21" xr10:uid="{A017DB5C-D737-417F-AC6E-771BCB1766B7}" sourceName="TAT2">
  <pivotTables>
    <pivotTable tabId="5" name="PivotTable7"/>
    <pivotTable tabId="5" name="PivotTable10"/>
  </pivotTables>
  <data>
    <tabular pivotCacheId="737012578">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1" xr10:uid="{F07AE47A-6746-4E01-86DF-66E21582D9E5}" sourceName="Months">
  <pivotTables>
    <pivotTable tabId="5" name="PivotTable7"/>
    <pivotTable tabId="5" name="PivotTable10"/>
  </pivotTables>
  <data>
    <tabular pivotCacheId="737012578">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2" xr10:uid="{9B6E9DDB-0FA4-4275-9FD7-E3525438A8EA}" sourceName="Months">
  <pivotTables>
    <pivotTable tabId="7" name="PivotTable9"/>
  </pivotTables>
  <data>
    <tabular pivotCacheId="713704943">
      <items count="2">
        <i x="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T22" xr10:uid="{7F616160-C5C3-4A35-9A1F-2B20659A6E3D}" sourceName="TAT2">
  <pivotTables>
    <pivotTable tabId="7" name="PivotTable9"/>
  </pivotTables>
  <data>
    <tabular pivotCacheId="71370494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T2 2" xr10:uid="{F8F3B058-2981-4036-8EDB-22C1C8F799AC}" cache="Slicer_TAT2" caption="TAT2" rowHeight="247650"/>
  <slicer name="TAT2 3" xr10:uid="{ADDB2C34-461D-41CE-B9F6-377294E8086A}" cache="Slicer_TAT2" caption="TAT2" rowHeight="247650"/>
  <slicer name="User name" xr10:uid="{5003CD7E-556E-449A-A846-7169AE9D8CCD}" cache="Slicer_User_name" caption="User name" rowHeight="247650"/>
  <slicer name="Months" xr10:uid="{C2A3A6A9-10BC-4A0A-BD6E-E7579CBD1D3E}" cache="Slicer_Months" caption="Months" rowHeight="247650"/>
  <slicer name="Months 4" xr10:uid="{2D006504-93A2-4F3A-A352-FD82CAB48982}" cache="Slicer_Months" caption="Months"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er name 3" xr10:uid="{2C4435AE-8B2F-40BC-A022-1A92F304AC4C}" cache="Slicer_User_name" caption="User name" columnCount="2" style="SlicerStyleLight4" rowHeight="247650"/>
  <slicer name="Months 1" xr10:uid="{927F032C-B093-4793-B818-C4CDDEF80F16}" cache="Slicer_Months" caption="Months" columnCount="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T2" xr10:uid="{CC9111FC-2A6F-42D7-B74D-FF308E6EFF12}" cache="Slicer_TAT21" caption="TAT2" rowHeight="247650"/>
  <slicer name="TAT2 5" xr10:uid="{069D7696-9958-4582-9EA5-3286DB8B303B}" cache="Slicer_TAT21" caption="TAT2" rowHeight="247650"/>
  <slicer name="Months 2" xr10:uid="{E16C2003-9E2D-42DA-972E-221F29ECADA2}" cache="Slicer_Months1" caption="Months"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3" xr10:uid="{061A7E0A-5EFF-4933-9A99-E20D35F7D47E}" cache="Slicer_Months2" caption="Months" rowHeight="247650"/>
  <slicer name="TAT2 1" xr10:uid="{AF5D6E8D-7671-4C77-8D0E-C9CE970CC4E1}" cache="Slicer_TAT22" caption="TAT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5.xml"/><Relationship Id="rId1" Type="http://schemas.openxmlformats.org/officeDocument/2006/relationships/pivotTable" Target="../pivotTables/pivotTable14.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7.xml"/><Relationship Id="rId1" Type="http://schemas.openxmlformats.org/officeDocument/2006/relationships/pivotTable" Target="../pivotTables/pivotTable16.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B2DD-81D6-4006-9CCF-E86491ADC9EC}">
  <dimension ref="A2:S134"/>
  <sheetViews>
    <sheetView topLeftCell="A80" zoomScale="70" zoomScaleNormal="70" workbookViewId="0">
      <selection activeCell="I105" activeCellId="4" sqref="I93:J93 I96:J96 I99:J99 I102:J102 I105:J105 I108:J108 I111:J111 I114:J114"/>
      <pivotSelection pane="bottomRight" showHeader="1" extendable="1" axis="axisRow" dimension="1" start="14" min="12" max="15" activeRow="104" activeCol="8" previousRow="104" previousCol="8" click="1" r:id="rId9">
        <pivotArea dataOnly="0" fieldPosition="0">
          <references count="1">
            <reference field="0" count="1">
              <x v="1"/>
            </reference>
          </references>
        </pivotArea>
      </pivotSelection>
    </sheetView>
  </sheetViews>
  <sheetFormatPr defaultRowHeight="14.4" x14ac:dyDescent="0.3"/>
  <cols>
    <col min="1" max="1" width="18.109375" bestFit="1" customWidth="1"/>
    <col min="2" max="2" width="11.88671875" bestFit="1" customWidth="1"/>
    <col min="5" max="5" width="18.109375" bestFit="1" customWidth="1"/>
    <col min="6" max="6" width="13.88671875" bestFit="1" customWidth="1"/>
    <col min="7" max="7" width="12.77734375" bestFit="1" customWidth="1"/>
    <col min="8" max="8" width="18.109375" bestFit="1" customWidth="1"/>
    <col min="9" max="9" width="14.33203125" bestFit="1" customWidth="1"/>
    <col min="10" max="10" width="17.5546875" bestFit="1" customWidth="1"/>
    <col min="11" max="11" width="12.21875" customWidth="1"/>
  </cols>
  <sheetData>
    <row r="2" spans="1:16" x14ac:dyDescent="0.3">
      <c r="E2" s="17" t="s">
        <v>391</v>
      </c>
      <c r="F2" s="17" t="s">
        <v>393</v>
      </c>
    </row>
    <row r="3" spans="1:16" x14ac:dyDescent="0.3">
      <c r="A3" s="15" t="s">
        <v>391</v>
      </c>
      <c r="B3" t="s">
        <v>393</v>
      </c>
      <c r="E3" s="18" t="str">
        <f>A4</f>
        <v>AR</v>
      </c>
      <c r="F3" s="19">
        <f>IFERROR(GETPIVOTDATA("ACTIVITY",$A$3,"ACTIVITY","AR"),0)</f>
        <v>24</v>
      </c>
      <c r="H3" s="17" t="s">
        <v>391</v>
      </c>
      <c r="I3" s="17" t="s">
        <v>393</v>
      </c>
    </row>
    <row r="4" spans="1:16" x14ac:dyDescent="0.3">
      <c r="A4" s="16" t="s">
        <v>12</v>
      </c>
      <c r="B4">
        <v>24</v>
      </c>
      <c r="E4" s="18" t="str">
        <f t="shared" ref="E4:E11" si="0">A5</f>
        <v>ATA &amp; ATD updates</v>
      </c>
      <c r="F4" s="19">
        <f>IFERROR(GETPIVOTDATA("ACTIVITY",$A$3,"ACTIVITY","ATA &amp; ATD updates"),0)</f>
        <v>47</v>
      </c>
      <c r="H4" s="16" t="str">
        <f>A4</f>
        <v>AR</v>
      </c>
      <c r="I4">
        <f>GETPIVOTDATA("ACTIVITY",$A$3,"ACTIVITY","AR")</f>
        <v>24</v>
      </c>
    </row>
    <row r="5" spans="1:16" x14ac:dyDescent="0.3">
      <c r="A5" s="16" t="s">
        <v>95</v>
      </c>
      <c r="B5">
        <v>47</v>
      </c>
      <c r="E5" s="18" t="str">
        <f t="shared" si="0"/>
        <v>D&amp;D</v>
      </c>
      <c r="F5" s="19">
        <f>IFERROR(GETPIVOTDATA("ACTIVITY",$A$3,"ACTIVITY","D&amp;D"),0)</f>
        <v>59</v>
      </c>
    </row>
    <row r="6" spans="1:16" x14ac:dyDescent="0.3">
      <c r="A6" s="16" t="s">
        <v>125</v>
      </c>
      <c r="B6">
        <v>59</v>
      </c>
      <c r="E6" s="18" t="str">
        <f t="shared" si="0"/>
        <v>Due diligence</v>
      </c>
      <c r="F6" s="19">
        <f>IFERROR(GETPIVOTDATA("ACTIVITY",$A$3,"ACTIVITY","Due diligence"),0)</f>
        <v>78</v>
      </c>
    </row>
    <row r="7" spans="1:16" x14ac:dyDescent="0.3">
      <c r="A7" s="16" t="s">
        <v>183</v>
      </c>
      <c r="B7">
        <v>78</v>
      </c>
      <c r="E7" s="18" t="str">
        <f t="shared" si="0"/>
        <v>ETD extension</v>
      </c>
      <c r="F7" s="19">
        <f>IFERROR(GETPIVOTDATA("ACTIVITY",$A$3,"ACTIVITY","ETD extension"),0)</f>
        <v>19</v>
      </c>
    </row>
    <row r="8" spans="1:16" x14ac:dyDescent="0.3">
      <c r="A8" s="16" t="s">
        <v>262</v>
      </c>
      <c r="B8">
        <v>19</v>
      </c>
      <c r="E8" s="18" t="str">
        <f t="shared" si="0"/>
        <v>TDR</v>
      </c>
      <c r="F8" s="19">
        <f>IFERROR(GETPIVOTDATA("ACTIVITY",$A$3,"ACTIVITY","TDR"),0)</f>
        <v>54</v>
      </c>
    </row>
    <row r="9" spans="1:16" x14ac:dyDescent="0.3">
      <c r="A9" s="16" t="s">
        <v>42</v>
      </c>
      <c r="B9">
        <v>54</v>
      </c>
      <c r="E9" s="18" t="str">
        <f t="shared" si="0"/>
        <v>Vessel creation</v>
      </c>
      <c r="F9" s="19">
        <f>GETPIVOTDATA("ACTIVITY",$A$3,"ACTIVITY","Vessel creation")</f>
        <v>49</v>
      </c>
    </row>
    <row r="10" spans="1:16" x14ac:dyDescent="0.3">
      <c r="A10" s="16" t="s">
        <v>279</v>
      </c>
      <c r="B10">
        <v>49</v>
      </c>
      <c r="E10" s="18" t="str">
        <f t="shared" si="0"/>
        <v>WDR</v>
      </c>
      <c r="F10" s="19">
        <f>IFERROR(GETPIVOTDATA("ACTIVITY",$A$3,"ACTIVITY","WDR"),0)</f>
        <v>79</v>
      </c>
      <c r="H10" s="83">
        <f>GETPIVOTDATA("TAT2",$A$27)</f>
        <v>409</v>
      </c>
    </row>
    <row r="11" spans="1:16" x14ac:dyDescent="0.3">
      <c r="A11" s="16" t="s">
        <v>324</v>
      </c>
      <c r="B11">
        <v>79</v>
      </c>
      <c r="E11" s="18" t="str">
        <f t="shared" si="0"/>
        <v>Grand Total</v>
      </c>
      <c r="F11" s="19">
        <f>GETPIVOTDATA("ACTIVITY",$A$3)</f>
        <v>409</v>
      </c>
    </row>
    <row r="12" spans="1:16" x14ac:dyDescent="0.3">
      <c r="A12" s="16" t="s">
        <v>392</v>
      </c>
      <c r="B12">
        <v>409</v>
      </c>
      <c r="H12" t="s">
        <v>463</v>
      </c>
    </row>
    <row r="15" spans="1:16" x14ac:dyDescent="0.3">
      <c r="A15" s="15" t="s">
        <v>391</v>
      </c>
      <c r="B15" t="s">
        <v>393</v>
      </c>
    </row>
    <row r="16" spans="1:16" x14ac:dyDescent="0.3">
      <c r="A16" s="16" t="s">
        <v>12</v>
      </c>
      <c r="B16">
        <v>24</v>
      </c>
      <c r="F16" s="34" t="s">
        <v>391</v>
      </c>
      <c r="G16" s="19" t="s">
        <v>397</v>
      </c>
      <c r="I16" s="19" t="s">
        <v>394</v>
      </c>
      <c r="J16" s="19">
        <f>GETPIVOTDATA("TAT2",$F$16)</f>
        <v>409</v>
      </c>
      <c r="L16" s="31" t="s">
        <v>402</v>
      </c>
      <c r="M16" s="19"/>
      <c r="O16" s="29" t="s">
        <v>408</v>
      </c>
      <c r="P16">
        <f>M17</f>
        <v>40</v>
      </c>
    </row>
    <row r="17" spans="1:19" x14ac:dyDescent="0.3">
      <c r="A17" s="16" t="s">
        <v>95</v>
      </c>
      <c r="B17">
        <v>47</v>
      </c>
      <c r="F17" s="18" t="s">
        <v>28</v>
      </c>
      <c r="G17" s="19">
        <v>220</v>
      </c>
      <c r="I17" s="19" t="s">
        <v>412</v>
      </c>
      <c r="J17" s="19">
        <f>SUM(G17:G22)/J16</f>
        <v>2</v>
      </c>
      <c r="L17" s="32" t="s">
        <v>398</v>
      </c>
      <c r="M17" s="19">
        <f>J27*J28</f>
        <v>40</v>
      </c>
      <c r="O17" s="29" t="s">
        <v>409</v>
      </c>
      <c r="P17">
        <v>2</v>
      </c>
    </row>
    <row r="18" spans="1:19" x14ac:dyDescent="0.3">
      <c r="A18" s="16" t="s">
        <v>125</v>
      </c>
      <c r="B18">
        <v>59</v>
      </c>
      <c r="F18" s="25" t="s">
        <v>395</v>
      </c>
      <c r="G18" s="19">
        <v>50</v>
      </c>
      <c r="I18" s="19" t="s">
        <v>414</v>
      </c>
      <c r="J18" s="19">
        <v>10</v>
      </c>
      <c r="L18" s="32" t="s">
        <v>403</v>
      </c>
      <c r="M18" s="19">
        <v>15</v>
      </c>
      <c r="O18" s="29" t="s">
        <v>406</v>
      </c>
      <c r="P18">
        <f>M22-SUM(P17+P16)</f>
        <v>158</v>
      </c>
    </row>
    <row r="19" spans="1:19" x14ac:dyDescent="0.3">
      <c r="A19" s="16" t="s">
        <v>183</v>
      </c>
      <c r="B19">
        <v>78</v>
      </c>
      <c r="F19" s="25" t="s">
        <v>396</v>
      </c>
      <c r="G19" s="19">
        <v>170</v>
      </c>
      <c r="I19" s="19" t="s">
        <v>413</v>
      </c>
      <c r="J19" s="19">
        <f>J17/J18</f>
        <v>0.2</v>
      </c>
      <c r="L19" s="32" t="s">
        <v>404</v>
      </c>
      <c r="M19" s="19">
        <v>35</v>
      </c>
    </row>
    <row r="20" spans="1:19" x14ac:dyDescent="0.3">
      <c r="A20" s="16" t="s">
        <v>262</v>
      </c>
      <c r="B20">
        <v>19</v>
      </c>
      <c r="F20" s="18" t="s">
        <v>41</v>
      </c>
      <c r="G20" s="19">
        <v>189</v>
      </c>
      <c r="I20" s="19" t="s">
        <v>415</v>
      </c>
      <c r="J20" s="19">
        <v>100</v>
      </c>
      <c r="L20" s="32" t="s">
        <v>405</v>
      </c>
      <c r="M20" s="19">
        <v>50</v>
      </c>
    </row>
    <row r="21" spans="1:19" x14ac:dyDescent="0.3">
      <c r="A21" s="16" t="s">
        <v>42</v>
      </c>
      <c r="B21">
        <v>54</v>
      </c>
      <c r="F21" s="25" t="s">
        <v>395</v>
      </c>
      <c r="G21" s="19">
        <v>17</v>
      </c>
      <c r="L21" s="32" t="s">
        <v>406</v>
      </c>
      <c r="M21" s="19">
        <v>100</v>
      </c>
    </row>
    <row r="22" spans="1:19" x14ac:dyDescent="0.3">
      <c r="A22" s="16" t="s">
        <v>279</v>
      </c>
      <c r="B22">
        <v>49</v>
      </c>
      <c r="F22" s="25" t="s">
        <v>396</v>
      </c>
      <c r="G22" s="19">
        <v>172</v>
      </c>
      <c r="L22" s="32" t="s">
        <v>407</v>
      </c>
      <c r="M22" s="19">
        <v>200</v>
      </c>
    </row>
    <row r="23" spans="1:19" x14ac:dyDescent="0.3">
      <c r="A23" s="16" t="s">
        <v>324</v>
      </c>
      <c r="B23">
        <v>79</v>
      </c>
      <c r="F23" s="18" t="s">
        <v>411</v>
      </c>
      <c r="G23" s="19">
        <v>409</v>
      </c>
      <c r="M23" s="21" t="s">
        <v>28</v>
      </c>
      <c r="N23" s="22">
        <v>220</v>
      </c>
      <c r="P23" s="19" t="s">
        <v>394</v>
      </c>
      <c r="Q23" s="30">
        <f>G31</f>
        <v>410</v>
      </c>
      <c r="R23" s="31" t="s">
        <v>402</v>
      </c>
      <c r="S23" s="19"/>
    </row>
    <row r="24" spans="1:19" x14ac:dyDescent="0.3">
      <c r="A24" s="16" t="s">
        <v>392</v>
      </c>
      <c r="B24">
        <v>409</v>
      </c>
      <c r="I24" s="19" t="s">
        <v>394</v>
      </c>
      <c r="J24" s="19">
        <f>GETPIVOTDATA("TAT2",$A$27)</f>
        <v>409</v>
      </c>
      <c r="M24" s="20" t="s">
        <v>395</v>
      </c>
      <c r="N24">
        <v>50</v>
      </c>
      <c r="P24" s="28" t="s">
        <v>398</v>
      </c>
      <c r="Q24" s="33">
        <f>SUM(N23:N28)/Q23</f>
        <v>2</v>
      </c>
      <c r="R24" s="32" t="s">
        <v>398</v>
      </c>
      <c r="S24" s="19">
        <f>IFERROR(Q26*Q27, 0.2)</f>
        <v>40</v>
      </c>
    </row>
    <row r="25" spans="1:19" x14ac:dyDescent="0.3">
      <c r="F25" s="23" t="s">
        <v>28</v>
      </c>
      <c r="G25" s="24">
        <f>IFERROR(GETPIVOTDATA("TAT2",$A$27,"Months","Oct"),0)</f>
        <v>220</v>
      </c>
      <c r="I25" s="28" t="s">
        <v>398</v>
      </c>
      <c r="J25" s="19">
        <f>SUM(B28:B33)/J24</f>
        <v>2</v>
      </c>
      <c r="M25" s="20" t="s">
        <v>396</v>
      </c>
      <c r="N25">
        <v>170</v>
      </c>
      <c r="P25" s="28" t="s">
        <v>399</v>
      </c>
      <c r="Q25" s="30">
        <v>5</v>
      </c>
      <c r="R25" s="32" t="s">
        <v>403</v>
      </c>
      <c r="S25" s="19">
        <v>0</v>
      </c>
    </row>
    <row r="26" spans="1:19" x14ac:dyDescent="0.3">
      <c r="F26" s="25" t="s">
        <v>395</v>
      </c>
      <c r="G26" s="19">
        <f>IFERROR(GETPIVOTDATA("TAT2",$A$27,"Months","Oct","TAT2","OFF SLA"),0)</f>
        <v>50</v>
      </c>
      <c r="I26" s="28" t="s">
        <v>399</v>
      </c>
      <c r="J26" s="19">
        <v>5</v>
      </c>
      <c r="M26" s="21" t="s">
        <v>41</v>
      </c>
      <c r="N26" s="22">
        <v>190</v>
      </c>
      <c r="P26" s="28" t="s">
        <v>400</v>
      </c>
      <c r="Q26" s="33">
        <f>Q24/Q25</f>
        <v>0.4</v>
      </c>
      <c r="R26" s="32" t="s">
        <v>404</v>
      </c>
      <c r="S26" s="19">
        <v>15</v>
      </c>
    </row>
    <row r="27" spans="1:19" x14ac:dyDescent="0.3">
      <c r="A27" s="15" t="s">
        <v>391</v>
      </c>
      <c r="B27" t="s">
        <v>397</v>
      </c>
      <c r="F27" s="25" t="s">
        <v>396</v>
      </c>
      <c r="G27" s="19">
        <f>IFERROR(GETPIVOTDATA("TAT2",$A$27,"Months","Oct","TAT2","ON SLA"),0)</f>
        <v>170</v>
      </c>
      <c r="I27" s="28" t="s">
        <v>400</v>
      </c>
      <c r="J27" s="19">
        <f>J25/J26</f>
        <v>0.4</v>
      </c>
      <c r="M27" s="20" t="s">
        <v>395</v>
      </c>
      <c r="N27">
        <v>18</v>
      </c>
      <c r="P27" s="28" t="s">
        <v>401</v>
      </c>
      <c r="Q27" s="30">
        <v>100</v>
      </c>
      <c r="R27" s="32" t="s">
        <v>405</v>
      </c>
      <c r="S27" s="19">
        <v>35</v>
      </c>
    </row>
    <row r="28" spans="1:19" x14ac:dyDescent="0.3">
      <c r="A28" s="16" t="s">
        <v>28</v>
      </c>
      <c r="B28">
        <v>220</v>
      </c>
      <c r="F28" s="23" t="s">
        <v>41</v>
      </c>
      <c r="G28" s="24">
        <f>IFERROR(GETPIVOTDATA("TAT2",$A$27,"Months","Nov"),0)</f>
        <v>189</v>
      </c>
      <c r="I28" s="28" t="s">
        <v>401</v>
      </c>
      <c r="J28" s="19">
        <v>100</v>
      </c>
      <c r="M28" s="20" t="s">
        <v>396</v>
      </c>
      <c r="N28">
        <v>172</v>
      </c>
      <c r="R28" s="32" t="s">
        <v>406</v>
      </c>
      <c r="S28" s="19">
        <v>100</v>
      </c>
    </row>
    <row r="29" spans="1:19" x14ac:dyDescent="0.3">
      <c r="A29" s="20" t="s">
        <v>395</v>
      </c>
      <c r="B29">
        <v>50</v>
      </c>
      <c r="F29" s="25" t="s">
        <v>395</v>
      </c>
      <c r="G29" s="19">
        <f>IFERROR(GETPIVOTDATA("TAT2",$A$27,"Months","Nov","TAT2","OFF SLA"),0)</f>
        <v>17</v>
      </c>
      <c r="R29" s="32" t="s">
        <v>407</v>
      </c>
      <c r="S29" s="19">
        <v>200</v>
      </c>
    </row>
    <row r="30" spans="1:19" x14ac:dyDescent="0.3">
      <c r="A30" s="20" t="s">
        <v>396</v>
      </c>
      <c r="B30">
        <v>170</v>
      </c>
      <c r="F30" s="25" t="s">
        <v>396</v>
      </c>
      <c r="G30" s="19">
        <f>IFERROR(GETPIVOTDATA("TAT2",$A$27,"Months","Nov","TAT2","ON SLA"),0)</f>
        <v>172</v>
      </c>
    </row>
    <row r="31" spans="1:19" x14ac:dyDescent="0.3">
      <c r="A31" s="16" t="s">
        <v>41</v>
      </c>
      <c r="B31">
        <v>189</v>
      </c>
      <c r="F31" s="26" t="s">
        <v>392</v>
      </c>
      <c r="G31" s="27">
        <v>410</v>
      </c>
      <c r="P31" s="29" t="s">
        <v>408</v>
      </c>
      <c r="Q31">
        <f>S24</f>
        <v>40</v>
      </c>
    </row>
    <row r="32" spans="1:19" x14ac:dyDescent="0.3">
      <c r="A32" s="20" t="s">
        <v>395</v>
      </c>
      <c r="B32">
        <v>17</v>
      </c>
      <c r="I32" s="31" t="s">
        <v>402</v>
      </c>
      <c r="J32">
        <f>J27*J28</f>
        <v>40</v>
      </c>
      <c r="P32" s="29" t="s">
        <v>409</v>
      </c>
      <c r="Q32">
        <v>2</v>
      </c>
    </row>
    <row r="33" spans="1:17" x14ac:dyDescent="0.3">
      <c r="A33" s="20" t="s">
        <v>396</v>
      </c>
      <c r="B33">
        <v>172</v>
      </c>
      <c r="I33" s="32" t="s">
        <v>398</v>
      </c>
      <c r="P33" s="29" t="s">
        <v>406</v>
      </c>
      <c r="Q33">
        <f>S29-SUM(Q31+Q32)</f>
        <v>158</v>
      </c>
    </row>
    <row r="34" spans="1:17" x14ac:dyDescent="0.3">
      <c r="A34" s="16" t="s">
        <v>392</v>
      </c>
      <c r="B34">
        <v>409</v>
      </c>
      <c r="I34" s="32" t="s">
        <v>403</v>
      </c>
    </row>
    <row r="35" spans="1:17" x14ac:dyDescent="0.3">
      <c r="I35" s="32" t="s">
        <v>404</v>
      </c>
    </row>
    <row r="36" spans="1:17" x14ac:dyDescent="0.3">
      <c r="I36" s="32" t="s">
        <v>405</v>
      </c>
    </row>
    <row r="37" spans="1:17" x14ac:dyDescent="0.3">
      <c r="I37" s="32" t="s">
        <v>406</v>
      </c>
    </row>
    <row r="38" spans="1:17" x14ac:dyDescent="0.3">
      <c r="A38" s="15" t="s">
        <v>391</v>
      </c>
      <c r="B38" t="s">
        <v>397</v>
      </c>
      <c r="E38" s="27" t="s">
        <v>391</v>
      </c>
      <c r="F38" s="27" t="s">
        <v>397</v>
      </c>
      <c r="I38" s="32" t="s">
        <v>407</v>
      </c>
    </row>
    <row r="39" spans="1:17" x14ac:dyDescent="0.3">
      <c r="A39" s="16" t="s">
        <v>12</v>
      </c>
      <c r="B39">
        <v>24</v>
      </c>
      <c r="E39" s="23" t="s">
        <v>12</v>
      </c>
      <c r="F39" s="24">
        <f>GETPIVOTDATA("TAT2",$A$38,"ACTIVITY","AR")</f>
        <v>24</v>
      </c>
    </row>
    <row r="40" spans="1:17" x14ac:dyDescent="0.3">
      <c r="A40" s="20" t="s">
        <v>395</v>
      </c>
      <c r="B40">
        <v>10</v>
      </c>
      <c r="E40" s="25" t="s">
        <v>395</v>
      </c>
      <c r="F40" s="19">
        <f>GETPIVOTDATA("TAT2",$A$38,"TAT2","OFF SLA","ACTIVITY","AR")</f>
        <v>10</v>
      </c>
    </row>
    <row r="41" spans="1:17" x14ac:dyDescent="0.3">
      <c r="A41" s="20" t="s">
        <v>396</v>
      </c>
      <c r="B41">
        <v>14</v>
      </c>
      <c r="E41" s="25" t="s">
        <v>396</v>
      </c>
      <c r="F41" s="19">
        <f>IFERROR(GETPIVOTDATA("TAT2",$A$38,"TAT2","ON SLA","ACTIVITY","AR"),0)</f>
        <v>14</v>
      </c>
    </row>
    <row r="42" spans="1:17" x14ac:dyDescent="0.3">
      <c r="A42" s="16" t="s">
        <v>95</v>
      </c>
      <c r="B42">
        <v>47</v>
      </c>
      <c r="E42" s="23" t="s">
        <v>95</v>
      </c>
      <c r="F42" s="24">
        <f>GETPIVOTDATA("TAT2",$A$38,"ACTIVITY","ATA &amp; ATD updates")</f>
        <v>47</v>
      </c>
    </row>
    <row r="43" spans="1:17" x14ac:dyDescent="0.3">
      <c r="A43" s="20" t="s">
        <v>395</v>
      </c>
      <c r="B43">
        <v>13</v>
      </c>
      <c r="E43" s="25" t="s">
        <v>395</v>
      </c>
      <c r="F43" s="19">
        <f>GETPIVOTDATA("TAT2",$A$38,"TAT2","OFF SLA","ACTIVITY","ATA &amp; ATD updates")</f>
        <v>13</v>
      </c>
      <c r="H43" s="34" t="s">
        <v>391</v>
      </c>
      <c r="I43" s="19" t="s">
        <v>397</v>
      </c>
    </row>
    <row r="44" spans="1:17" x14ac:dyDescent="0.3">
      <c r="A44" s="20" t="s">
        <v>396</v>
      </c>
      <c r="B44">
        <v>34</v>
      </c>
      <c r="E44" s="25" t="s">
        <v>396</v>
      </c>
      <c r="F44" s="19">
        <f>IFERROR(GETPIVOTDATA("TAT2",$A$38,"TAT2","ON SLA","ACTIVITY","ATA &amp; ATD updates"),0)</f>
        <v>34</v>
      </c>
      <c r="H44" s="18" t="s">
        <v>12</v>
      </c>
      <c r="I44" s="19">
        <v>24</v>
      </c>
      <c r="K44" s="47" t="s">
        <v>12</v>
      </c>
      <c r="L44" s="48"/>
      <c r="M44" s="53"/>
    </row>
    <row r="45" spans="1:17" x14ac:dyDescent="0.3">
      <c r="A45" s="16" t="s">
        <v>125</v>
      </c>
      <c r="B45">
        <v>59</v>
      </c>
      <c r="E45" s="23" t="s">
        <v>125</v>
      </c>
      <c r="F45" s="24">
        <f>IFERROR(GETPIVOTDATA("TAT2",$A$38,"ACTIVITY","D&amp;D"),0)</f>
        <v>59</v>
      </c>
      <c r="H45" s="25" t="s">
        <v>395</v>
      </c>
      <c r="I45" s="19">
        <v>10</v>
      </c>
      <c r="K45" s="25" t="s">
        <v>395</v>
      </c>
      <c r="L45" s="19">
        <f>GETPIVOTDATA("TAT2",$H$43,"TAT2","OFF SLA","ACTIVITY","AR")</f>
        <v>10</v>
      </c>
      <c r="M45" s="54">
        <f>IFERROR(L45/($L$45+$L$46),0)</f>
        <v>0.41666666666666669</v>
      </c>
    </row>
    <row r="46" spans="1:17" x14ac:dyDescent="0.3">
      <c r="A46" s="20" t="s">
        <v>396</v>
      </c>
      <c r="B46">
        <v>59</v>
      </c>
      <c r="E46" s="25" t="s">
        <v>396</v>
      </c>
      <c r="F46" s="19">
        <f>IFERROR(GETPIVOTDATA("TAT2",$A$38,"TAT2","ON SLA","ACTIVITY","D&amp;D"),0)</f>
        <v>59</v>
      </c>
      <c r="H46" s="25" t="s">
        <v>396</v>
      </c>
      <c r="I46" s="19">
        <v>14</v>
      </c>
      <c r="K46" s="25" t="s">
        <v>396</v>
      </c>
      <c r="L46" s="19">
        <f>IFERROR(GETPIVOTDATA("TAT2",$H$43,"TAT2","ON SLA","ACTIVITY","AR"),0)</f>
        <v>14</v>
      </c>
      <c r="M46" s="54">
        <f>IFERROR(L46/($L$45+$L$46),0)</f>
        <v>0.58333333333333337</v>
      </c>
    </row>
    <row r="47" spans="1:17" x14ac:dyDescent="0.3">
      <c r="A47" s="16" t="s">
        <v>183</v>
      </c>
      <c r="B47">
        <v>78</v>
      </c>
      <c r="E47" s="23" t="s">
        <v>183</v>
      </c>
      <c r="F47" s="24">
        <f>GETPIVOTDATA("TAT2",$A$38,"ACTIVITY","Due diligence")</f>
        <v>78</v>
      </c>
      <c r="H47" s="18" t="s">
        <v>95</v>
      </c>
      <c r="I47" s="19">
        <v>47</v>
      </c>
      <c r="K47" s="23" t="s">
        <v>394</v>
      </c>
      <c r="L47" s="42">
        <v>1</v>
      </c>
      <c r="M47" s="54">
        <v>1</v>
      </c>
    </row>
    <row r="48" spans="1:17" x14ac:dyDescent="0.3">
      <c r="A48" s="20" t="s">
        <v>395</v>
      </c>
      <c r="B48">
        <v>1</v>
      </c>
      <c r="E48" s="25" t="s">
        <v>395</v>
      </c>
      <c r="F48" s="19">
        <f>GETPIVOTDATA("TAT2",$A$38,"TAT2","OFF SLA","ACTIVITY","Due diligence")</f>
        <v>1</v>
      </c>
      <c r="H48" s="25" t="s">
        <v>395</v>
      </c>
      <c r="I48" s="19">
        <v>13</v>
      </c>
      <c r="K48" s="47" t="s">
        <v>95</v>
      </c>
      <c r="L48" s="48"/>
      <c r="M48" s="54"/>
    </row>
    <row r="49" spans="1:13" x14ac:dyDescent="0.3">
      <c r="A49" s="20" t="s">
        <v>396</v>
      </c>
      <c r="B49">
        <v>77</v>
      </c>
      <c r="E49" s="25" t="s">
        <v>396</v>
      </c>
      <c r="F49" s="19"/>
      <c r="H49" s="25" t="s">
        <v>396</v>
      </c>
      <c r="I49" s="19">
        <v>34</v>
      </c>
      <c r="K49" s="25" t="s">
        <v>395</v>
      </c>
      <c r="L49" s="19">
        <f>IFERROR(GETPIVOTDATA("TAT2",$H$43,"TAT2","OFF SLA","ACTIVITY","ATA &amp; ATD updates"),0)</f>
        <v>13</v>
      </c>
      <c r="M49" s="54">
        <f>IFERROR(L49/($L$49+$L$50),0)</f>
        <v>0.27659574468085107</v>
      </c>
    </row>
    <row r="50" spans="1:13" x14ac:dyDescent="0.3">
      <c r="A50" s="16" t="s">
        <v>262</v>
      </c>
      <c r="B50">
        <v>19</v>
      </c>
      <c r="E50" s="23" t="s">
        <v>262</v>
      </c>
      <c r="F50" s="24">
        <v>19</v>
      </c>
      <c r="H50" s="18" t="s">
        <v>125</v>
      </c>
      <c r="I50" s="19">
        <v>59</v>
      </c>
      <c r="K50" s="25" t="s">
        <v>396</v>
      </c>
      <c r="L50" s="19">
        <f>IFERROR(GETPIVOTDATA("TAT2",$H$43,"TAT2","ON SLA","ACTIVITY","ATA &amp; ATD updates"),0)</f>
        <v>34</v>
      </c>
      <c r="M50" s="54">
        <f>IFERROR(L50/($L$49+$L$50),0)</f>
        <v>0.72340425531914898</v>
      </c>
    </row>
    <row r="51" spans="1:13" x14ac:dyDescent="0.3">
      <c r="A51" s="20" t="s">
        <v>395</v>
      </c>
      <c r="B51">
        <v>5</v>
      </c>
      <c r="E51" s="25" t="s">
        <v>395</v>
      </c>
      <c r="F51" s="19">
        <v>5</v>
      </c>
      <c r="H51" s="25" t="s">
        <v>396</v>
      </c>
      <c r="I51" s="19">
        <v>59</v>
      </c>
      <c r="K51" s="23" t="s">
        <v>394</v>
      </c>
      <c r="L51" s="42">
        <v>1</v>
      </c>
      <c r="M51" s="54">
        <v>1</v>
      </c>
    </row>
    <row r="52" spans="1:13" x14ac:dyDescent="0.3">
      <c r="A52" s="20" t="s">
        <v>396</v>
      </c>
      <c r="B52">
        <v>14</v>
      </c>
      <c r="E52" s="25" t="s">
        <v>396</v>
      </c>
      <c r="F52" s="19">
        <v>14</v>
      </c>
      <c r="H52" s="18" t="s">
        <v>183</v>
      </c>
      <c r="I52" s="19">
        <v>78</v>
      </c>
      <c r="K52" s="47" t="s">
        <v>125</v>
      </c>
      <c r="L52" s="48"/>
      <c r="M52" s="55"/>
    </row>
    <row r="53" spans="1:13" x14ac:dyDescent="0.3">
      <c r="A53" s="16" t="s">
        <v>42</v>
      </c>
      <c r="B53">
        <v>54</v>
      </c>
      <c r="E53" s="23" t="s">
        <v>42</v>
      </c>
      <c r="F53" s="24">
        <v>54</v>
      </c>
      <c r="H53" s="25" t="s">
        <v>395</v>
      </c>
      <c r="I53" s="19">
        <v>1</v>
      </c>
      <c r="K53" s="51" t="s">
        <v>396</v>
      </c>
      <c r="L53" s="50">
        <f>GETPIVOTDATA("TAT2",$H$43,"ACTIVITY","D&amp;D")</f>
        <v>59</v>
      </c>
      <c r="M53" s="54">
        <f>IFERROR(L53/($L$53),0)</f>
        <v>1</v>
      </c>
    </row>
    <row r="54" spans="1:13" x14ac:dyDescent="0.3">
      <c r="A54" s="20" t="s">
        <v>395</v>
      </c>
      <c r="B54">
        <v>18</v>
      </c>
      <c r="E54" s="25" t="s">
        <v>395</v>
      </c>
      <c r="F54" s="19">
        <v>18</v>
      </c>
      <c r="H54" s="25" t="s">
        <v>396</v>
      </c>
      <c r="I54" s="19">
        <v>77</v>
      </c>
      <c r="K54" s="49" t="s">
        <v>394</v>
      </c>
      <c r="L54" s="52">
        <v>1</v>
      </c>
      <c r="M54" s="54">
        <v>1</v>
      </c>
    </row>
    <row r="55" spans="1:13" x14ac:dyDescent="0.3">
      <c r="A55" s="20" t="s">
        <v>396</v>
      </c>
      <c r="B55">
        <v>36</v>
      </c>
      <c r="E55" s="25" t="s">
        <v>396</v>
      </c>
      <c r="F55" s="19">
        <v>36</v>
      </c>
      <c r="H55" s="18" t="s">
        <v>262</v>
      </c>
      <c r="I55" s="19">
        <v>19</v>
      </c>
      <c r="K55" s="47" t="s">
        <v>183</v>
      </c>
      <c r="L55" s="48"/>
      <c r="M55" s="54"/>
    </row>
    <row r="56" spans="1:13" x14ac:dyDescent="0.3">
      <c r="A56" s="16" t="s">
        <v>279</v>
      </c>
      <c r="B56">
        <v>49</v>
      </c>
      <c r="E56" s="23" t="s">
        <v>279</v>
      </c>
      <c r="F56" s="24">
        <v>49</v>
      </c>
      <c r="H56" s="25" t="s">
        <v>395</v>
      </c>
      <c r="I56" s="19">
        <v>5</v>
      </c>
      <c r="K56" s="25" t="s">
        <v>395</v>
      </c>
      <c r="L56" s="19">
        <f>IFERROR(GETPIVOTDATA("TAT2",$H$43,"TAT2","OFF SLA","ACTIVITY","Due diligence"),0)</f>
        <v>1</v>
      </c>
      <c r="M56" s="54">
        <f>IFERROR(L56/($L$56+$L$57),0)</f>
        <v>1.282051282051282E-2</v>
      </c>
    </row>
    <row r="57" spans="1:13" x14ac:dyDescent="0.3">
      <c r="A57" s="20" t="s">
        <v>395</v>
      </c>
      <c r="B57">
        <v>20</v>
      </c>
      <c r="E57" s="25" t="s">
        <v>395</v>
      </c>
      <c r="F57" s="19">
        <v>20</v>
      </c>
      <c r="H57" s="25" t="s">
        <v>396</v>
      </c>
      <c r="I57" s="19">
        <v>14</v>
      </c>
      <c r="K57" s="25" t="s">
        <v>396</v>
      </c>
      <c r="L57" s="19">
        <f>GETPIVOTDATA("TAT2",$H$43,"TAT2","ON SLA","ACTIVITY","Due diligence")</f>
        <v>77</v>
      </c>
      <c r="M57" s="54">
        <f t="shared" ref="M57" si="1">IFERROR(L57/($L$56+$L$57),0)</f>
        <v>0.98717948717948723</v>
      </c>
    </row>
    <row r="58" spans="1:13" x14ac:dyDescent="0.3">
      <c r="A58" s="20" t="s">
        <v>396</v>
      </c>
      <c r="B58">
        <v>29</v>
      </c>
      <c r="E58" s="25" t="s">
        <v>396</v>
      </c>
      <c r="F58" s="19">
        <v>29</v>
      </c>
      <c r="H58" s="18" t="s">
        <v>42</v>
      </c>
      <c r="I58" s="19">
        <v>54</v>
      </c>
      <c r="K58" s="23" t="s">
        <v>394</v>
      </c>
      <c r="L58" s="42">
        <v>1</v>
      </c>
      <c r="M58" s="54">
        <v>1</v>
      </c>
    </row>
    <row r="59" spans="1:13" x14ac:dyDescent="0.3">
      <c r="A59" s="16" t="s">
        <v>324</v>
      </c>
      <c r="B59">
        <v>79</v>
      </c>
      <c r="E59" s="23" t="s">
        <v>324</v>
      </c>
      <c r="F59" s="24">
        <v>79</v>
      </c>
      <c r="H59" s="25" t="s">
        <v>395</v>
      </c>
      <c r="I59" s="19">
        <v>18</v>
      </c>
      <c r="K59" s="47" t="s">
        <v>262</v>
      </c>
      <c r="L59" s="48"/>
      <c r="M59" s="54"/>
    </row>
    <row r="60" spans="1:13" x14ac:dyDescent="0.3">
      <c r="A60" s="20" t="s">
        <v>396</v>
      </c>
      <c r="B60">
        <v>79</v>
      </c>
      <c r="E60" s="25" t="s">
        <v>396</v>
      </c>
      <c r="F60" s="19">
        <v>79</v>
      </c>
      <c r="H60" s="25" t="s">
        <v>396</v>
      </c>
      <c r="I60" s="19">
        <v>36</v>
      </c>
      <c r="K60" s="25" t="s">
        <v>395</v>
      </c>
      <c r="L60" s="19">
        <f>IFERROR(GETPIVOTDATA("TAT2",$H$43,"TAT2","OFF SLA","ACTIVITY","ETD extension"),0)</f>
        <v>5</v>
      </c>
      <c r="M60" s="54">
        <f>IFERROR(L60/($L$60+$L$61),0)</f>
        <v>0.26315789473684209</v>
      </c>
    </row>
    <row r="61" spans="1:13" x14ac:dyDescent="0.3">
      <c r="A61" s="16" t="s">
        <v>392</v>
      </c>
      <c r="B61">
        <v>409</v>
      </c>
      <c r="H61" s="18" t="s">
        <v>279</v>
      </c>
      <c r="I61" s="19">
        <v>49</v>
      </c>
      <c r="K61" s="25" t="s">
        <v>396</v>
      </c>
      <c r="L61" s="19">
        <f>IFERROR(GETPIVOTDATA("TAT2",$H$43,"TAT2","ON SLA","ACTIVITY","ETD extension"),0)</f>
        <v>14</v>
      </c>
      <c r="M61" s="54">
        <f>IFERROR(L61/($L$60+$L$61),0)</f>
        <v>0.73684210526315785</v>
      </c>
    </row>
    <row r="62" spans="1:13" x14ac:dyDescent="0.3">
      <c r="H62" s="25" t="s">
        <v>395</v>
      </c>
      <c r="I62" s="19">
        <v>20</v>
      </c>
      <c r="K62" s="23" t="s">
        <v>394</v>
      </c>
      <c r="L62" s="42">
        <v>1</v>
      </c>
      <c r="M62" s="54">
        <v>1</v>
      </c>
    </row>
    <row r="63" spans="1:13" x14ac:dyDescent="0.3">
      <c r="H63" s="25" t="s">
        <v>396</v>
      </c>
      <c r="I63" s="19">
        <v>29</v>
      </c>
      <c r="K63" s="47" t="s">
        <v>42</v>
      </c>
      <c r="L63" s="48"/>
      <c r="M63" s="54"/>
    </row>
    <row r="64" spans="1:13" x14ac:dyDescent="0.3">
      <c r="H64" s="18" t="s">
        <v>324</v>
      </c>
      <c r="I64" s="19">
        <v>79</v>
      </c>
      <c r="K64" s="25" t="s">
        <v>395</v>
      </c>
      <c r="L64" s="19">
        <f>GETPIVOTDATA("TAT2",$H$43,"TAT2","OFF SLA","ACTIVITY","TDR")</f>
        <v>18</v>
      </c>
      <c r="M64" s="54">
        <f>IFERROR(L64/($L$64+$L$65),0)</f>
        <v>0.33333333333333331</v>
      </c>
    </row>
    <row r="65" spans="1:15" x14ac:dyDescent="0.3">
      <c r="H65" s="25" t="s">
        <v>396</v>
      </c>
      <c r="I65" s="19">
        <v>79</v>
      </c>
      <c r="K65" s="25" t="s">
        <v>396</v>
      </c>
      <c r="L65" s="19">
        <f>GETPIVOTDATA("TAT2",$H$43,"TAT2","ON SLA","ACTIVITY","TDR")</f>
        <v>36</v>
      </c>
      <c r="M65" s="54">
        <f>IFERROR(L65/($L$64+$L$65),0)</f>
        <v>0.66666666666666663</v>
      </c>
    </row>
    <row r="66" spans="1:15" x14ac:dyDescent="0.3">
      <c r="E66" s="17" t="s">
        <v>391</v>
      </c>
      <c r="F66" s="17" t="s">
        <v>410</v>
      </c>
      <c r="H66" s="18" t="s">
        <v>392</v>
      </c>
      <c r="I66" s="19">
        <v>409</v>
      </c>
      <c r="K66" s="23" t="s">
        <v>394</v>
      </c>
      <c r="L66" s="45">
        <v>1</v>
      </c>
      <c r="M66" s="54">
        <v>1</v>
      </c>
    </row>
    <row r="67" spans="1:15" x14ac:dyDescent="0.3">
      <c r="A67" s="15" t="s">
        <v>391</v>
      </c>
      <c r="B67" t="s">
        <v>410</v>
      </c>
      <c r="E67" s="16" t="s">
        <v>30</v>
      </c>
      <c r="F67">
        <f>IFERROR(GETPIVOTDATA("User name",$A$67,"User name","Sasikala"),0)</f>
        <v>315</v>
      </c>
      <c r="J67" t="s">
        <v>416</v>
      </c>
      <c r="K67" s="47" t="s">
        <v>279</v>
      </c>
      <c r="L67" s="48"/>
      <c r="M67" s="54"/>
    </row>
    <row r="68" spans="1:15" x14ac:dyDescent="0.3">
      <c r="A68" s="16" t="s">
        <v>30</v>
      </c>
      <c r="B68">
        <v>315</v>
      </c>
      <c r="E68" s="16" t="s">
        <v>15</v>
      </c>
      <c r="F68">
        <f>IFERROR(GETPIVOTDATA("User name",$A$67,"User name","Yuvaraj"),0)</f>
        <v>94</v>
      </c>
      <c r="J68" t="s">
        <v>417</v>
      </c>
      <c r="K68" s="25" t="s">
        <v>395</v>
      </c>
      <c r="L68" s="19">
        <f>IFERROR(GETPIVOTDATA("TAT2",$H$43,"TAT2","OFF SLA","ACTIVITY","Vessel creation"),0)</f>
        <v>20</v>
      </c>
      <c r="M68" s="54">
        <f>IFERROR(L68/($L$68+$L$69),0)</f>
        <v>0.40816326530612246</v>
      </c>
    </row>
    <row r="69" spans="1:15" x14ac:dyDescent="0.3">
      <c r="A69" s="16" t="s">
        <v>15</v>
      </c>
      <c r="B69">
        <v>94</v>
      </c>
      <c r="J69" t="s">
        <v>418</v>
      </c>
      <c r="K69" s="25" t="s">
        <v>396</v>
      </c>
      <c r="L69" s="24">
        <f>GETPIVOTDATA("TAT2",$H$43,"TAT2","ON SLA","ACTIVITY","Vessel creation")</f>
        <v>29</v>
      </c>
      <c r="M69" s="54">
        <f>IFERROR(L69/($L$68+$L$69),0)</f>
        <v>0.59183673469387754</v>
      </c>
    </row>
    <row r="70" spans="1:15" x14ac:dyDescent="0.3">
      <c r="A70" s="16" t="s">
        <v>392</v>
      </c>
      <c r="B70">
        <v>409</v>
      </c>
      <c r="K70" s="23" t="s">
        <v>394</v>
      </c>
      <c r="L70" s="42">
        <v>1</v>
      </c>
      <c r="M70" s="54">
        <v>1</v>
      </c>
    </row>
    <row r="71" spans="1:15" x14ac:dyDescent="0.3">
      <c r="F71">
        <f>F67</f>
        <v>315</v>
      </c>
      <c r="K71" s="47" t="s">
        <v>324</v>
      </c>
      <c r="L71" s="48"/>
      <c r="M71" s="54"/>
    </row>
    <row r="72" spans="1:15" x14ac:dyDescent="0.3">
      <c r="K72" s="25" t="s">
        <v>396</v>
      </c>
      <c r="L72" s="19">
        <f>GETPIVOTDATA("TAT2",$H$43,"TAT2","ON SLA","ACTIVITY","WDR")</f>
        <v>79</v>
      </c>
      <c r="M72" s="54">
        <f>IFERROR(L72/($L$72),0)</f>
        <v>1</v>
      </c>
    </row>
    <row r="73" spans="1:15" x14ac:dyDescent="0.3">
      <c r="K73" s="23" t="s">
        <v>394</v>
      </c>
      <c r="L73" s="42">
        <v>1</v>
      </c>
      <c r="M73" s="54">
        <v>1</v>
      </c>
    </row>
    <row r="74" spans="1:15" x14ac:dyDescent="0.3">
      <c r="K74" s="23"/>
      <c r="L74" s="42"/>
    </row>
    <row r="75" spans="1:15" x14ac:dyDescent="0.3">
      <c r="A75" s="15" t="s">
        <v>391</v>
      </c>
      <c r="B75" t="s">
        <v>397</v>
      </c>
      <c r="E75" s="34" t="s">
        <v>391</v>
      </c>
      <c r="F75" s="19" t="s">
        <v>397</v>
      </c>
      <c r="I75" s="15" t="s">
        <v>391</v>
      </c>
      <c r="J75" t="s">
        <v>397</v>
      </c>
      <c r="K75" s="46" t="s">
        <v>392</v>
      </c>
    </row>
    <row r="76" spans="1:15" x14ac:dyDescent="0.3">
      <c r="A76" s="16" t="s">
        <v>12</v>
      </c>
      <c r="B76">
        <v>24</v>
      </c>
      <c r="E76" s="18" t="s">
        <v>12</v>
      </c>
      <c r="F76" s="19">
        <v>24</v>
      </c>
      <c r="I76" s="16" t="s">
        <v>12</v>
      </c>
      <c r="J76">
        <v>24</v>
      </c>
      <c r="L76" s="16" t="str">
        <f>I76</f>
        <v>AR</v>
      </c>
      <c r="M76">
        <f>VLOOKUP(L76,$I$76:$J$81,2,0)</f>
        <v>24</v>
      </c>
      <c r="O76">
        <f>M76</f>
        <v>24</v>
      </c>
    </row>
    <row r="77" spans="1:15" x14ac:dyDescent="0.3">
      <c r="A77" s="20" t="s">
        <v>28</v>
      </c>
      <c r="B77">
        <v>12</v>
      </c>
      <c r="E77" s="25" t="s">
        <v>28</v>
      </c>
      <c r="F77" s="19">
        <v>12</v>
      </c>
      <c r="I77" s="16" t="s">
        <v>95</v>
      </c>
      <c r="J77">
        <v>47</v>
      </c>
      <c r="L77" s="16" t="str">
        <f t="shared" ref="L77:L81" si="2">I77</f>
        <v>ATA &amp; ATD updates</v>
      </c>
    </row>
    <row r="78" spans="1:15" x14ac:dyDescent="0.3">
      <c r="A78" s="20" t="s">
        <v>41</v>
      </c>
      <c r="B78">
        <v>12</v>
      </c>
      <c r="E78" s="25" t="s">
        <v>41</v>
      </c>
      <c r="F78" s="19">
        <v>12</v>
      </c>
      <c r="I78" s="16" t="s">
        <v>125</v>
      </c>
      <c r="J78">
        <v>59</v>
      </c>
      <c r="L78" s="16" t="str">
        <f t="shared" si="2"/>
        <v>D&amp;D</v>
      </c>
    </row>
    <row r="79" spans="1:15" x14ac:dyDescent="0.3">
      <c r="A79" s="16" t="s">
        <v>95</v>
      </c>
      <c r="B79">
        <v>47</v>
      </c>
      <c r="E79" s="18" t="s">
        <v>95</v>
      </c>
      <c r="F79" s="19">
        <v>47</v>
      </c>
      <c r="I79" s="16" t="s">
        <v>183</v>
      </c>
      <c r="J79">
        <v>78</v>
      </c>
      <c r="L79" s="16" t="str">
        <f t="shared" si="2"/>
        <v>Due diligence</v>
      </c>
    </row>
    <row r="80" spans="1:15" x14ac:dyDescent="0.3">
      <c r="A80" s="20" t="s">
        <v>28</v>
      </c>
      <c r="B80">
        <v>38</v>
      </c>
      <c r="E80" s="25" t="s">
        <v>28</v>
      </c>
      <c r="F80" s="19">
        <v>38</v>
      </c>
      <c r="I80" s="16" t="s">
        <v>262</v>
      </c>
      <c r="J80">
        <v>19</v>
      </c>
      <c r="L80" s="16" t="str">
        <f t="shared" si="2"/>
        <v>ETD extension</v>
      </c>
    </row>
    <row r="81" spans="1:12" x14ac:dyDescent="0.3">
      <c r="A81" s="20" t="s">
        <v>41</v>
      </c>
      <c r="B81">
        <v>9</v>
      </c>
      <c r="E81" s="25" t="s">
        <v>41</v>
      </c>
      <c r="F81" s="19">
        <v>9</v>
      </c>
      <c r="I81" s="16" t="s">
        <v>42</v>
      </c>
      <c r="J81">
        <v>54</v>
      </c>
      <c r="L81" s="16" t="str">
        <f t="shared" si="2"/>
        <v>TDR</v>
      </c>
    </row>
    <row r="82" spans="1:12" x14ac:dyDescent="0.3">
      <c r="A82" s="16" t="s">
        <v>125</v>
      </c>
      <c r="B82">
        <v>59</v>
      </c>
      <c r="E82" s="18" t="s">
        <v>125</v>
      </c>
      <c r="F82" s="19">
        <v>59</v>
      </c>
      <c r="I82" s="16" t="s">
        <v>279</v>
      </c>
      <c r="J82">
        <v>49</v>
      </c>
    </row>
    <row r="83" spans="1:12" x14ac:dyDescent="0.3">
      <c r="A83" s="20" t="s">
        <v>28</v>
      </c>
      <c r="B83">
        <v>37</v>
      </c>
      <c r="E83" s="25" t="s">
        <v>28</v>
      </c>
      <c r="F83" s="19">
        <v>37</v>
      </c>
      <c r="I83" s="16" t="s">
        <v>324</v>
      </c>
      <c r="J83">
        <v>79</v>
      </c>
    </row>
    <row r="84" spans="1:12" x14ac:dyDescent="0.3">
      <c r="A84" s="20" t="s">
        <v>41</v>
      </c>
      <c r="B84">
        <v>22</v>
      </c>
      <c r="E84" s="25" t="s">
        <v>41</v>
      </c>
      <c r="F84" s="19">
        <v>22</v>
      </c>
      <c r="I84" s="16" t="s">
        <v>392</v>
      </c>
      <c r="J84">
        <v>409</v>
      </c>
    </row>
    <row r="85" spans="1:12" x14ac:dyDescent="0.3">
      <c r="A85" s="16" t="s">
        <v>183</v>
      </c>
      <c r="B85">
        <v>78</v>
      </c>
      <c r="E85" s="18" t="s">
        <v>183</v>
      </c>
      <c r="F85" s="19">
        <v>78</v>
      </c>
    </row>
    <row r="86" spans="1:12" x14ac:dyDescent="0.3">
      <c r="A86" s="20" t="s">
        <v>28</v>
      </c>
      <c r="B86">
        <v>24</v>
      </c>
      <c r="E86" s="25" t="s">
        <v>28</v>
      </c>
      <c r="F86" s="19">
        <v>24</v>
      </c>
    </row>
    <row r="87" spans="1:12" x14ac:dyDescent="0.3">
      <c r="A87" s="20" t="s">
        <v>41</v>
      </c>
      <c r="B87">
        <v>54</v>
      </c>
      <c r="E87" s="25" t="s">
        <v>41</v>
      </c>
      <c r="F87" s="19">
        <v>54</v>
      </c>
    </row>
    <row r="88" spans="1:12" x14ac:dyDescent="0.3">
      <c r="A88" s="16" t="s">
        <v>262</v>
      </c>
      <c r="B88">
        <v>19</v>
      </c>
      <c r="E88" s="18" t="s">
        <v>262</v>
      </c>
      <c r="F88" s="19">
        <v>19</v>
      </c>
    </row>
    <row r="89" spans="1:12" x14ac:dyDescent="0.3">
      <c r="A89" s="20" t="s">
        <v>28</v>
      </c>
      <c r="B89">
        <v>18</v>
      </c>
      <c r="E89" s="25" t="s">
        <v>28</v>
      </c>
      <c r="F89" s="19">
        <v>18</v>
      </c>
    </row>
    <row r="90" spans="1:12" x14ac:dyDescent="0.3">
      <c r="A90" s="20" t="s">
        <v>41</v>
      </c>
      <c r="B90">
        <v>1</v>
      </c>
      <c r="E90" s="25" t="s">
        <v>41</v>
      </c>
      <c r="F90" s="19">
        <v>1</v>
      </c>
      <c r="I90" s="34" t="s">
        <v>391</v>
      </c>
      <c r="J90" s="19" t="s">
        <v>397</v>
      </c>
    </row>
    <row r="91" spans="1:12" x14ac:dyDescent="0.3">
      <c r="A91" s="16" t="s">
        <v>42</v>
      </c>
      <c r="B91">
        <v>54</v>
      </c>
      <c r="E91" s="18" t="s">
        <v>42</v>
      </c>
      <c r="F91" s="19">
        <v>54</v>
      </c>
      <c r="I91" s="18" t="s">
        <v>12</v>
      </c>
      <c r="J91" s="19">
        <v>24</v>
      </c>
    </row>
    <row r="92" spans="1:12" x14ac:dyDescent="0.3">
      <c r="A92" s="20" t="s">
        <v>28</v>
      </c>
      <c r="B92">
        <v>20</v>
      </c>
      <c r="E92" s="25" t="s">
        <v>28</v>
      </c>
      <c r="F92" s="19">
        <v>20</v>
      </c>
      <c r="I92" s="25" t="s">
        <v>28</v>
      </c>
      <c r="J92" s="19">
        <v>12</v>
      </c>
    </row>
    <row r="93" spans="1:12" x14ac:dyDescent="0.3">
      <c r="A93" s="20" t="s">
        <v>41</v>
      </c>
      <c r="B93">
        <v>34</v>
      </c>
      <c r="E93" s="25" t="s">
        <v>41</v>
      </c>
      <c r="F93" s="19">
        <v>34</v>
      </c>
      <c r="I93" s="25" t="s">
        <v>41</v>
      </c>
      <c r="J93" s="19">
        <v>12</v>
      </c>
    </row>
    <row r="94" spans="1:12" x14ac:dyDescent="0.3">
      <c r="A94" s="16" t="s">
        <v>279</v>
      </c>
      <c r="B94">
        <v>49</v>
      </c>
      <c r="E94" s="18" t="s">
        <v>279</v>
      </c>
      <c r="F94" s="19">
        <v>49</v>
      </c>
      <c r="I94" s="18" t="s">
        <v>95</v>
      </c>
      <c r="J94" s="19">
        <v>47</v>
      </c>
    </row>
    <row r="95" spans="1:12" x14ac:dyDescent="0.3">
      <c r="A95" s="20" t="s">
        <v>28</v>
      </c>
      <c r="B95">
        <v>32</v>
      </c>
      <c r="E95" s="25" t="s">
        <v>28</v>
      </c>
      <c r="F95" s="19">
        <v>32</v>
      </c>
      <c r="I95" s="25" t="s">
        <v>28</v>
      </c>
      <c r="J95" s="19">
        <v>38</v>
      </c>
    </row>
    <row r="96" spans="1:12" x14ac:dyDescent="0.3">
      <c r="A96" s="20" t="s">
        <v>41</v>
      </c>
      <c r="B96">
        <v>17</v>
      </c>
      <c r="E96" s="25" t="s">
        <v>41</v>
      </c>
      <c r="F96" s="19">
        <v>17</v>
      </c>
      <c r="I96" s="25" t="s">
        <v>41</v>
      </c>
      <c r="J96" s="19">
        <v>9</v>
      </c>
    </row>
    <row r="97" spans="1:10" x14ac:dyDescent="0.3">
      <c r="A97" s="16" t="s">
        <v>324</v>
      </c>
      <c r="B97">
        <v>79</v>
      </c>
      <c r="E97" s="18" t="s">
        <v>324</v>
      </c>
      <c r="F97" s="19">
        <v>79</v>
      </c>
      <c r="I97" s="18" t="s">
        <v>125</v>
      </c>
      <c r="J97" s="19">
        <v>59</v>
      </c>
    </row>
    <row r="98" spans="1:10" x14ac:dyDescent="0.3">
      <c r="A98" s="20" t="s">
        <v>28</v>
      </c>
      <c r="B98">
        <v>39</v>
      </c>
      <c r="E98" s="25" t="s">
        <v>28</v>
      </c>
      <c r="F98" s="19">
        <v>39</v>
      </c>
      <c r="I98" s="25" t="s">
        <v>28</v>
      </c>
      <c r="J98" s="19">
        <v>37</v>
      </c>
    </row>
    <row r="99" spans="1:10" x14ac:dyDescent="0.3">
      <c r="A99" s="20" t="s">
        <v>41</v>
      </c>
      <c r="B99">
        <v>40</v>
      </c>
      <c r="E99" s="25" t="s">
        <v>41</v>
      </c>
      <c r="F99" s="19">
        <v>40</v>
      </c>
      <c r="I99" s="25" t="s">
        <v>41</v>
      </c>
      <c r="J99" s="19">
        <v>22</v>
      </c>
    </row>
    <row r="100" spans="1:10" x14ac:dyDescent="0.3">
      <c r="A100" s="16" t="s">
        <v>392</v>
      </c>
      <c r="B100">
        <v>409</v>
      </c>
      <c r="E100" s="18" t="s">
        <v>392</v>
      </c>
      <c r="F100" s="19">
        <v>409</v>
      </c>
      <c r="I100" s="18" t="s">
        <v>183</v>
      </c>
      <c r="J100" s="19">
        <v>78</v>
      </c>
    </row>
    <row r="101" spans="1:10" x14ac:dyDescent="0.3">
      <c r="I101" s="25" t="s">
        <v>28</v>
      </c>
      <c r="J101" s="19">
        <v>24</v>
      </c>
    </row>
    <row r="102" spans="1:10" x14ac:dyDescent="0.3">
      <c r="I102" s="25" t="s">
        <v>41</v>
      </c>
      <c r="J102" s="19">
        <v>54</v>
      </c>
    </row>
    <row r="103" spans="1:10" x14ac:dyDescent="0.3">
      <c r="I103" s="18" t="s">
        <v>262</v>
      </c>
      <c r="J103" s="19">
        <v>19</v>
      </c>
    </row>
    <row r="104" spans="1:10" x14ac:dyDescent="0.3">
      <c r="I104" s="25" t="s">
        <v>28</v>
      </c>
      <c r="J104" s="19">
        <v>18</v>
      </c>
    </row>
    <row r="105" spans="1:10" x14ac:dyDescent="0.3">
      <c r="A105" s="34" t="s">
        <v>391</v>
      </c>
      <c r="B105" s="19" t="s">
        <v>422</v>
      </c>
      <c r="I105" s="25" t="s">
        <v>41</v>
      </c>
      <c r="J105" s="19">
        <v>1</v>
      </c>
    </row>
    <row r="106" spans="1:10" x14ac:dyDescent="0.3">
      <c r="A106" s="18" t="s">
        <v>12</v>
      </c>
      <c r="B106" s="19">
        <v>24</v>
      </c>
      <c r="I106" s="18" t="s">
        <v>42</v>
      </c>
      <c r="J106" s="19">
        <v>54</v>
      </c>
    </row>
    <row r="107" spans="1:10" x14ac:dyDescent="0.3">
      <c r="A107" s="25" t="s">
        <v>28</v>
      </c>
      <c r="B107" s="19">
        <v>12</v>
      </c>
      <c r="I107" s="25" t="s">
        <v>28</v>
      </c>
      <c r="J107" s="19">
        <v>20</v>
      </c>
    </row>
    <row r="108" spans="1:10" x14ac:dyDescent="0.3">
      <c r="A108" s="25" t="s">
        <v>41</v>
      </c>
      <c r="B108" s="19">
        <v>12</v>
      </c>
      <c r="I108" s="25" t="s">
        <v>41</v>
      </c>
      <c r="J108" s="19">
        <v>34</v>
      </c>
    </row>
    <row r="109" spans="1:10" x14ac:dyDescent="0.3">
      <c r="A109" s="18" t="s">
        <v>95</v>
      </c>
      <c r="B109" s="19">
        <v>47</v>
      </c>
      <c r="I109" s="18" t="s">
        <v>279</v>
      </c>
      <c r="J109" s="19">
        <v>49</v>
      </c>
    </row>
    <row r="110" spans="1:10" x14ac:dyDescent="0.3">
      <c r="A110" s="25" t="s">
        <v>28</v>
      </c>
      <c r="B110" s="19">
        <v>38</v>
      </c>
      <c r="I110" s="25" t="s">
        <v>28</v>
      </c>
      <c r="J110" s="19">
        <v>32</v>
      </c>
    </row>
    <row r="111" spans="1:10" x14ac:dyDescent="0.3">
      <c r="A111" s="25" t="s">
        <v>41</v>
      </c>
      <c r="B111" s="19">
        <v>9</v>
      </c>
      <c r="I111" s="25" t="s">
        <v>41</v>
      </c>
      <c r="J111" s="19">
        <v>17</v>
      </c>
    </row>
    <row r="112" spans="1:10" x14ac:dyDescent="0.3">
      <c r="A112" s="18" t="s">
        <v>125</v>
      </c>
      <c r="B112" s="19">
        <v>59</v>
      </c>
      <c r="I112" s="18" t="s">
        <v>324</v>
      </c>
      <c r="J112" s="19">
        <v>79</v>
      </c>
    </row>
    <row r="113" spans="1:13" x14ac:dyDescent="0.3">
      <c r="A113" s="25" t="s">
        <v>28</v>
      </c>
      <c r="B113" s="19">
        <v>37</v>
      </c>
      <c r="I113" s="25" t="s">
        <v>28</v>
      </c>
      <c r="J113" s="19">
        <v>39</v>
      </c>
    </row>
    <row r="114" spans="1:13" x14ac:dyDescent="0.3">
      <c r="A114" s="25" t="s">
        <v>41</v>
      </c>
      <c r="B114" s="19">
        <v>22</v>
      </c>
      <c r="D114" s="23" t="s">
        <v>12</v>
      </c>
      <c r="E114">
        <f>IFERROR(GETPIVOTDATA("SLA",$A$105,"ACTIVITY","AR"),0)</f>
        <v>24</v>
      </c>
      <c r="I114" s="25" t="s">
        <v>41</v>
      </c>
      <c r="J114" s="19">
        <v>40</v>
      </c>
    </row>
    <row r="115" spans="1:13" x14ac:dyDescent="0.3">
      <c r="A115" s="18" t="s">
        <v>183</v>
      </c>
      <c r="B115" s="19">
        <v>78</v>
      </c>
      <c r="D115" s="23" t="s">
        <v>95</v>
      </c>
      <c r="E115">
        <f>IFERROR(GETPIVOTDATA("SLA",$A$105,"ACTIVITY","ATA &amp; ATD updates"),0)</f>
        <v>47</v>
      </c>
      <c r="I115" s="18" t="s">
        <v>392</v>
      </c>
      <c r="J115" s="19">
        <v>409</v>
      </c>
      <c r="L115" s="24" t="s">
        <v>461</v>
      </c>
      <c r="M115" s="19" t="s">
        <v>462</v>
      </c>
    </row>
    <row r="116" spans="1:13" x14ac:dyDescent="0.3">
      <c r="A116" s="25" t="s">
        <v>28</v>
      </c>
      <c r="B116" s="19">
        <v>24</v>
      </c>
      <c r="D116" s="23" t="s">
        <v>183</v>
      </c>
      <c r="E116">
        <f>IFERROR(GETPIVOTDATA("SLA",$A$105,"ACTIVITY","Due diligence"),0)</f>
        <v>78</v>
      </c>
      <c r="I116" s="15" t="s">
        <v>391</v>
      </c>
      <c r="J116" t="s">
        <v>460</v>
      </c>
      <c r="L116" s="18" t="str">
        <f>I117</f>
        <v>BDCGP</v>
      </c>
      <c r="M116" s="19">
        <f>VLOOKUP(L116,$I$117:$J$133,2,0)</f>
        <v>37</v>
      </c>
    </row>
    <row r="117" spans="1:13" x14ac:dyDescent="0.3">
      <c r="A117" s="25" t="s">
        <v>41</v>
      </c>
      <c r="B117" s="19">
        <v>54</v>
      </c>
      <c r="D117" s="23" t="s">
        <v>262</v>
      </c>
      <c r="E117">
        <f>IFERROR(GETPIVOTDATA("SLA",$A$105,"ACTIVITY","ETD extension"),0)</f>
        <v>19</v>
      </c>
      <c r="I117" s="16" t="s">
        <v>49</v>
      </c>
      <c r="J117">
        <v>37</v>
      </c>
      <c r="L117" s="18" t="str">
        <f>I118</f>
        <v>INCCU</v>
      </c>
      <c r="M117" s="19">
        <f t="shared" ref="M117:M125" si="3">VLOOKUP(L117,$I$117:$J$133,2,0)</f>
        <v>50</v>
      </c>
    </row>
    <row r="118" spans="1:13" x14ac:dyDescent="0.3">
      <c r="A118" s="18" t="s">
        <v>262</v>
      </c>
      <c r="B118" s="19">
        <v>19</v>
      </c>
      <c r="D118" s="23" t="s">
        <v>42</v>
      </c>
      <c r="E118">
        <f>IFERROR(GETPIVOTDATA("SLA",$A$105,"ACTIVITY","TDR"),0)</f>
        <v>54</v>
      </c>
      <c r="I118" s="16" t="s">
        <v>19</v>
      </c>
      <c r="J118">
        <v>50</v>
      </c>
      <c r="L118" s="18" t="str">
        <f t="shared" ref="L118:L125" si="4">I119</f>
        <v>INCOK</v>
      </c>
      <c r="M118" s="19">
        <f t="shared" si="3"/>
        <v>28</v>
      </c>
    </row>
    <row r="119" spans="1:13" x14ac:dyDescent="0.3">
      <c r="A119" s="25" t="s">
        <v>28</v>
      </c>
      <c r="B119" s="19">
        <v>18</v>
      </c>
      <c r="D119" s="23" t="s">
        <v>279</v>
      </c>
      <c r="E119">
        <f>IFERROR(GETPIVOTDATA("SLA",$A$105,"ACTIVITY","Vessel creation"),0)</f>
        <v>49</v>
      </c>
      <c r="I119" s="16" t="s">
        <v>26</v>
      </c>
      <c r="J119">
        <v>28</v>
      </c>
      <c r="L119" s="18" t="str">
        <f t="shared" si="4"/>
        <v>INKAT</v>
      </c>
      <c r="M119" s="19">
        <f t="shared" si="3"/>
        <v>2</v>
      </c>
    </row>
    <row r="120" spans="1:13" x14ac:dyDescent="0.3">
      <c r="A120" s="25" t="s">
        <v>41</v>
      </c>
      <c r="B120" s="19">
        <v>1</v>
      </c>
      <c r="I120" s="16" t="s">
        <v>36</v>
      </c>
      <c r="J120">
        <v>2</v>
      </c>
      <c r="L120" s="18" t="str">
        <f t="shared" si="4"/>
        <v>INMAA</v>
      </c>
      <c r="M120" s="19">
        <f t="shared" si="3"/>
        <v>57</v>
      </c>
    </row>
    <row r="121" spans="1:13" x14ac:dyDescent="0.3">
      <c r="A121" s="18" t="s">
        <v>42</v>
      </c>
      <c r="B121" s="19">
        <v>54</v>
      </c>
      <c r="E121">
        <f>SUM(E114:E119)</f>
        <v>271</v>
      </c>
      <c r="I121" s="16" t="s">
        <v>17</v>
      </c>
      <c r="J121">
        <v>57</v>
      </c>
      <c r="L121" s="18" t="str">
        <f t="shared" si="4"/>
        <v>INMUN</v>
      </c>
      <c r="M121" s="19">
        <f t="shared" si="3"/>
        <v>1</v>
      </c>
    </row>
    <row r="122" spans="1:13" x14ac:dyDescent="0.3">
      <c r="A122" s="25" t="s">
        <v>28</v>
      </c>
      <c r="B122" s="19">
        <v>20</v>
      </c>
      <c r="I122" s="16" t="s">
        <v>27</v>
      </c>
      <c r="J122">
        <v>1</v>
      </c>
      <c r="L122" s="18" t="str">
        <f t="shared" si="4"/>
        <v>INTUT</v>
      </c>
      <c r="M122" s="19">
        <f t="shared" si="3"/>
        <v>41</v>
      </c>
    </row>
    <row r="123" spans="1:13" x14ac:dyDescent="0.3">
      <c r="A123" s="25" t="s">
        <v>41</v>
      </c>
      <c r="B123" s="19">
        <v>34</v>
      </c>
      <c r="I123" s="16" t="s">
        <v>23</v>
      </c>
      <c r="J123">
        <v>41</v>
      </c>
      <c r="L123" s="18" t="str">
        <f t="shared" si="4"/>
        <v>INVIZ</v>
      </c>
      <c r="M123" s="19">
        <f t="shared" si="3"/>
        <v>26</v>
      </c>
    </row>
    <row r="124" spans="1:13" x14ac:dyDescent="0.3">
      <c r="A124" s="18" t="s">
        <v>279</v>
      </c>
      <c r="B124" s="19">
        <v>49</v>
      </c>
      <c r="I124" s="16" t="s">
        <v>38</v>
      </c>
      <c r="J124">
        <v>26</v>
      </c>
      <c r="L124" s="18" t="str">
        <f t="shared" si="4"/>
        <v>INVTZ</v>
      </c>
      <c r="M124" s="19">
        <f t="shared" si="3"/>
        <v>6</v>
      </c>
    </row>
    <row r="125" spans="1:13" x14ac:dyDescent="0.3">
      <c r="A125" s="18" t="s">
        <v>324</v>
      </c>
      <c r="B125" s="19">
        <v>79</v>
      </c>
      <c r="I125" s="16" t="s">
        <v>51</v>
      </c>
      <c r="J125">
        <v>6</v>
      </c>
      <c r="L125" s="18" t="str">
        <f t="shared" si="4"/>
        <v>LKCMB</v>
      </c>
      <c r="M125" s="19">
        <f t="shared" si="3"/>
        <v>50</v>
      </c>
    </row>
    <row r="126" spans="1:13" x14ac:dyDescent="0.3">
      <c r="A126" s="25" t="s">
        <v>28</v>
      </c>
      <c r="B126" s="19">
        <v>39</v>
      </c>
      <c r="I126" s="16" t="s">
        <v>14</v>
      </c>
      <c r="J126">
        <v>50</v>
      </c>
      <c r="L126" s="18" t="str">
        <f>I129</f>
        <v>REEL service</v>
      </c>
      <c r="M126" s="19">
        <f>VLOOKUP(L126,$I$117:$J$133,2,0)</f>
        <v>50</v>
      </c>
    </row>
    <row r="127" spans="1:13" x14ac:dyDescent="0.3">
      <c r="A127" s="25" t="s">
        <v>41</v>
      </c>
      <c r="B127" s="19">
        <v>40</v>
      </c>
      <c r="D127">
        <f>IFERROR(GETPIVOTDATA("SLA",$A$105,"ACTIVITY","WDR"),0)</f>
        <v>79</v>
      </c>
      <c r="E127">
        <f>IFERROR(SUM(D127:D128),0)</f>
        <v>138</v>
      </c>
      <c r="I127" s="16" t="s">
        <v>68</v>
      </c>
      <c r="J127">
        <v>30</v>
      </c>
      <c r="L127" s="18" t="str">
        <f>I131</f>
        <v>RUNVS</v>
      </c>
      <c r="M127" s="19">
        <f>VLOOKUP(L127,$I$117:$J$133,2,0)</f>
        <v>1</v>
      </c>
    </row>
    <row r="128" spans="1:13" x14ac:dyDescent="0.3">
      <c r="A128" s="18" t="s">
        <v>392</v>
      </c>
      <c r="B128" s="19">
        <v>409</v>
      </c>
      <c r="D128">
        <f>GETPIVOTDATA("SLA",$A$105,"ACTIVITY","D&amp;D")</f>
        <v>59</v>
      </c>
      <c r="I128" s="16" t="s">
        <v>185</v>
      </c>
      <c r="J128">
        <v>2</v>
      </c>
      <c r="L128" s="18" t="str">
        <f>I132</f>
        <v>SEA LEAD</v>
      </c>
      <c r="M128" s="19">
        <f>VLOOKUP(L128,$I$117:$J$133,2,0)</f>
        <v>10</v>
      </c>
    </row>
    <row r="129" spans="9:10" x14ac:dyDescent="0.3">
      <c r="I129" s="16" t="s">
        <v>198</v>
      </c>
      <c r="J129">
        <v>50</v>
      </c>
    </row>
    <row r="130" spans="9:10" x14ac:dyDescent="0.3">
      <c r="I130" s="16" t="s">
        <v>286</v>
      </c>
      <c r="J130">
        <v>2</v>
      </c>
    </row>
    <row r="131" spans="9:10" x14ac:dyDescent="0.3">
      <c r="I131" s="16" t="s">
        <v>284</v>
      </c>
      <c r="J131">
        <v>1</v>
      </c>
    </row>
    <row r="132" spans="9:10" x14ac:dyDescent="0.3">
      <c r="I132" s="16" t="s">
        <v>188</v>
      </c>
      <c r="J132">
        <v>10</v>
      </c>
    </row>
    <row r="133" spans="9:10" x14ac:dyDescent="0.3">
      <c r="I133" s="16" t="s">
        <v>234</v>
      </c>
      <c r="J133">
        <v>16</v>
      </c>
    </row>
    <row r="134" spans="9:10" x14ac:dyDescent="0.3">
      <c r="I134" s="16" t="s">
        <v>392</v>
      </c>
      <c r="J134">
        <v>409</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661EF-FD71-490B-BF10-82D96EB7792C}">
  <sheetPr>
    <tabColor theme="2"/>
  </sheetPr>
  <dimension ref="A1"/>
  <sheetViews>
    <sheetView tabSelected="1" zoomScale="90" zoomScaleNormal="90" workbookViewId="0">
      <selection activeCell="R33" sqref="R33"/>
    </sheetView>
  </sheetViews>
  <sheetFormatPr defaultRowHeight="14.4" x14ac:dyDescent="0.3"/>
  <cols>
    <col min="1" max="16384" width="8.88671875" style="2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7F3B4-47A6-4EB0-85B9-4C26BCC6522F}">
  <dimension ref="A3:W25"/>
  <sheetViews>
    <sheetView workbookViewId="0">
      <selection activeCell="A11" sqref="A11:B14"/>
    </sheetView>
  </sheetViews>
  <sheetFormatPr defaultRowHeight="14.4" x14ac:dyDescent="0.3"/>
  <cols>
    <col min="1" max="1" width="12.44140625" bestFit="1" customWidth="1"/>
    <col min="2" max="2" width="15.5546875" bestFit="1" customWidth="1"/>
    <col min="3" max="5" width="15.5546875" customWidth="1"/>
    <col min="10" max="10" width="12.109375" bestFit="1" customWidth="1"/>
    <col min="11" max="18" width="12.109375" customWidth="1"/>
  </cols>
  <sheetData>
    <row r="3" spans="1:23" x14ac:dyDescent="0.3">
      <c r="A3" s="15" t="s">
        <v>391</v>
      </c>
      <c r="B3" t="s">
        <v>393</v>
      </c>
      <c r="D3">
        <v>0.1</v>
      </c>
      <c r="I3" s="19" t="s">
        <v>394</v>
      </c>
      <c r="J3" s="39">
        <f>IFERROR(GETPIVOTDATA("ACTIVITY",$A$3,"TAT2","OFF SLA","ACTIVITY","AR"),0)</f>
        <v>10</v>
      </c>
      <c r="K3" s="40">
        <f>IFERROR(J3/($J$3+$J$4),0)</f>
        <v>0.41666666666666669</v>
      </c>
      <c r="L3" s="40"/>
      <c r="M3" s="19" t="s">
        <v>394</v>
      </c>
      <c r="N3" s="39">
        <f>K3</f>
        <v>0.41666666666666669</v>
      </c>
      <c r="O3" s="37"/>
      <c r="P3" s="37"/>
      <c r="Q3" s="37"/>
      <c r="R3" s="37"/>
      <c r="S3" s="32" t="s">
        <v>398</v>
      </c>
    </row>
    <row r="4" spans="1:23" x14ac:dyDescent="0.3">
      <c r="A4" s="16" t="s">
        <v>12</v>
      </c>
      <c r="B4">
        <v>24</v>
      </c>
      <c r="D4">
        <f>IFERROR(GETPIVOTDATA("ACTIVITY",$A$3,"TAT2","OFF SLA","ACTIVITY","AR"),0)</f>
        <v>10</v>
      </c>
      <c r="I4" s="19" t="s">
        <v>394</v>
      </c>
      <c r="J4" s="39">
        <f>IFERROR(GETPIVOTDATA("ACTIVITY",$A$3,"TAT2","ON SLA","ACTIVITY","AR"),0)</f>
        <v>14</v>
      </c>
      <c r="K4" s="40">
        <f>IFERROR(J4/($J$3+$J$4),0)</f>
        <v>0.58333333333333337</v>
      </c>
      <c r="L4" s="40"/>
      <c r="M4" s="19" t="s">
        <v>394</v>
      </c>
      <c r="N4" s="39">
        <f t="shared" ref="N4:N6" si="0">K4</f>
        <v>0.58333333333333337</v>
      </c>
      <c r="O4" s="37"/>
      <c r="P4" s="37"/>
      <c r="Q4" s="37"/>
      <c r="R4" s="37"/>
      <c r="S4" s="32" t="s">
        <v>398</v>
      </c>
    </row>
    <row r="5" spans="1:23" x14ac:dyDescent="0.3">
      <c r="A5" s="20" t="s">
        <v>395</v>
      </c>
      <c r="B5">
        <v>10</v>
      </c>
      <c r="I5" s="19"/>
      <c r="J5" s="28"/>
      <c r="K5" s="40">
        <f>SUM(K3:K4)</f>
        <v>1</v>
      </c>
      <c r="L5" s="40"/>
      <c r="M5" s="19" t="s">
        <v>412</v>
      </c>
      <c r="N5" s="39">
        <f t="shared" si="0"/>
        <v>1</v>
      </c>
      <c r="O5" s="37">
        <f>IFERROR(N6/($N$6+$N$5),0)</f>
        <v>0</v>
      </c>
      <c r="P5" s="35"/>
      <c r="Q5" s="35"/>
      <c r="R5" s="35"/>
      <c r="S5" s="32" t="s">
        <v>403</v>
      </c>
    </row>
    <row r="6" spans="1:23" x14ac:dyDescent="0.3">
      <c r="A6" s="20" t="s">
        <v>396</v>
      </c>
      <c r="B6">
        <v>14</v>
      </c>
      <c r="I6" s="19"/>
      <c r="J6" s="28"/>
      <c r="K6" s="40"/>
      <c r="L6" s="40"/>
      <c r="M6" s="19" t="s">
        <v>412</v>
      </c>
      <c r="N6" s="39">
        <f t="shared" si="0"/>
        <v>0</v>
      </c>
      <c r="O6" s="37">
        <f>IFERROR(N7/($N$6+$N$5),0)</f>
        <v>2</v>
      </c>
      <c r="P6" s="35"/>
      <c r="Q6" s="35"/>
      <c r="R6" s="35"/>
      <c r="S6" s="32" t="s">
        <v>404</v>
      </c>
    </row>
    <row r="7" spans="1:23" x14ac:dyDescent="0.3">
      <c r="A7" s="16" t="s">
        <v>392</v>
      </c>
      <c r="B7">
        <v>24</v>
      </c>
      <c r="I7" s="19"/>
      <c r="J7" s="19"/>
      <c r="K7" s="19"/>
      <c r="L7" s="19"/>
      <c r="M7" s="19" t="s">
        <v>414</v>
      </c>
      <c r="N7" s="19">
        <v>2</v>
      </c>
      <c r="S7" s="32" t="s">
        <v>405</v>
      </c>
    </row>
    <row r="8" spans="1:23" x14ac:dyDescent="0.3">
      <c r="I8" s="19" t="s">
        <v>415</v>
      </c>
      <c r="J8" s="19"/>
      <c r="K8" s="19"/>
      <c r="L8" s="19"/>
      <c r="M8" s="43"/>
      <c r="N8" s="37"/>
      <c r="O8">
        <v>100</v>
      </c>
      <c r="S8" s="32" t="s">
        <v>406</v>
      </c>
    </row>
    <row r="9" spans="1:23" x14ac:dyDescent="0.3">
      <c r="S9" s="32" t="s">
        <v>407</v>
      </c>
    </row>
    <row r="10" spans="1:23" x14ac:dyDescent="0.3">
      <c r="M10" s="19" t="s">
        <v>394</v>
      </c>
      <c r="N10" s="40" cm="1">
        <f t="array" ref="N10:N13">N3:N6</f>
        <v>0.41666666666666669</v>
      </c>
      <c r="O10" s="19" t="s">
        <v>394</v>
      </c>
      <c r="P10" s="38">
        <f>N3*O8</f>
        <v>41.666666666666671</v>
      </c>
    </row>
    <row r="11" spans="1:23" x14ac:dyDescent="0.3">
      <c r="A11" s="15" t="s">
        <v>391</v>
      </c>
      <c r="B11" t="s">
        <v>393</v>
      </c>
      <c r="J11" s="19"/>
      <c r="K11" s="39"/>
      <c r="L11" s="41"/>
      <c r="M11" s="19" t="s">
        <v>394</v>
      </c>
      <c r="N11" s="40">
        <v>0.58333333333333337</v>
      </c>
      <c r="O11" s="19" t="s">
        <v>394</v>
      </c>
      <c r="P11" s="38">
        <f>N4*O8</f>
        <v>58.333333333333336</v>
      </c>
      <c r="S11" s="31" t="s">
        <v>402</v>
      </c>
      <c r="T11" s="19"/>
      <c r="V11" s="29" t="s">
        <v>408</v>
      </c>
      <c r="W11" s="35">
        <f>T12</f>
        <v>16.666666666666664</v>
      </c>
    </row>
    <row r="12" spans="1:23" x14ac:dyDescent="0.3">
      <c r="A12" s="16" t="s">
        <v>12</v>
      </c>
      <c r="B12">
        <v>24</v>
      </c>
      <c r="G12" s="19" t="s">
        <v>394</v>
      </c>
      <c r="H12" s="19">
        <f>GETPIVOTDATA("ACTIVITY",$A$3)</f>
        <v>24</v>
      </c>
      <c r="J12" s="19"/>
      <c r="K12" s="39"/>
      <c r="L12" s="41"/>
      <c r="M12" s="19" t="s">
        <v>412</v>
      </c>
      <c r="N12" s="40">
        <v>1</v>
      </c>
      <c r="O12" s="19" t="s">
        <v>412</v>
      </c>
      <c r="P12" s="38">
        <f>N5*O8</f>
        <v>100</v>
      </c>
      <c r="S12" s="32" t="s">
        <v>398</v>
      </c>
      <c r="T12" s="19">
        <f>H15*H16</f>
        <v>16.666666666666664</v>
      </c>
      <c r="V12" s="29" t="s">
        <v>409</v>
      </c>
      <c r="W12">
        <v>2</v>
      </c>
    </row>
    <row r="13" spans="1:23" x14ac:dyDescent="0.3">
      <c r="A13" s="20" t="s">
        <v>395</v>
      </c>
      <c r="B13">
        <v>10</v>
      </c>
      <c r="G13" s="19" t="s">
        <v>412</v>
      </c>
      <c r="H13" s="19">
        <f>SUM(B5:B6)/H12</f>
        <v>1</v>
      </c>
      <c r="J13" s="19"/>
      <c r="K13" s="28"/>
      <c r="L13" s="35"/>
      <c r="M13" s="19" t="s">
        <v>412</v>
      </c>
      <c r="N13" s="40">
        <v>0</v>
      </c>
      <c r="O13" s="19" t="s">
        <v>412</v>
      </c>
      <c r="P13" s="38">
        <f>N6*O8</f>
        <v>0</v>
      </c>
      <c r="S13" s="32" t="s">
        <v>403</v>
      </c>
      <c r="T13" s="19">
        <v>15</v>
      </c>
      <c r="V13" s="29" t="s">
        <v>406</v>
      </c>
      <c r="W13">
        <f>T17-SUM(W11:W12)</f>
        <v>181.33333333333334</v>
      </c>
    </row>
    <row r="14" spans="1:23" x14ac:dyDescent="0.3">
      <c r="A14" s="20" t="s">
        <v>396</v>
      </c>
      <c r="B14">
        <v>14</v>
      </c>
      <c r="G14" s="19" t="s">
        <v>414</v>
      </c>
      <c r="H14" s="19">
        <v>6</v>
      </c>
      <c r="J14" s="19"/>
      <c r="K14" s="28"/>
      <c r="L14" s="35"/>
      <c r="M14" s="32" t="s">
        <v>403</v>
      </c>
      <c r="N14" s="19">
        <v>15</v>
      </c>
      <c r="P14" s="19">
        <v>15</v>
      </c>
      <c r="S14" s="32" t="s">
        <v>404</v>
      </c>
      <c r="T14" s="19">
        <v>35</v>
      </c>
    </row>
    <row r="15" spans="1:23" x14ac:dyDescent="0.3">
      <c r="A15" s="16" t="s">
        <v>392</v>
      </c>
      <c r="B15">
        <v>24</v>
      </c>
      <c r="G15" s="19" t="s">
        <v>413</v>
      </c>
      <c r="H15" s="28">
        <f>H13/H14</f>
        <v>0.16666666666666666</v>
      </c>
      <c r="J15" s="19"/>
      <c r="K15" s="19"/>
      <c r="M15" s="32" t="s">
        <v>404</v>
      </c>
      <c r="N15" s="19">
        <v>35</v>
      </c>
      <c r="P15" s="19">
        <v>35</v>
      </c>
      <c r="S15" s="32" t="s">
        <v>405</v>
      </c>
      <c r="T15" s="19">
        <v>50</v>
      </c>
    </row>
    <row r="16" spans="1:23" x14ac:dyDescent="0.3">
      <c r="G16" s="19" t="s">
        <v>415</v>
      </c>
      <c r="H16" s="19">
        <v>100</v>
      </c>
      <c r="J16" s="19" t="s">
        <v>415</v>
      </c>
      <c r="K16" s="19"/>
      <c r="M16" s="32" t="s">
        <v>405</v>
      </c>
      <c r="N16" s="19">
        <v>50</v>
      </c>
      <c r="P16" s="19">
        <v>50</v>
      </c>
      <c r="S16" s="32" t="s">
        <v>406</v>
      </c>
      <c r="T16" s="19">
        <v>100</v>
      </c>
    </row>
    <row r="17" spans="13:20" x14ac:dyDescent="0.3">
      <c r="M17" s="32" t="s">
        <v>406</v>
      </c>
      <c r="N17" s="19">
        <v>100</v>
      </c>
      <c r="P17" s="19">
        <v>100</v>
      </c>
      <c r="S17" s="32" t="s">
        <v>407</v>
      </c>
      <c r="T17" s="19">
        <v>200</v>
      </c>
    </row>
    <row r="18" spans="13:20" x14ac:dyDescent="0.3">
      <c r="M18" s="32" t="s">
        <v>407</v>
      </c>
      <c r="N18" s="19">
        <v>200</v>
      </c>
      <c r="P18" s="19">
        <v>200</v>
      </c>
    </row>
    <row r="20" spans="13:20" x14ac:dyDescent="0.3">
      <c r="M20" s="19" t="s">
        <v>394</v>
      </c>
      <c r="N20" s="36" cm="1">
        <f t="array" ref="N20:N23">_xlfn.ANCHORARRAY(N10)</f>
        <v>0.41666666666666669</v>
      </c>
      <c r="O20" s="19" t="s">
        <v>394</v>
      </c>
      <c r="P20" s="44">
        <v>-50</v>
      </c>
    </row>
    <row r="21" spans="13:20" x14ac:dyDescent="0.3">
      <c r="M21" s="19" t="s">
        <v>394</v>
      </c>
      <c r="N21" s="37">
        <v>0.58333333333333337</v>
      </c>
      <c r="O21" s="19" t="s">
        <v>394</v>
      </c>
      <c r="P21" s="44">
        <f>P11</f>
        <v>58.333333333333336</v>
      </c>
    </row>
    <row r="22" spans="13:20" x14ac:dyDescent="0.3">
      <c r="M22" s="19" t="s">
        <v>412</v>
      </c>
      <c r="N22" s="37">
        <v>1</v>
      </c>
      <c r="O22" s="19" t="s">
        <v>412</v>
      </c>
      <c r="P22" s="44">
        <f>P12</f>
        <v>100</v>
      </c>
    </row>
    <row r="23" spans="13:20" x14ac:dyDescent="0.3">
      <c r="M23" s="19" t="s">
        <v>412</v>
      </c>
      <c r="N23" s="37">
        <v>0</v>
      </c>
      <c r="O23" s="19" t="s">
        <v>412</v>
      </c>
      <c r="P23" s="44">
        <f>P13</f>
        <v>0</v>
      </c>
    </row>
    <row r="24" spans="13:20" x14ac:dyDescent="0.3">
      <c r="M24" s="29" t="s">
        <v>409</v>
      </c>
      <c r="N24">
        <v>2</v>
      </c>
      <c r="O24" s="19" t="s">
        <v>419</v>
      </c>
      <c r="P24" s="19">
        <v>2</v>
      </c>
    </row>
    <row r="25" spans="13:20" x14ac:dyDescent="0.3">
      <c r="M25" s="29" t="s">
        <v>406</v>
      </c>
      <c r="N25" s="36">
        <f>N18-SUM(_xlfn.ANCHORARRAY(N20))</f>
        <v>198</v>
      </c>
      <c r="O25" s="19" t="s">
        <v>420</v>
      </c>
      <c r="P25" s="44">
        <f>P18-SUM(P20:P23)</f>
        <v>91.666666666666657</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3F7C-75A1-4A1E-A787-37B84F7E0B6A}">
  <dimension ref="A1:K35"/>
  <sheetViews>
    <sheetView topLeftCell="B1" workbookViewId="0">
      <selection activeCell="P131" sqref="P131"/>
    </sheetView>
  </sheetViews>
  <sheetFormatPr defaultRowHeight="14.4" x14ac:dyDescent="0.3"/>
  <cols>
    <col min="1" max="1" width="12.44140625" bestFit="1" customWidth="1"/>
    <col min="2" max="2" width="12" bestFit="1" customWidth="1"/>
    <col min="8" max="8" width="11.6640625" customWidth="1"/>
  </cols>
  <sheetData>
    <row r="1" spans="1:11" x14ac:dyDescent="0.3">
      <c r="A1" t="s">
        <v>421</v>
      </c>
    </row>
    <row r="3" spans="1:11" x14ac:dyDescent="0.3">
      <c r="A3" s="15" t="s">
        <v>391</v>
      </c>
      <c r="B3" t="s">
        <v>397</v>
      </c>
    </row>
    <row r="4" spans="1:11" x14ac:dyDescent="0.3">
      <c r="A4" s="16" t="s">
        <v>42</v>
      </c>
      <c r="B4">
        <v>34</v>
      </c>
    </row>
    <row r="5" spans="1:11" x14ac:dyDescent="0.3">
      <c r="A5" s="20" t="s">
        <v>395</v>
      </c>
      <c r="B5">
        <v>6</v>
      </c>
      <c r="D5">
        <f>GETPIVOTDATA("TAT2",$A$3,"TAT2","OFF SLA","ACTIVITY","TDR")</f>
        <v>6</v>
      </c>
      <c r="E5" s="37">
        <f>IFERROR(D5/($D$5+$D$6),0)</f>
        <v>0.17647058823529413</v>
      </c>
    </row>
    <row r="6" spans="1:11" x14ac:dyDescent="0.3">
      <c r="A6" s="20" t="s">
        <v>396</v>
      </c>
      <c r="B6">
        <v>28</v>
      </c>
      <c r="D6">
        <f>GETPIVOTDATA("TAT2",$A$3,"TAT2","ON SLA","ACTIVITY","TDR")</f>
        <v>28</v>
      </c>
      <c r="E6" s="37">
        <f>IFERROR(D6/($D$5+$D$6),0)</f>
        <v>0.82352941176470584</v>
      </c>
    </row>
    <row r="7" spans="1:11" x14ac:dyDescent="0.3">
      <c r="A7" s="16" t="s">
        <v>392</v>
      </c>
      <c r="B7">
        <v>34</v>
      </c>
      <c r="E7" s="36">
        <v>1</v>
      </c>
    </row>
    <row r="11" spans="1:11" x14ac:dyDescent="0.3">
      <c r="E11" s="19" t="s">
        <v>394</v>
      </c>
      <c r="F11" s="19">
        <f>GETPIVOTDATA("TAT2",$A$3)</f>
        <v>34</v>
      </c>
      <c r="H11" s="31" t="s">
        <v>402</v>
      </c>
      <c r="I11" s="19"/>
    </row>
    <row r="12" spans="1:11" x14ac:dyDescent="0.3">
      <c r="E12" s="19" t="s">
        <v>412</v>
      </c>
      <c r="F12" s="19">
        <f>SUM(B5:B6)/GETPIVOTDATA("TAT2",$A$3)</f>
        <v>1</v>
      </c>
      <c r="H12" s="32" t="s">
        <v>398</v>
      </c>
      <c r="I12" s="19">
        <f>F14*F15</f>
        <v>50</v>
      </c>
    </row>
    <row r="13" spans="1:11" x14ac:dyDescent="0.3">
      <c r="E13" s="19" t="s">
        <v>414</v>
      </c>
      <c r="F13" s="19">
        <v>2</v>
      </c>
      <c r="H13" s="32" t="s">
        <v>403</v>
      </c>
      <c r="I13" s="19">
        <v>15</v>
      </c>
      <c r="J13" s="32" t="s">
        <v>408</v>
      </c>
      <c r="K13" s="19">
        <f>I12</f>
        <v>50</v>
      </c>
    </row>
    <row r="14" spans="1:11" x14ac:dyDescent="0.3">
      <c r="E14" s="19" t="s">
        <v>413</v>
      </c>
      <c r="F14" s="19">
        <f>F12/F13</f>
        <v>0.5</v>
      </c>
      <c r="H14" s="32" t="s">
        <v>404</v>
      </c>
      <c r="I14" s="19">
        <v>35</v>
      </c>
      <c r="J14" s="32" t="s">
        <v>409</v>
      </c>
      <c r="K14" s="19">
        <v>2</v>
      </c>
    </row>
    <row r="15" spans="1:11" x14ac:dyDescent="0.3">
      <c r="E15" s="19" t="s">
        <v>415</v>
      </c>
      <c r="F15" s="19">
        <v>100</v>
      </c>
      <c r="H15" s="32" t="s">
        <v>405</v>
      </c>
      <c r="I15" s="19">
        <v>50</v>
      </c>
      <c r="J15" s="29" t="s">
        <v>406</v>
      </c>
      <c r="K15">
        <f>I17-SUM(K13:K14)</f>
        <v>148</v>
      </c>
    </row>
    <row r="16" spans="1:11" x14ac:dyDescent="0.3">
      <c r="H16" s="32" t="s">
        <v>406</v>
      </c>
      <c r="I16" s="19">
        <v>100</v>
      </c>
    </row>
    <row r="17" spans="1:9" x14ac:dyDescent="0.3">
      <c r="H17" s="32" t="s">
        <v>407</v>
      </c>
      <c r="I17" s="19">
        <v>200</v>
      </c>
    </row>
    <row r="18" spans="1:9" x14ac:dyDescent="0.3">
      <c r="A18" s="77"/>
      <c r="B18" s="78"/>
    </row>
    <row r="19" spans="1:9" x14ac:dyDescent="0.3">
      <c r="A19" s="79"/>
      <c r="B19" s="80"/>
    </row>
    <row r="20" spans="1:9" x14ac:dyDescent="0.3">
      <c r="A20" s="79"/>
      <c r="B20" s="80"/>
      <c r="C20" t="e">
        <f>GETPIVOTDATA("TAT2",$A$18,"TAT2","OFF SLA","ACTIVITY","ATA &amp; ATD updates")</f>
        <v>#REF!</v>
      </c>
      <c r="D20" s="37">
        <f>IFERROR(C20/($C$20+$C$21),0)</f>
        <v>0</v>
      </c>
    </row>
    <row r="21" spans="1:9" x14ac:dyDescent="0.3">
      <c r="A21" s="79"/>
      <c r="B21" s="80"/>
      <c r="C21" t="e">
        <f>GETPIVOTDATA("TAT2",$A$18,"TAT2","ON SLA","ACTIVITY","ATA &amp; ATD updates")</f>
        <v>#REF!</v>
      </c>
      <c r="D21" s="37">
        <f>IFERROR(C21/($C$20+$C$21),0)</f>
        <v>0</v>
      </c>
    </row>
    <row r="22" spans="1:9" x14ac:dyDescent="0.3">
      <c r="A22" s="79"/>
      <c r="B22" s="80"/>
      <c r="D22" s="36">
        <v>1</v>
      </c>
    </row>
    <row r="23" spans="1:9" x14ac:dyDescent="0.3">
      <c r="A23" s="79"/>
      <c r="B23" s="80"/>
    </row>
    <row r="24" spans="1:9" x14ac:dyDescent="0.3">
      <c r="A24" s="79"/>
      <c r="B24" s="80"/>
    </row>
    <row r="25" spans="1:9" x14ac:dyDescent="0.3">
      <c r="A25" s="79"/>
      <c r="B25" s="80"/>
    </row>
    <row r="26" spans="1:9" x14ac:dyDescent="0.3">
      <c r="A26" s="79"/>
      <c r="B26" s="80"/>
    </row>
    <row r="27" spans="1:9" x14ac:dyDescent="0.3">
      <c r="A27" s="79"/>
      <c r="B27" s="80"/>
    </row>
    <row r="28" spans="1:9" x14ac:dyDescent="0.3">
      <c r="A28" s="79"/>
      <c r="B28" s="80"/>
    </row>
    <row r="29" spans="1:9" x14ac:dyDescent="0.3">
      <c r="A29" s="79"/>
      <c r="B29" s="80"/>
    </row>
    <row r="30" spans="1:9" x14ac:dyDescent="0.3">
      <c r="A30" s="79"/>
      <c r="B30" s="80"/>
    </row>
    <row r="31" spans="1:9" x14ac:dyDescent="0.3">
      <c r="A31" s="79"/>
      <c r="B31" s="80"/>
    </row>
    <row r="32" spans="1:9" x14ac:dyDescent="0.3">
      <c r="A32" s="79"/>
      <c r="B32" s="80"/>
    </row>
    <row r="33" spans="1:2" x14ac:dyDescent="0.3">
      <c r="A33" s="79"/>
      <c r="B33" s="80"/>
    </row>
    <row r="34" spans="1:2" x14ac:dyDescent="0.3">
      <c r="A34" s="79"/>
      <c r="B34" s="80"/>
    </row>
    <row r="35" spans="1:2" x14ac:dyDescent="0.3">
      <c r="A35" s="81"/>
      <c r="B35" s="82"/>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62ECF-1934-44D6-8BDC-494779C66D47}">
  <dimension ref="A1:L410"/>
  <sheetViews>
    <sheetView topLeftCell="A398" zoomScale="90" zoomScaleNormal="90" workbookViewId="0">
      <selection activeCell="J199" sqref="J199"/>
    </sheetView>
  </sheetViews>
  <sheetFormatPr defaultRowHeight="14.4" x14ac:dyDescent="0.3"/>
  <cols>
    <col min="3" max="3" width="24.44140625" customWidth="1"/>
    <col min="4" max="4" width="18" customWidth="1"/>
    <col min="6" max="6" width="10.77734375" customWidth="1"/>
    <col min="7" max="7" width="15.33203125" customWidth="1"/>
    <col min="8" max="8" width="12.77734375" customWidth="1"/>
    <col min="9" max="9" width="58.21875" customWidth="1"/>
    <col min="10" max="10" width="16.5546875" customWidth="1"/>
    <col min="11" max="11" width="15.77734375" customWidth="1"/>
  </cols>
  <sheetData>
    <row r="1" spans="1:12" ht="15.6" x14ac:dyDescent="0.3">
      <c r="A1" s="1" t="s">
        <v>0</v>
      </c>
      <c r="B1" s="1" t="s">
        <v>1</v>
      </c>
      <c r="C1" s="2" t="s">
        <v>2</v>
      </c>
      <c r="D1" s="3" t="s">
        <v>3</v>
      </c>
      <c r="E1" s="1" t="s">
        <v>4</v>
      </c>
      <c r="F1" s="4" t="s">
        <v>5</v>
      </c>
      <c r="G1" s="1" t="s">
        <v>6</v>
      </c>
      <c r="H1" s="4" t="s">
        <v>7</v>
      </c>
      <c r="I1" s="1" t="s">
        <v>8</v>
      </c>
      <c r="J1" s="4" t="s">
        <v>9</v>
      </c>
      <c r="K1" s="4" t="s">
        <v>10</v>
      </c>
      <c r="L1" s="4" t="s">
        <v>11</v>
      </c>
    </row>
    <row r="2" spans="1:12" x14ac:dyDescent="0.3">
      <c r="A2" s="5" t="str">
        <f t="shared" ref="A2:A13" si="0">TEXT(D2,"mmm")</f>
        <v>Nov</v>
      </c>
      <c r="B2" s="6">
        <f t="shared" ref="B2:B13" si="1">WEEKNUM(D2)</f>
        <v>45</v>
      </c>
      <c r="C2" s="5">
        <v>45603.512499999997</v>
      </c>
      <c r="D2" s="5">
        <v>45603.529166666704</v>
      </c>
      <c r="E2" s="7">
        <f t="shared" ref="E2:E64" si="2">D2-C2</f>
        <v>1.6666666706441902E-2</v>
      </c>
      <c r="F2" s="8" t="str">
        <f>IF(E2&lt;3,  "ON SLA", "OFF SAL")</f>
        <v>ON SLA</v>
      </c>
      <c r="G2" s="9" t="s">
        <v>12</v>
      </c>
      <c r="H2" s="10">
        <v>8.3333333333333329E-2</v>
      </c>
      <c r="I2" s="9" t="s">
        <v>13</v>
      </c>
      <c r="J2" s="9" t="s">
        <v>14</v>
      </c>
      <c r="K2" s="9" t="s">
        <v>15</v>
      </c>
      <c r="L2" s="6"/>
    </row>
    <row r="3" spans="1:12" x14ac:dyDescent="0.3">
      <c r="A3" s="5" t="str">
        <f t="shared" si="0"/>
        <v>Nov</v>
      </c>
      <c r="B3" s="6">
        <f t="shared" si="1"/>
        <v>45</v>
      </c>
      <c r="C3" s="5">
        <v>45603.534722222197</v>
      </c>
      <c r="D3" s="5">
        <v>45603.6027777778</v>
      </c>
      <c r="E3" s="7">
        <f t="shared" si="2"/>
        <v>6.8055555602768436E-2</v>
      </c>
      <c r="F3" s="8" t="str">
        <f>IF(E3&lt;3,  "ON SLA", "OFF SAL")</f>
        <v>ON SLA</v>
      </c>
      <c r="G3" s="9" t="s">
        <v>12</v>
      </c>
      <c r="H3" s="10">
        <v>8.3333333333333329E-2</v>
      </c>
      <c r="I3" s="9" t="s">
        <v>16</v>
      </c>
      <c r="J3" s="9" t="s">
        <v>17</v>
      </c>
      <c r="K3" s="9" t="s">
        <v>15</v>
      </c>
      <c r="L3" s="6"/>
    </row>
    <row r="4" spans="1:12" x14ac:dyDescent="0.3">
      <c r="A4" s="5" t="str">
        <f t="shared" si="0"/>
        <v>Nov</v>
      </c>
      <c r="B4" s="6">
        <f t="shared" si="1"/>
        <v>45</v>
      </c>
      <c r="C4" s="5">
        <v>45603.635416666701</v>
      </c>
      <c r="D4" s="5">
        <v>45603.642361111102</v>
      </c>
      <c r="E4" s="7">
        <f t="shared" si="2"/>
        <v>6.9444444015971385E-3</v>
      </c>
      <c r="F4" s="8" t="str">
        <f>IF(E4&lt;3,  "ON SLA", "OFF SAL")</f>
        <v>ON SLA</v>
      </c>
      <c r="G4" s="9" t="s">
        <v>12</v>
      </c>
      <c r="H4" s="10">
        <v>8.3333333333333329E-2</v>
      </c>
      <c r="I4" s="9" t="s">
        <v>13</v>
      </c>
      <c r="J4" s="9" t="s">
        <v>14</v>
      </c>
      <c r="K4" s="9" t="s">
        <v>15</v>
      </c>
      <c r="L4" s="6"/>
    </row>
    <row r="5" spans="1:12" x14ac:dyDescent="0.3">
      <c r="A5" s="5" t="str">
        <f t="shared" si="0"/>
        <v>Nov</v>
      </c>
      <c r="B5" s="6">
        <f t="shared" si="1"/>
        <v>45</v>
      </c>
      <c r="C5" s="5">
        <v>45604.538194444402</v>
      </c>
      <c r="D5" s="5">
        <v>45604.565972222197</v>
      </c>
      <c r="E5" s="7">
        <f t="shared" si="2"/>
        <v>2.7777777795563452E-2</v>
      </c>
      <c r="F5" s="8" t="str">
        <f>IF(E5&lt;3,  "ON SLA", "OFF SAL")</f>
        <v>ON SLA</v>
      </c>
      <c r="G5" s="9" t="s">
        <v>12</v>
      </c>
      <c r="H5" s="10">
        <v>8.3333333333333329E-2</v>
      </c>
      <c r="I5" s="9" t="s">
        <v>18</v>
      </c>
      <c r="J5" s="9" t="s">
        <v>19</v>
      </c>
      <c r="K5" s="9" t="s">
        <v>15</v>
      </c>
      <c r="L5" s="6"/>
    </row>
    <row r="6" spans="1:12" x14ac:dyDescent="0.3">
      <c r="A6" s="5" t="str">
        <f t="shared" si="0"/>
        <v>Nov</v>
      </c>
      <c r="B6" s="6">
        <f t="shared" si="1"/>
        <v>46</v>
      </c>
      <c r="C6" s="5">
        <v>45604.792361111096</v>
      </c>
      <c r="D6" s="5">
        <v>45607.393750000003</v>
      </c>
      <c r="E6" s="7">
        <f t="shared" si="2"/>
        <v>2.6013888889065129</v>
      </c>
      <c r="F6" s="8" t="str">
        <f>IF(E6&gt;3,  "ON SLA", "OFF SLA")</f>
        <v>OFF SLA</v>
      </c>
      <c r="G6" s="9" t="s">
        <v>12</v>
      </c>
      <c r="H6" s="10">
        <v>8.3333333333333329E-2</v>
      </c>
      <c r="I6" s="9" t="s">
        <v>18</v>
      </c>
      <c r="J6" s="9" t="s">
        <v>19</v>
      </c>
      <c r="K6" s="9" t="s">
        <v>15</v>
      </c>
      <c r="L6" s="6"/>
    </row>
    <row r="7" spans="1:12" x14ac:dyDescent="0.3">
      <c r="A7" s="5" t="str">
        <f t="shared" si="0"/>
        <v>Nov</v>
      </c>
      <c r="B7" s="6">
        <f t="shared" si="1"/>
        <v>46</v>
      </c>
      <c r="C7" s="5">
        <v>45610.495138888902</v>
      </c>
      <c r="D7" s="5">
        <v>45610.526388888902</v>
      </c>
      <c r="E7" s="7">
        <f t="shared" si="2"/>
        <v>3.125E-2</v>
      </c>
      <c r="F7" s="8" t="str">
        <f>IF(E7&lt;3,  "ON SLA", "OFF SAL")</f>
        <v>ON SLA</v>
      </c>
      <c r="G7" s="9" t="s">
        <v>12</v>
      </c>
      <c r="H7" s="10">
        <v>8.3333333333333329E-2</v>
      </c>
      <c r="I7" s="9" t="s">
        <v>20</v>
      </c>
      <c r="J7" s="9" t="s">
        <v>17</v>
      </c>
      <c r="K7" s="9" t="s">
        <v>15</v>
      </c>
      <c r="L7" s="6"/>
    </row>
    <row r="8" spans="1:12" x14ac:dyDescent="0.3">
      <c r="A8" s="5" t="str">
        <f t="shared" si="0"/>
        <v>Nov</v>
      </c>
      <c r="B8" s="6">
        <f t="shared" si="1"/>
        <v>46</v>
      </c>
      <c r="C8" s="5">
        <v>45610.661805555603</v>
      </c>
      <c r="D8" s="5">
        <v>45610.665972222203</v>
      </c>
      <c r="E8" s="7">
        <f t="shared" si="2"/>
        <v>4.1666666002129205E-3</v>
      </c>
      <c r="F8" s="8" t="str">
        <f>IF(E8&lt;3,  "ON SLA", "OFF SAL")</f>
        <v>ON SLA</v>
      </c>
      <c r="G8" s="9" t="s">
        <v>12</v>
      </c>
      <c r="H8" s="10">
        <v>8.3333333333333329E-2</v>
      </c>
      <c r="I8" s="9" t="s">
        <v>21</v>
      </c>
      <c r="J8" s="9" t="s">
        <v>17</v>
      </c>
      <c r="K8" s="9" t="s">
        <v>15</v>
      </c>
      <c r="L8" s="6"/>
    </row>
    <row r="9" spans="1:12" x14ac:dyDescent="0.3">
      <c r="A9" s="5" t="str">
        <f t="shared" si="0"/>
        <v>Nov</v>
      </c>
      <c r="B9" s="6">
        <f t="shared" si="1"/>
        <v>46</v>
      </c>
      <c r="C9" s="5">
        <v>45611.55</v>
      </c>
      <c r="D9" s="5">
        <v>45611.685416666704</v>
      </c>
      <c r="E9" s="7">
        <f t="shared" si="2"/>
        <v>0.13541666670062114</v>
      </c>
      <c r="F9" s="8" t="str">
        <f t="shared" ref="F9:F10" si="3">IF(E9&gt;3,  "ON SLA", "OFF SLA")</f>
        <v>OFF SLA</v>
      </c>
      <c r="G9" s="9" t="s">
        <v>12</v>
      </c>
      <c r="H9" s="10">
        <v>8.3333333333333329E-2</v>
      </c>
      <c r="I9" s="9" t="s">
        <v>21</v>
      </c>
      <c r="J9" s="9" t="s">
        <v>17</v>
      </c>
      <c r="K9" s="9" t="s">
        <v>15</v>
      </c>
      <c r="L9" s="6"/>
    </row>
    <row r="10" spans="1:12" x14ac:dyDescent="0.3">
      <c r="A10" s="5" t="str">
        <f t="shared" si="0"/>
        <v>Nov</v>
      </c>
      <c r="B10" s="6">
        <f t="shared" si="1"/>
        <v>47</v>
      </c>
      <c r="C10" s="5">
        <v>45619.481249999997</v>
      </c>
      <c r="D10" s="5">
        <v>45619.615277777797</v>
      </c>
      <c r="E10" s="7">
        <f t="shared" si="2"/>
        <v>0.13402777779992903</v>
      </c>
      <c r="F10" s="8" t="str">
        <f t="shared" si="3"/>
        <v>OFF SLA</v>
      </c>
      <c r="G10" s="9" t="s">
        <v>12</v>
      </c>
      <c r="H10" s="10">
        <v>8.3333333333333329E-2</v>
      </c>
      <c r="I10" s="9" t="s">
        <v>22</v>
      </c>
      <c r="J10" s="9" t="s">
        <v>23</v>
      </c>
      <c r="K10" s="9" t="s">
        <v>15</v>
      </c>
      <c r="L10" s="6"/>
    </row>
    <row r="11" spans="1:12" x14ac:dyDescent="0.3">
      <c r="A11" s="5" t="str">
        <f t="shared" si="0"/>
        <v>Nov</v>
      </c>
      <c r="B11" s="6">
        <f t="shared" si="1"/>
        <v>48</v>
      </c>
      <c r="C11" s="5">
        <v>45623.460416666698</v>
      </c>
      <c r="D11" s="5">
        <v>45623.4777777778</v>
      </c>
      <c r="E11" s="7">
        <f t="shared" si="2"/>
        <v>1.7361111102218274E-2</v>
      </c>
      <c r="F11" s="8" t="str">
        <f>IF(E11&lt;3,  "ON SLA", "OFF SAL")</f>
        <v>ON SLA</v>
      </c>
      <c r="G11" s="9" t="s">
        <v>12</v>
      </c>
      <c r="H11" s="10">
        <v>8.3333333333333329E-2</v>
      </c>
      <c r="I11" s="9" t="s">
        <v>24</v>
      </c>
      <c r="J11" s="9" t="s">
        <v>17</v>
      </c>
      <c r="K11" s="9" t="s">
        <v>15</v>
      </c>
      <c r="L11" s="6"/>
    </row>
    <row r="12" spans="1:12" x14ac:dyDescent="0.3">
      <c r="A12" s="5" t="str">
        <f t="shared" si="0"/>
        <v>Nov</v>
      </c>
      <c r="B12" s="6">
        <f t="shared" si="1"/>
        <v>48</v>
      </c>
      <c r="C12" s="5">
        <v>45624.4555555556</v>
      </c>
      <c r="D12" s="5">
        <v>45624.460416666698</v>
      </c>
      <c r="E12" s="7">
        <f t="shared" si="2"/>
        <v>4.8611110978526995E-3</v>
      </c>
      <c r="F12" s="8" t="str">
        <f>IF(E12&lt;3,  "ON SLA", "OFF SAL")</f>
        <v>ON SLA</v>
      </c>
      <c r="G12" s="9" t="s">
        <v>12</v>
      </c>
      <c r="H12" s="10">
        <v>8.3333333333333329E-2</v>
      </c>
      <c r="I12" s="9" t="s">
        <v>25</v>
      </c>
      <c r="J12" s="9" t="s">
        <v>26</v>
      </c>
      <c r="K12" s="9" t="s">
        <v>15</v>
      </c>
      <c r="L12" s="6"/>
    </row>
    <row r="13" spans="1:12" x14ac:dyDescent="0.3">
      <c r="A13" s="5" t="str">
        <f t="shared" si="0"/>
        <v>Nov</v>
      </c>
      <c r="B13" s="6">
        <f t="shared" si="1"/>
        <v>48</v>
      </c>
      <c r="C13" s="5">
        <v>45625.420833333301</v>
      </c>
      <c r="D13" s="5">
        <v>45625.515972222202</v>
      </c>
      <c r="E13" s="7">
        <f t="shared" si="2"/>
        <v>9.5138888900692109E-2</v>
      </c>
      <c r="F13" s="8" t="str">
        <f t="shared" ref="F13:F14" si="4">IF(E13&gt;3,  "ON SLA", "OFF SLA")</f>
        <v>OFF SLA</v>
      </c>
      <c r="G13" s="9" t="s">
        <v>12</v>
      </c>
      <c r="H13" s="10">
        <v>8.3333333333333329E-2</v>
      </c>
      <c r="I13" s="9" t="s">
        <v>25</v>
      </c>
      <c r="J13" s="9" t="s">
        <v>27</v>
      </c>
      <c r="K13" s="9" t="s">
        <v>15</v>
      </c>
      <c r="L13" s="6"/>
    </row>
    <row r="14" spans="1:12" x14ac:dyDescent="0.3">
      <c r="A14" s="5" t="s">
        <v>28</v>
      </c>
      <c r="B14" s="6">
        <v>40</v>
      </c>
      <c r="C14" s="5">
        <v>45569.945138888892</v>
      </c>
      <c r="D14" s="5">
        <v>45570.798611111109</v>
      </c>
      <c r="E14" s="7">
        <f t="shared" si="2"/>
        <v>0.85347222221753327</v>
      </c>
      <c r="F14" s="8" t="str">
        <f t="shared" si="4"/>
        <v>OFF SLA</v>
      </c>
      <c r="G14" s="9" t="s">
        <v>12</v>
      </c>
      <c r="H14" s="10">
        <v>8.3333333333333329E-2</v>
      </c>
      <c r="I14" s="9" t="s">
        <v>29</v>
      </c>
      <c r="J14" s="9" t="s">
        <v>17</v>
      </c>
      <c r="K14" s="9" t="s">
        <v>30</v>
      </c>
      <c r="L14" s="6"/>
    </row>
    <row r="15" spans="1:12" x14ac:dyDescent="0.3">
      <c r="A15" s="5" t="s">
        <v>28</v>
      </c>
      <c r="B15" s="6">
        <v>41</v>
      </c>
      <c r="C15" s="5">
        <v>45574.741666666669</v>
      </c>
      <c r="D15" s="5">
        <v>45574.761111111111</v>
      </c>
      <c r="E15" s="7">
        <f t="shared" si="2"/>
        <v>1.9444444442342501E-2</v>
      </c>
      <c r="F15" s="8" t="str">
        <f>IF(E15&lt;3,  "ON SLA", "OFF SAL")</f>
        <v>ON SLA</v>
      </c>
      <c r="G15" s="9" t="s">
        <v>12</v>
      </c>
      <c r="H15" s="10">
        <v>8.3333333333333329E-2</v>
      </c>
      <c r="I15" s="9" t="s">
        <v>31</v>
      </c>
      <c r="J15" s="9" t="s">
        <v>17</v>
      </c>
      <c r="K15" s="9" t="s">
        <v>30</v>
      </c>
      <c r="L15" s="6"/>
    </row>
    <row r="16" spans="1:12" x14ac:dyDescent="0.3">
      <c r="A16" s="5" t="s">
        <v>28</v>
      </c>
      <c r="B16" s="6">
        <v>41</v>
      </c>
      <c r="C16" s="5">
        <v>45575.613888888889</v>
      </c>
      <c r="D16" s="5">
        <v>45575.620833333334</v>
      </c>
      <c r="E16" s="7">
        <f t="shared" si="2"/>
        <v>6.9444444452528842E-3</v>
      </c>
      <c r="F16" s="8" t="str">
        <f>IF(E16&lt;3,  "ON SLA", "OFF SAL")</f>
        <v>ON SLA</v>
      </c>
      <c r="G16" s="9" t="s">
        <v>12</v>
      </c>
      <c r="H16" s="10">
        <v>8.3333333333333329E-2</v>
      </c>
      <c r="I16" s="9" t="s">
        <v>32</v>
      </c>
      <c r="J16" s="9" t="s">
        <v>26</v>
      </c>
      <c r="K16" s="9" t="s">
        <v>30</v>
      </c>
      <c r="L16" s="6"/>
    </row>
    <row r="17" spans="1:12" x14ac:dyDescent="0.3">
      <c r="A17" s="5" t="s">
        <v>28</v>
      </c>
      <c r="B17" s="6">
        <v>42</v>
      </c>
      <c r="C17" s="5">
        <v>45578.430555555555</v>
      </c>
      <c r="D17" s="5">
        <v>45578.784722222219</v>
      </c>
      <c r="E17" s="7">
        <f t="shared" si="2"/>
        <v>0.35416666666424135</v>
      </c>
      <c r="F17" s="8" t="str">
        <f>IF(E17&gt;3,  "ON SLA", "OFF SLA")</f>
        <v>OFF SLA</v>
      </c>
      <c r="G17" s="9" t="s">
        <v>12</v>
      </c>
      <c r="H17" s="10">
        <v>8.3333333333333329E-2</v>
      </c>
      <c r="I17" s="9" t="s">
        <v>33</v>
      </c>
      <c r="J17" s="9" t="s">
        <v>17</v>
      </c>
      <c r="K17" s="9" t="s">
        <v>30</v>
      </c>
      <c r="L17" s="6"/>
    </row>
    <row r="18" spans="1:12" x14ac:dyDescent="0.3">
      <c r="A18" s="5" t="s">
        <v>28</v>
      </c>
      <c r="B18" s="6">
        <v>42</v>
      </c>
      <c r="C18" s="5">
        <v>45579.380555555559</v>
      </c>
      <c r="D18" s="5">
        <v>45579.453472222223</v>
      </c>
      <c r="E18" s="7">
        <f t="shared" si="2"/>
        <v>7.2916666664241347E-2</v>
      </c>
      <c r="F18" s="8" t="str">
        <f>IF(E18&lt;3,  "ON SLA", "OFF SAL")</f>
        <v>ON SLA</v>
      </c>
      <c r="G18" s="9" t="s">
        <v>12</v>
      </c>
      <c r="H18" s="10">
        <v>8.3333333333333329E-2</v>
      </c>
      <c r="I18" s="9" t="s">
        <v>34</v>
      </c>
      <c r="J18" s="9" t="s">
        <v>17</v>
      </c>
      <c r="K18" s="9" t="s">
        <v>30</v>
      </c>
      <c r="L18" s="6"/>
    </row>
    <row r="19" spans="1:12" x14ac:dyDescent="0.3">
      <c r="A19" s="5" t="s">
        <v>28</v>
      </c>
      <c r="B19" s="6">
        <v>42</v>
      </c>
      <c r="C19" s="5">
        <v>45578.89166666667</v>
      </c>
      <c r="D19" s="5">
        <v>45579.458333333336</v>
      </c>
      <c r="E19" s="7">
        <f t="shared" si="2"/>
        <v>0.56666666666569654</v>
      </c>
      <c r="F19" s="8" t="str">
        <f t="shared" ref="F19:F20" si="5">IF(E19&gt;3,  "ON SLA", "OFF SLA")</f>
        <v>OFF SLA</v>
      </c>
      <c r="G19" s="9" t="s">
        <v>12</v>
      </c>
      <c r="H19" s="10">
        <v>8.3333333333333329E-2</v>
      </c>
      <c r="I19" s="9" t="s">
        <v>33</v>
      </c>
      <c r="J19" s="9" t="s">
        <v>17</v>
      </c>
      <c r="K19" s="9" t="s">
        <v>30</v>
      </c>
      <c r="L19" s="6"/>
    </row>
    <row r="20" spans="1:12" x14ac:dyDescent="0.3">
      <c r="A20" s="5" t="s">
        <v>28</v>
      </c>
      <c r="B20" s="6">
        <v>42</v>
      </c>
      <c r="C20" s="5">
        <v>45578.802083333336</v>
      </c>
      <c r="D20" s="5">
        <v>45579.508333333331</v>
      </c>
      <c r="E20" s="7">
        <f t="shared" si="2"/>
        <v>0.70624999999563443</v>
      </c>
      <c r="F20" s="8" t="str">
        <f t="shared" si="5"/>
        <v>OFF SLA</v>
      </c>
      <c r="G20" s="9" t="s">
        <v>12</v>
      </c>
      <c r="H20" s="10">
        <v>8.3333333333333329E-2</v>
      </c>
      <c r="I20" s="9" t="s">
        <v>35</v>
      </c>
      <c r="J20" s="9" t="s">
        <v>36</v>
      </c>
      <c r="K20" s="9" t="s">
        <v>30</v>
      </c>
      <c r="L20" s="6"/>
    </row>
    <row r="21" spans="1:12" x14ac:dyDescent="0.3">
      <c r="A21" s="5" t="s">
        <v>28</v>
      </c>
      <c r="B21" s="6">
        <v>42</v>
      </c>
      <c r="C21" s="5">
        <v>45579.585416666669</v>
      </c>
      <c r="D21" s="5">
        <v>45579.62222222222</v>
      </c>
      <c r="E21" s="7">
        <f t="shared" si="2"/>
        <v>3.6805555551836733E-2</v>
      </c>
      <c r="F21" s="8" t="str">
        <f>IF(E21&lt;3,  "ON SLA", "OFF SAL")</f>
        <v>ON SLA</v>
      </c>
      <c r="G21" s="9" t="s">
        <v>12</v>
      </c>
      <c r="H21" s="10">
        <v>8.3333333333333329E-2</v>
      </c>
      <c r="I21" s="9" t="s">
        <v>35</v>
      </c>
      <c r="J21" s="9" t="s">
        <v>36</v>
      </c>
      <c r="K21" s="9" t="s">
        <v>30</v>
      </c>
      <c r="L21" s="6"/>
    </row>
    <row r="22" spans="1:12" x14ac:dyDescent="0.3">
      <c r="A22" s="5" t="s">
        <v>28</v>
      </c>
      <c r="B22" s="6">
        <v>42</v>
      </c>
      <c r="C22" s="5">
        <v>45579.760416666664</v>
      </c>
      <c r="D22" s="5">
        <v>45579.763888888891</v>
      </c>
      <c r="E22" s="7">
        <f t="shared" si="2"/>
        <v>3.4722222262644209E-3</v>
      </c>
      <c r="F22" s="8" t="str">
        <f>IF(E22&lt;3,  "ON SLA", "OFF SAL")</f>
        <v>ON SLA</v>
      </c>
      <c r="G22" s="9" t="s">
        <v>12</v>
      </c>
      <c r="H22" s="10">
        <v>8.3333333333333329E-2</v>
      </c>
      <c r="I22" s="9" t="s">
        <v>37</v>
      </c>
      <c r="J22" s="9" t="s">
        <v>38</v>
      </c>
      <c r="K22" s="9" t="s">
        <v>30</v>
      </c>
      <c r="L22" s="6"/>
    </row>
    <row r="23" spans="1:12" x14ac:dyDescent="0.3">
      <c r="A23" s="5" t="s">
        <v>28</v>
      </c>
      <c r="B23" s="6">
        <v>43</v>
      </c>
      <c r="C23" s="5">
        <v>45588.290277777778</v>
      </c>
      <c r="D23" s="5">
        <v>45588.430555555555</v>
      </c>
      <c r="E23" s="7">
        <f t="shared" si="2"/>
        <v>0.14027777777664596</v>
      </c>
      <c r="F23" s="8" t="str">
        <f>IF(E23&gt;3,  "ON SLA", "OFF SLA")</f>
        <v>OFF SLA</v>
      </c>
      <c r="G23" s="9" t="s">
        <v>12</v>
      </c>
      <c r="H23" s="10">
        <v>8.3333333333333329E-2</v>
      </c>
      <c r="I23" s="9" t="s">
        <v>39</v>
      </c>
      <c r="J23" s="9" t="s">
        <v>17</v>
      </c>
      <c r="K23" s="9" t="s">
        <v>30</v>
      </c>
      <c r="L23" s="6"/>
    </row>
    <row r="24" spans="1:12" x14ac:dyDescent="0.3">
      <c r="A24" s="5" t="s">
        <v>28</v>
      </c>
      <c r="B24" s="6">
        <v>43</v>
      </c>
      <c r="C24" s="5">
        <v>45588.773611111108</v>
      </c>
      <c r="D24" s="5">
        <v>45588.782638888886</v>
      </c>
      <c r="E24" s="7">
        <f t="shared" si="2"/>
        <v>9.0277777781011537E-3</v>
      </c>
      <c r="F24" s="8" t="str">
        <f>IF(E24&lt;3,  "ON SLA", "OFF SAL")</f>
        <v>ON SLA</v>
      </c>
      <c r="G24" s="9" t="s">
        <v>12</v>
      </c>
      <c r="H24" s="10">
        <v>8.3333333333333329E-2</v>
      </c>
      <c r="I24" s="9" t="s">
        <v>39</v>
      </c>
      <c r="J24" s="9" t="s">
        <v>17</v>
      </c>
      <c r="K24" s="9" t="s">
        <v>30</v>
      </c>
      <c r="L24" s="6"/>
    </row>
    <row r="25" spans="1:12" x14ac:dyDescent="0.3">
      <c r="A25" s="5" t="s">
        <v>28</v>
      </c>
      <c r="B25" s="6">
        <v>44</v>
      </c>
      <c r="C25" s="5">
        <v>45590.813888888886</v>
      </c>
      <c r="D25" s="5">
        <v>45592.484027777777</v>
      </c>
      <c r="E25" s="7">
        <f t="shared" si="2"/>
        <v>1.6701388888905058</v>
      </c>
      <c r="F25" s="8" t="str">
        <f t="shared" ref="F25:F26" si="6">IF(E25&gt;3,  "ON SLA", "OFF SLA")</f>
        <v>OFF SLA</v>
      </c>
      <c r="G25" s="9" t="s">
        <v>12</v>
      </c>
      <c r="H25" s="10">
        <v>8.3333333333333329E-2</v>
      </c>
      <c r="I25" s="9" t="s">
        <v>40</v>
      </c>
      <c r="J25" s="9" t="s">
        <v>14</v>
      </c>
      <c r="K25" s="9" t="s">
        <v>30</v>
      </c>
      <c r="L25" s="6"/>
    </row>
    <row r="26" spans="1:12" x14ac:dyDescent="0.3">
      <c r="A26" s="5" t="str">
        <f t="shared" ref="A26:A52" si="7">TEXT(D26,"mmm")</f>
        <v>Nov</v>
      </c>
      <c r="B26" s="6">
        <f t="shared" ref="B26:B52" si="8">WEEKNUM(D26)</f>
        <v>45</v>
      </c>
      <c r="C26" s="5">
        <v>45599.699305555601</v>
      </c>
      <c r="D26" s="5">
        <v>45600.460416666698</v>
      </c>
      <c r="E26" s="7">
        <f t="shared" si="2"/>
        <v>0.76111111109639751</v>
      </c>
      <c r="F26" s="8" t="str">
        <f t="shared" si="6"/>
        <v>OFF SLA</v>
      </c>
      <c r="G26" s="9" t="s">
        <v>42</v>
      </c>
      <c r="H26" s="10">
        <v>8.3333333333333329E-2</v>
      </c>
      <c r="I26" s="9" t="s">
        <v>43</v>
      </c>
      <c r="J26" s="9" t="s">
        <v>26</v>
      </c>
      <c r="K26" s="9" t="s">
        <v>15</v>
      </c>
      <c r="L26" s="6"/>
    </row>
    <row r="27" spans="1:12" x14ac:dyDescent="0.3">
      <c r="A27" s="5" t="str">
        <f t="shared" si="7"/>
        <v>Nov</v>
      </c>
      <c r="B27" s="6">
        <f t="shared" si="8"/>
        <v>45</v>
      </c>
      <c r="C27" s="5">
        <v>45600.53125</v>
      </c>
      <c r="D27" s="5">
        <v>45600.536111111098</v>
      </c>
      <c r="E27" s="7">
        <f t="shared" si="2"/>
        <v>4.8611110978526995E-3</v>
      </c>
      <c r="F27" s="8" t="str">
        <f>IF(E27&lt;3,  "ON SLA", "OFF SAL")</f>
        <v>ON SLA</v>
      </c>
      <c r="G27" s="9" t="s">
        <v>42</v>
      </c>
      <c r="H27" s="10">
        <v>8.3333333333333329E-2</v>
      </c>
      <c r="I27" s="9" t="s">
        <v>44</v>
      </c>
      <c r="J27" s="9" t="s">
        <v>17</v>
      </c>
      <c r="K27" s="9" t="s">
        <v>15</v>
      </c>
      <c r="L27" s="6"/>
    </row>
    <row r="28" spans="1:12" x14ac:dyDescent="0.3">
      <c r="A28" s="5" t="str">
        <f t="shared" si="7"/>
        <v>Nov</v>
      </c>
      <c r="B28" s="6">
        <f t="shared" si="8"/>
        <v>45</v>
      </c>
      <c r="C28" s="5">
        <v>45600.551388888904</v>
      </c>
      <c r="D28" s="5">
        <v>45600.555555555598</v>
      </c>
      <c r="E28" s="7">
        <f t="shared" si="2"/>
        <v>4.1666666948003694E-3</v>
      </c>
      <c r="F28" s="8" t="str">
        <f>IF(E28&lt;3,  "ON SLA", "OFF SAL")</f>
        <v>ON SLA</v>
      </c>
      <c r="G28" s="9" t="s">
        <v>42</v>
      </c>
      <c r="H28" s="10">
        <v>8.3333333333333329E-2</v>
      </c>
      <c r="I28" s="9" t="s">
        <v>45</v>
      </c>
      <c r="J28" s="9" t="s">
        <v>23</v>
      </c>
      <c r="K28" s="9" t="s">
        <v>15</v>
      </c>
      <c r="L28" s="6"/>
    </row>
    <row r="29" spans="1:12" x14ac:dyDescent="0.3">
      <c r="A29" s="5" t="str">
        <f t="shared" si="7"/>
        <v>Nov</v>
      </c>
      <c r="B29" s="6">
        <f t="shared" si="8"/>
        <v>45</v>
      </c>
      <c r="C29" s="5">
        <v>45600.621527777803</v>
      </c>
      <c r="D29" s="5">
        <v>45600.629861111098</v>
      </c>
      <c r="E29" s="7">
        <f t="shared" si="2"/>
        <v>8.3333332950132899E-3</v>
      </c>
      <c r="F29" s="8" t="str">
        <f>IF(E29&lt;3,  "ON SLA", "OFF SAL")</f>
        <v>ON SLA</v>
      </c>
      <c r="G29" s="9" t="s">
        <v>42</v>
      </c>
      <c r="H29" s="10">
        <v>8.3333333333333329E-2</v>
      </c>
      <c r="I29" s="9" t="s">
        <v>46</v>
      </c>
      <c r="J29" s="9" t="s">
        <v>19</v>
      </c>
      <c r="K29" s="9" t="s">
        <v>15</v>
      </c>
      <c r="L29" s="6"/>
    </row>
    <row r="30" spans="1:12" x14ac:dyDescent="0.3">
      <c r="A30" s="5" t="str">
        <f t="shared" si="7"/>
        <v>Nov</v>
      </c>
      <c r="B30" s="6">
        <f t="shared" si="8"/>
        <v>45</v>
      </c>
      <c r="C30" s="5">
        <v>45601.409722222197</v>
      </c>
      <c r="D30" s="5">
        <v>45601.456250000003</v>
      </c>
      <c r="E30" s="7">
        <f t="shared" si="2"/>
        <v>4.6527777805749793E-2</v>
      </c>
      <c r="F30" s="8" t="str">
        <f>IF(E30&lt;3,  "ON SLA", "OFF SAL")</f>
        <v>ON SLA</v>
      </c>
      <c r="G30" s="9" t="s">
        <v>42</v>
      </c>
      <c r="H30" s="10">
        <v>8.3333333333333329E-2</v>
      </c>
      <c r="I30" s="9" t="s">
        <v>47</v>
      </c>
      <c r="J30" s="9" t="s">
        <v>17</v>
      </c>
      <c r="K30" s="9" t="s">
        <v>15</v>
      </c>
      <c r="L30" s="6"/>
    </row>
    <row r="31" spans="1:12" x14ac:dyDescent="0.3">
      <c r="A31" s="5" t="str">
        <f t="shared" si="7"/>
        <v>Nov</v>
      </c>
      <c r="B31" s="6">
        <f t="shared" si="8"/>
        <v>45</v>
      </c>
      <c r="C31" s="5">
        <v>45602.695833333302</v>
      </c>
      <c r="D31" s="5">
        <v>45602.724999999999</v>
      </c>
      <c r="E31" s="7">
        <f t="shared" si="2"/>
        <v>2.9166666696255561E-2</v>
      </c>
      <c r="F31" s="8" t="str">
        <f>IF(E31&lt;3,  "ON SLA", "OFF SAL")</f>
        <v>ON SLA</v>
      </c>
      <c r="G31" s="9" t="s">
        <v>42</v>
      </c>
      <c r="H31" s="10">
        <v>8.3333333333333329E-2</v>
      </c>
      <c r="I31" s="9" t="s">
        <v>48</v>
      </c>
      <c r="J31" s="9" t="s">
        <v>49</v>
      </c>
      <c r="K31" s="9" t="s">
        <v>15</v>
      </c>
      <c r="L31" s="6"/>
    </row>
    <row r="32" spans="1:12" x14ac:dyDescent="0.3">
      <c r="A32" s="5" t="str">
        <f t="shared" si="7"/>
        <v>Nov</v>
      </c>
      <c r="B32" s="6">
        <f t="shared" si="8"/>
        <v>46</v>
      </c>
      <c r="C32" s="5">
        <v>45608.381944444402</v>
      </c>
      <c r="D32" s="5">
        <v>45608.501388888901</v>
      </c>
      <c r="E32" s="7">
        <f t="shared" si="2"/>
        <v>0.11944444449909497</v>
      </c>
      <c r="F32" s="8" t="str">
        <f>IF(E32&gt;3,  "ON SLA", "OFF SLA")</f>
        <v>OFF SLA</v>
      </c>
      <c r="G32" s="9" t="s">
        <v>42</v>
      </c>
      <c r="H32" s="10">
        <v>8.3333333333333329E-2</v>
      </c>
      <c r="I32" s="9" t="s">
        <v>50</v>
      </c>
      <c r="J32" s="9" t="s">
        <v>51</v>
      </c>
      <c r="K32" s="9" t="s">
        <v>15</v>
      </c>
      <c r="L32" s="6"/>
    </row>
    <row r="33" spans="1:12" x14ac:dyDescent="0.3">
      <c r="A33" s="5" t="str">
        <f t="shared" si="7"/>
        <v>Nov</v>
      </c>
      <c r="B33" s="6">
        <f t="shared" si="8"/>
        <v>46</v>
      </c>
      <c r="C33" s="5">
        <v>45600.460416666698</v>
      </c>
      <c r="D33" s="5">
        <v>45608.579166666699</v>
      </c>
      <c r="E33" s="7">
        <f t="shared" si="2"/>
        <v>8.1187500000014552</v>
      </c>
      <c r="F33" s="8" t="str">
        <f>IF(E33&gt;3,  "ON SLA", "OFF SAL")</f>
        <v>ON SLA</v>
      </c>
      <c r="G33" s="9" t="s">
        <v>42</v>
      </c>
      <c r="H33" s="10">
        <v>8.3333333333333329E-2</v>
      </c>
      <c r="I33" s="9" t="s">
        <v>52</v>
      </c>
      <c r="J33" s="9" t="s">
        <v>26</v>
      </c>
      <c r="K33" s="9" t="s">
        <v>15</v>
      </c>
      <c r="L33" s="6"/>
    </row>
    <row r="34" spans="1:12" x14ac:dyDescent="0.3">
      <c r="A34" s="5" t="str">
        <f t="shared" si="7"/>
        <v>Nov</v>
      </c>
      <c r="B34" s="6">
        <f t="shared" si="8"/>
        <v>46</v>
      </c>
      <c r="C34" s="5">
        <v>45609.886805555601</v>
      </c>
      <c r="D34" s="5">
        <v>45609.923611111102</v>
      </c>
      <c r="E34" s="7">
        <f t="shared" si="2"/>
        <v>3.6805555500905029E-2</v>
      </c>
      <c r="F34" s="8" t="str">
        <f t="shared" ref="F34:F42" si="9">IF(E34&lt;3,  "ON SLA", "OFF SAL")</f>
        <v>ON SLA</v>
      </c>
      <c r="G34" s="9" t="s">
        <v>42</v>
      </c>
      <c r="H34" s="10">
        <v>8.3333333333333329E-2</v>
      </c>
      <c r="I34" s="9" t="s">
        <v>53</v>
      </c>
      <c r="J34" s="9" t="s">
        <v>19</v>
      </c>
      <c r="K34" s="9" t="s">
        <v>15</v>
      </c>
      <c r="L34" s="6"/>
    </row>
    <row r="35" spans="1:12" x14ac:dyDescent="0.3">
      <c r="A35" s="5" t="str">
        <f t="shared" si="7"/>
        <v>Nov</v>
      </c>
      <c r="B35" s="6">
        <f t="shared" si="8"/>
        <v>46</v>
      </c>
      <c r="C35" s="5">
        <v>45609.920138888898</v>
      </c>
      <c r="D35" s="5">
        <v>45609.927083333299</v>
      </c>
      <c r="E35" s="7">
        <f t="shared" si="2"/>
        <v>6.9444444015971385E-3</v>
      </c>
      <c r="F35" s="8" t="str">
        <f t="shared" si="9"/>
        <v>ON SLA</v>
      </c>
      <c r="G35" s="9" t="s">
        <v>42</v>
      </c>
      <c r="H35" s="10">
        <v>8.3333333333333329E-2</v>
      </c>
      <c r="I35" s="9" t="s">
        <v>54</v>
      </c>
      <c r="J35" s="9" t="s">
        <v>17</v>
      </c>
      <c r="K35" s="9" t="s">
        <v>15</v>
      </c>
      <c r="L35" s="6"/>
    </row>
    <row r="36" spans="1:12" x14ac:dyDescent="0.3">
      <c r="A36" s="5" t="str">
        <f t="shared" si="7"/>
        <v>Nov</v>
      </c>
      <c r="B36" s="6">
        <f t="shared" si="8"/>
        <v>46</v>
      </c>
      <c r="C36" s="5">
        <v>45610.548611111102</v>
      </c>
      <c r="D36" s="5">
        <v>45610.554166666698</v>
      </c>
      <c r="E36" s="7">
        <f t="shared" si="2"/>
        <v>5.5555555954924785E-3</v>
      </c>
      <c r="F36" s="8" t="str">
        <f t="shared" si="9"/>
        <v>ON SLA</v>
      </c>
      <c r="G36" s="9" t="s">
        <v>42</v>
      </c>
      <c r="H36" s="10">
        <v>8.3333333333333329E-2</v>
      </c>
      <c r="I36" s="9" t="s">
        <v>55</v>
      </c>
      <c r="J36" s="9" t="s">
        <v>49</v>
      </c>
      <c r="K36" s="9" t="s">
        <v>15</v>
      </c>
      <c r="L36" s="6"/>
    </row>
    <row r="37" spans="1:12" x14ac:dyDescent="0.3">
      <c r="A37" s="5" t="str">
        <f t="shared" si="7"/>
        <v>Nov</v>
      </c>
      <c r="B37" s="6">
        <f t="shared" si="8"/>
        <v>46</v>
      </c>
      <c r="C37" s="5">
        <v>45610.556944444397</v>
      </c>
      <c r="D37" s="5">
        <v>45610.607638888898</v>
      </c>
      <c r="E37" s="7">
        <f t="shared" si="2"/>
        <v>5.0694444500550162E-2</v>
      </c>
      <c r="F37" s="8" t="str">
        <f t="shared" si="9"/>
        <v>ON SLA</v>
      </c>
      <c r="G37" s="9" t="s">
        <v>42</v>
      </c>
      <c r="H37" s="10">
        <v>8.3333333333333329E-2</v>
      </c>
      <c r="I37" s="9" t="s">
        <v>53</v>
      </c>
      <c r="J37" s="9" t="s">
        <v>19</v>
      </c>
      <c r="K37" s="9" t="s">
        <v>15</v>
      </c>
      <c r="L37" s="6"/>
    </row>
    <row r="38" spans="1:12" x14ac:dyDescent="0.3">
      <c r="A38" s="5" t="str">
        <f t="shared" si="7"/>
        <v>Nov</v>
      </c>
      <c r="B38" s="6">
        <f t="shared" si="8"/>
        <v>46</v>
      </c>
      <c r="C38" s="5">
        <v>45610.608333333301</v>
      </c>
      <c r="D38" s="5">
        <v>45610.613194444399</v>
      </c>
      <c r="E38" s="7">
        <f t="shared" si="2"/>
        <v>4.8611110978526995E-3</v>
      </c>
      <c r="F38" s="8" t="str">
        <f t="shared" si="9"/>
        <v>ON SLA</v>
      </c>
      <c r="G38" s="9" t="s">
        <v>42</v>
      </c>
      <c r="H38" s="10">
        <v>8.3333333333333329E-2</v>
      </c>
      <c r="I38" s="9" t="s">
        <v>56</v>
      </c>
      <c r="J38" s="9" t="s">
        <v>49</v>
      </c>
      <c r="K38" s="9" t="s">
        <v>15</v>
      </c>
      <c r="L38" s="6"/>
    </row>
    <row r="39" spans="1:12" x14ac:dyDescent="0.3">
      <c r="A39" s="5" t="str">
        <f t="shared" si="7"/>
        <v>Nov</v>
      </c>
      <c r="B39" s="6">
        <f t="shared" si="8"/>
        <v>46</v>
      </c>
      <c r="C39" s="5">
        <v>45610.6027777778</v>
      </c>
      <c r="D39" s="5">
        <v>45610.618055555598</v>
      </c>
      <c r="E39" s="7">
        <f t="shared" si="2"/>
        <v>1.5277777798473835E-2</v>
      </c>
      <c r="F39" s="8" t="str">
        <f t="shared" si="9"/>
        <v>ON SLA</v>
      </c>
      <c r="G39" s="9" t="s">
        <v>42</v>
      </c>
      <c r="H39" s="10">
        <v>8.3333333333333329E-2</v>
      </c>
      <c r="I39" s="9" t="s">
        <v>57</v>
      </c>
      <c r="J39" s="9" t="s">
        <v>51</v>
      </c>
      <c r="K39" s="9" t="s">
        <v>15</v>
      </c>
      <c r="L39" s="6"/>
    </row>
    <row r="40" spans="1:12" x14ac:dyDescent="0.3">
      <c r="A40" s="5" t="str">
        <f t="shared" si="7"/>
        <v>Nov</v>
      </c>
      <c r="B40" s="6">
        <f t="shared" si="8"/>
        <v>46</v>
      </c>
      <c r="C40" s="5">
        <v>45610.625</v>
      </c>
      <c r="D40" s="5">
        <v>45610.629861111098</v>
      </c>
      <c r="E40" s="7">
        <f t="shared" si="2"/>
        <v>4.8611110978526995E-3</v>
      </c>
      <c r="F40" s="8" t="str">
        <f t="shared" si="9"/>
        <v>ON SLA</v>
      </c>
      <c r="G40" s="9" t="s">
        <v>42</v>
      </c>
      <c r="H40" s="10">
        <v>8.3333333333333329E-2</v>
      </c>
      <c r="I40" s="9" t="s">
        <v>58</v>
      </c>
      <c r="J40" s="9" t="s">
        <v>49</v>
      </c>
      <c r="K40" s="9" t="s">
        <v>15</v>
      </c>
      <c r="L40" s="6"/>
    </row>
    <row r="41" spans="1:12" x14ac:dyDescent="0.3">
      <c r="A41" s="5" t="str">
        <f t="shared" si="7"/>
        <v>Nov</v>
      </c>
      <c r="B41" s="6">
        <f t="shared" si="8"/>
        <v>46</v>
      </c>
      <c r="C41" s="5">
        <v>45610.625694444403</v>
      </c>
      <c r="D41" s="5">
        <v>45610.644444444399</v>
      </c>
      <c r="E41" s="7">
        <f t="shared" si="2"/>
        <v>1.8749999995634425E-2</v>
      </c>
      <c r="F41" s="8" t="str">
        <f t="shared" si="9"/>
        <v>ON SLA</v>
      </c>
      <c r="G41" s="9" t="s">
        <v>42</v>
      </c>
      <c r="H41" s="10">
        <v>8.3333333333333329E-2</v>
      </c>
      <c r="I41" s="9" t="s">
        <v>59</v>
      </c>
      <c r="J41" s="9" t="s">
        <v>51</v>
      </c>
      <c r="K41" s="9" t="s">
        <v>15</v>
      </c>
      <c r="L41" s="6"/>
    </row>
    <row r="42" spans="1:12" x14ac:dyDescent="0.3">
      <c r="A42" s="5" t="str">
        <f t="shared" si="7"/>
        <v>Nov</v>
      </c>
      <c r="B42" s="6">
        <f t="shared" si="8"/>
        <v>46</v>
      </c>
      <c r="C42" s="5">
        <v>45611.456944444399</v>
      </c>
      <c r="D42" s="5">
        <v>45611.464583333298</v>
      </c>
      <c r="E42" s="7">
        <f t="shared" si="2"/>
        <v>7.6388888992369175E-3</v>
      </c>
      <c r="F42" s="8" t="str">
        <f t="shared" si="9"/>
        <v>ON SLA</v>
      </c>
      <c r="G42" s="9" t="s">
        <v>42</v>
      </c>
      <c r="H42" s="10">
        <v>8.3333333333333329E-2</v>
      </c>
      <c r="I42" s="9" t="s">
        <v>60</v>
      </c>
      <c r="J42" s="9" t="s">
        <v>14</v>
      </c>
      <c r="K42" s="9" t="s">
        <v>15</v>
      </c>
      <c r="L42" s="6"/>
    </row>
    <row r="43" spans="1:12" x14ac:dyDescent="0.3">
      <c r="A43" s="5" t="str">
        <f t="shared" si="7"/>
        <v>Nov</v>
      </c>
      <c r="B43" s="6">
        <f t="shared" si="8"/>
        <v>46</v>
      </c>
      <c r="C43" s="5">
        <v>45612.490277777797</v>
      </c>
      <c r="D43" s="5">
        <v>45612.736111111102</v>
      </c>
      <c r="E43" s="7">
        <f t="shared" si="2"/>
        <v>0.24583333330519963</v>
      </c>
      <c r="F43" s="8" t="str">
        <f>IF(E43&gt;3,  "ON SLA", "OFF SLA")</f>
        <v>OFF SLA</v>
      </c>
      <c r="G43" s="9" t="s">
        <v>42</v>
      </c>
      <c r="H43" s="10">
        <v>8.3333333333333329E-2</v>
      </c>
      <c r="I43" s="9" t="s">
        <v>61</v>
      </c>
      <c r="J43" s="9" t="s">
        <v>17</v>
      </c>
      <c r="K43" s="9" t="s">
        <v>15</v>
      </c>
      <c r="L43" s="6"/>
    </row>
    <row r="44" spans="1:12" x14ac:dyDescent="0.3">
      <c r="A44" s="5" t="str">
        <f t="shared" si="7"/>
        <v>Nov</v>
      </c>
      <c r="B44" s="6">
        <f t="shared" si="8"/>
        <v>47</v>
      </c>
      <c r="C44" s="5">
        <v>45615.0090277778</v>
      </c>
      <c r="D44" s="5">
        <v>45615.025000000001</v>
      </c>
      <c r="E44" s="7">
        <f t="shared" si="2"/>
        <v>1.5972222201526165E-2</v>
      </c>
      <c r="F44" s="8" t="str">
        <f t="shared" ref="F44:F50" si="10">IF(E44&lt;3,  "ON SLA", "OFF SAL")</f>
        <v>ON SLA</v>
      </c>
      <c r="G44" s="9" t="s">
        <v>42</v>
      </c>
      <c r="H44" s="10">
        <v>8.3333333333333329E-2</v>
      </c>
      <c r="I44" s="9" t="s">
        <v>62</v>
      </c>
      <c r="J44" s="9" t="s">
        <v>26</v>
      </c>
      <c r="K44" s="9" t="s">
        <v>15</v>
      </c>
      <c r="L44" s="6"/>
    </row>
    <row r="45" spans="1:12" x14ac:dyDescent="0.3">
      <c r="A45" s="5" t="str">
        <f t="shared" si="7"/>
        <v>Nov</v>
      </c>
      <c r="B45" s="6">
        <f t="shared" si="8"/>
        <v>47</v>
      </c>
      <c r="C45" s="5">
        <v>45616.435416666704</v>
      </c>
      <c r="D45" s="5">
        <v>45616.4375</v>
      </c>
      <c r="E45" s="7">
        <f t="shared" si="2"/>
        <v>2.0833332964684814E-3</v>
      </c>
      <c r="F45" s="8" t="str">
        <f t="shared" si="10"/>
        <v>ON SLA</v>
      </c>
      <c r="G45" s="9" t="s">
        <v>42</v>
      </c>
      <c r="H45" s="10">
        <v>8.3333333333333329E-2</v>
      </c>
      <c r="I45" s="9" t="s">
        <v>63</v>
      </c>
      <c r="J45" s="9" t="s">
        <v>23</v>
      </c>
      <c r="K45" s="9" t="s">
        <v>15</v>
      </c>
      <c r="L45" s="6"/>
    </row>
    <row r="46" spans="1:12" x14ac:dyDescent="0.3">
      <c r="A46" s="5" t="str">
        <f t="shared" si="7"/>
        <v>Nov</v>
      </c>
      <c r="B46" s="6">
        <f t="shared" si="8"/>
        <v>47</v>
      </c>
      <c r="C46" s="5">
        <v>45617.4375</v>
      </c>
      <c r="D46" s="5">
        <v>45617.506944444402</v>
      </c>
      <c r="E46" s="7">
        <f t="shared" si="2"/>
        <v>6.9444444401597138E-2</v>
      </c>
      <c r="F46" s="8" t="str">
        <f t="shared" si="10"/>
        <v>ON SLA</v>
      </c>
      <c r="G46" s="9" t="s">
        <v>42</v>
      </c>
      <c r="H46" s="10">
        <v>8.3333333333333329E-2</v>
      </c>
      <c r="I46" s="9" t="s">
        <v>64</v>
      </c>
      <c r="J46" s="9" t="s">
        <v>19</v>
      </c>
      <c r="K46" s="9" t="s">
        <v>15</v>
      </c>
      <c r="L46" s="6"/>
    </row>
    <row r="47" spans="1:12" x14ac:dyDescent="0.3">
      <c r="A47" s="5" t="str">
        <f t="shared" si="7"/>
        <v>Nov</v>
      </c>
      <c r="B47" s="6">
        <f t="shared" si="8"/>
        <v>47</v>
      </c>
      <c r="C47" s="5">
        <v>45618.487500000003</v>
      </c>
      <c r="D47" s="5">
        <v>45618.502777777801</v>
      </c>
      <c r="E47" s="7">
        <f t="shared" si="2"/>
        <v>1.5277777798473835E-2</v>
      </c>
      <c r="F47" s="8" t="str">
        <f t="shared" si="10"/>
        <v>ON SLA</v>
      </c>
      <c r="G47" s="9" t="s">
        <v>42</v>
      </c>
      <c r="H47" s="10">
        <v>8.3333333333333329E-2</v>
      </c>
      <c r="I47" s="9" t="s">
        <v>63</v>
      </c>
      <c r="J47" s="9" t="s">
        <v>23</v>
      </c>
      <c r="K47" s="9" t="s">
        <v>15</v>
      </c>
      <c r="L47" s="6"/>
    </row>
    <row r="48" spans="1:12" x14ac:dyDescent="0.3">
      <c r="A48" s="5" t="str">
        <f t="shared" si="7"/>
        <v>Nov</v>
      </c>
      <c r="B48" s="6">
        <f t="shared" si="8"/>
        <v>47</v>
      </c>
      <c r="C48" s="5">
        <v>45619.5625</v>
      </c>
      <c r="D48" s="5">
        <v>45619.593055555597</v>
      </c>
      <c r="E48" s="7">
        <f t="shared" si="2"/>
        <v>3.055555559694767E-2</v>
      </c>
      <c r="F48" s="8" t="str">
        <f t="shared" si="10"/>
        <v>ON SLA</v>
      </c>
      <c r="G48" s="9" t="s">
        <v>42</v>
      </c>
      <c r="H48" s="10">
        <v>8.3333333333333329E-2</v>
      </c>
      <c r="I48" s="9" t="s">
        <v>65</v>
      </c>
      <c r="J48" s="9" t="s">
        <v>23</v>
      </c>
      <c r="K48" s="9" t="s">
        <v>15</v>
      </c>
      <c r="L48" s="6"/>
    </row>
    <row r="49" spans="1:12" x14ac:dyDescent="0.3">
      <c r="A49" s="5" t="str">
        <f t="shared" si="7"/>
        <v>Nov</v>
      </c>
      <c r="B49" s="6">
        <f t="shared" si="8"/>
        <v>48</v>
      </c>
      <c r="C49" s="5">
        <v>45623.456250000003</v>
      </c>
      <c r="D49" s="5">
        <v>45623.470833333296</v>
      </c>
      <c r="E49" s="7">
        <f t="shared" si="2"/>
        <v>1.4583333293558098E-2</v>
      </c>
      <c r="F49" s="8" t="str">
        <f t="shared" si="10"/>
        <v>ON SLA</v>
      </c>
      <c r="G49" s="9" t="s">
        <v>42</v>
      </c>
      <c r="H49" s="10">
        <v>8.3333333333333329E-2</v>
      </c>
      <c r="I49" s="9" t="s">
        <v>66</v>
      </c>
      <c r="J49" s="9" t="s">
        <v>17</v>
      </c>
      <c r="K49" s="9" t="s">
        <v>15</v>
      </c>
      <c r="L49" s="6"/>
    </row>
    <row r="50" spans="1:12" x14ac:dyDescent="0.3">
      <c r="A50" s="5" t="str">
        <f t="shared" si="7"/>
        <v>Nov</v>
      </c>
      <c r="B50" s="6">
        <f t="shared" si="8"/>
        <v>48</v>
      </c>
      <c r="C50" s="5">
        <v>45623.485416666699</v>
      </c>
      <c r="D50" s="5">
        <v>45623.504861111098</v>
      </c>
      <c r="E50" s="7">
        <f t="shared" si="2"/>
        <v>1.9444444398686755E-2</v>
      </c>
      <c r="F50" s="8" t="str">
        <f t="shared" si="10"/>
        <v>ON SLA</v>
      </c>
      <c r="G50" s="9" t="s">
        <v>42</v>
      </c>
      <c r="H50" s="10">
        <v>8.3333333333333329E-2</v>
      </c>
      <c r="I50" s="9" t="s">
        <v>67</v>
      </c>
      <c r="J50" s="9" t="s">
        <v>68</v>
      </c>
      <c r="K50" s="9" t="s">
        <v>15</v>
      </c>
      <c r="L50" s="6"/>
    </row>
    <row r="51" spans="1:12" x14ac:dyDescent="0.3">
      <c r="A51" s="5" t="str">
        <f t="shared" si="7"/>
        <v>Nov</v>
      </c>
      <c r="B51" s="6">
        <f t="shared" si="8"/>
        <v>48</v>
      </c>
      <c r="C51" s="5">
        <v>45624.387499999997</v>
      </c>
      <c r="D51" s="5">
        <v>45624.521527777797</v>
      </c>
      <c r="E51" s="7">
        <f t="shared" si="2"/>
        <v>0.13402777779992903</v>
      </c>
      <c r="F51" s="8" t="str">
        <f>IF(E51&gt;3,  "ON SLA", "OFF SLA")</f>
        <v>OFF SLA</v>
      </c>
      <c r="G51" s="9" t="s">
        <v>42</v>
      </c>
      <c r="H51" s="10">
        <v>8.3333333333333329E-2</v>
      </c>
      <c r="I51" s="9" t="s">
        <v>69</v>
      </c>
      <c r="J51" s="9" t="s">
        <v>68</v>
      </c>
      <c r="K51" s="9" t="s">
        <v>15</v>
      </c>
      <c r="L51" s="6"/>
    </row>
    <row r="52" spans="1:12" x14ac:dyDescent="0.3">
      <c r="A52" s="5" t="str">
        <f t="shared" si="7"/>
        <v>Nov</v>
      </c>
      <c r="B52" s="6">
        <f t="shared" si="8"/>
        <v>48</v>
      </c>
      <c r="C52" s="5">
        <v>45625.433333333298</v>
      </c>
      <c r="D52" s="5">
        <v>45625.436805555597</v>
      </c>
      <c r="E52" s="7">
        <f t="shared" si="2"/>
        <v>3.472222299023997E-3</v>
      </c>
      <c r="F52" s="8" t="str">
        <f>IF(E52&lt;3,  "ON SLA", "OFF SAL")</f>
        <v>ON SLA</v>
      </c>
      <c r="G52" s="9" t="s">
        <v>42</v>
      </c>
      <c r="H52" s="10">
        <v>8.3333333333333329E-2</v>
      </c>
      <c r="I52" s="9" t="s">
        <v>70</v>
      </c>
      <c r="J52" s="9" t="s">
        <v>19</v>
      </c>
      <c r="K52" s="9" t="s">
        <v>15</v>
      </c>
      <c r="L52" s="6"/>
    </row>
    <row r="53" spans="1:12" x14ac:dyDescent="0.3">
      <c r="A53" s="5" t="s">
        <v>28</v>
      </c>
      <c r="B53" s="6">
        <v>40</v>
      </c>
      <c r="C53" s="5">
        <v>45566.788194444445</v>
      </c>
      <c r="D53" s="5">
        <v>45567.44027777778</v>
      </c>
      <c r="E53" s="7">
        <f t="shared" si="2"/>
        <v>0.65208333333430346</v>
      </c>
      <c r="F53" s="8" t="str">
        <f t="shared" ref="F53:F55" si="11">IF(E53&gt;3,  "ON SLA", "OFF SLA")</f>
        <v>OFF SLA</v>
      </c>
      <c r="G53" s="9" t="s">
        <v>42</v>
      </c>
      <c r="H53" s="10">
        <v>8.3333333333333329E-2</v>
      </c>
      <c r="I53" s="9" t="s">
        <v>71</v>
      </c>
      <c r="J53" s="9" t="s">
        <v>38</v>
      </c>
      <c r="K53" s="9" t="s">
        <v>30</v>
      </c>
      <c r="L53" s="6"/>
    </row>
    <row r="54" spans="1:12" x14ac:dyDescent="0.3">
      <c r="A54" s="5" t="s">
        <v>28</v>
      </c>
      <c r="B54" s="6">
        <v>40</v>
      </c>
      <c r="C54" s="5">
        <v>45568.660416666666</v>
      </c>
      <c r="D54" s="5">
        <v>45568.76666666667</v>
      </c>
      <c r="E54" s="7">
        <f t="shared" si="2"/>
        <v>0.10625000000436557</v>
      </c>
      <c r="F54" s="8" t="str">
        <f t="shared" si="11"/>
        <v>OFF SLA</v>
      </c>
      <c r="G54" s="9" t="s">
        <v>42</v>
      </c>
      <c r="H54" s="10">
        <v>8.3333333333333329E-2</v>
      </c>
      <c r="I54" s="9" t="s">
        <v>72</v>
      </c>
      <c r="J54" s="9" t="s">
        <v>17</v>
      </c>
      <c r="K54" s="9" t="s">
        <v>30</v>
      </c>
      <c r="L54" s="6"/>
    </row>
    <row r="55" spans="1:12" x14ac:dyDescent="0.3">
      <c r="A55" s="5" t="s">
        <v>28</v>
      </c>
      <c r="B55" s="6">
        <v>41</v>
      </c>
      <c r="C55" s="5">
        <v>45571.961805555555</v>
      </c>
      <c r="D55" s="5">
        <v>45572.411805555559</v>
      </c>
      <c r="E55" s="7">
        <f t="shared" si="2"/>
        <v>0.45000000000436557</v>
      </c>
      <c r="F55" s="8" t="str">
        <f t="shared" si="11"/>
        <v>OFF SLA</v>
      </c>
      <c r="G55" s="9" t="s">
        <v>42</v>
      </c>
      <c r="H55" s="10">
        <v>8.3333333333333329E-2</v>
      </c>
      <c r="I55" s="9" t="s">
        <v>73</v>
      </c>
      <c r="J55" s="9" t="s">
        <v>26</v>
      </c>
      <c r="K55" s="9" t="s">
        <v>30</v>
      </c>
      <c r="L55" s="6"/>
    </row>
    <row r="56" spans="1:12" x14ac:dyDescent="0.3">
      <c r="A56" s="5" t="s">
        <v>28</v>
      </c>
      <c r="B56" s="6">
        <v>41</v>
      </c>
      <c r="C56" s="5">
        <v>45572.476388888892</v>
      </c>
      <c r="D56" s="5">
        <v>45572.49722222222</v>
      </c>
      <c r="E56" s="7">
        <f t="shared" si="2"/>
        <v>2.0833333328482695E-2</v>
      </c>
      <c r="F56" s="8" t="str">
        <f>IF(E56&lt;3,  "ON SLA", "OFF SAL")</f>
        <v>ON SLA</v>
      </c>
      <c r="G56" s="9" t="s">
        <v>42</v>
      </c>
      <c r="H56" s="10">
        <v>8.3333333333333329E-2</v>
      </c>
      <c r="I56" s="9" t="s">
        <v>74</v>
      </c>
      <c r="J56" s="9" t="s">
        <v>14</v>
      </c>
      <c r="K56" s="9" t="s">
        <v>30</v>
      </c>
      <c r="L56" s="6"/>
    </row>
    <row r="57" spans="1:12" x14ac:dyDescent="0.3">
      <c r="A57" s="5" t="s">
        <v>28</v>
      </c>
      <c r="B57" s="6">
        <v>41</v>
      </c>
      <c r="C57" s="5">
        <v>45572.63958333333</v>
      </c>
      <c r="D57" s="5">
        <v>45573.45416666667</v>
      </c>
      <c r="E57" s="7">
        <f t="shared" si="2"/>
        <v>0.81458333334012423</v>
      </c>
      <c r="F57" s="8" t="str">
        <f>IF(E57&gt;3,  "ON SLA", "OFF SLA")</f>
        <v>OFF SLA</v>
      </c>
      <c r="G57" s="9" t="s">
        <v>42</v>
      </c>
      <c r="H57" s="10">
        <v>8.3333333333333329E-2</v>
      </c>
      <c r="I57" s="9" t="s">
        <v>75</v>
      </c>
      <c r="J57" s="9" t="s">
        <v>19</v>
      </c>
      <c r="K57" s="9" t="s">
        <v>30</v>
      </c>
      <c r="L57" s="6"/>
    </row>
    <row r="58" spans="1:12" x14ac:dyDescent="0.3">
      <c r="A58" s="5" t="s">
        <v>28</v>
      </c>
      <c r="B58" s="6">
        <v>41</v>
      </c>
      <c r="C58" s="5">
        <v>45574.407638888886</v>
      </c>
      <c r="D58" s="5">
        <v>45574.442361111112</v>
      </c>
      <c r="E58" s="7">
        <f t="shared" si="2"/>
        <v>3.4722222226264421E-2</v>
      </c>
      <c r="F58" s="8" t="str">
        <f>IF(E58&lt;3,  "ON SLA", "OFF SAL")</f>
        <v>ON SLA</v>
      </c>
      <c r="G58" s="9" t="s">
        <v>42</v>
      </c>
      <c r="H58" s="10">
        <v>8.3333333333333329E-2</v>
      </c>
      <c r="I58" s="9" t="s">
        <v>76</v>
      </c>
      <c r="J58" s="9" t="s">
        <v>38</v>
      </c>
      <c r="K58" s="9" t="s">
        <v>30</v>
      </c>
      <c r="L58" s="6"/>
    </row>
    <row r="59" spans="1:12" x14ac:dyDescent="0.3">
      <c r="A59" s="5" t="s">
        <v>28</v>
      </c>
      <c r="B59" s="6">
        <v>41</v>
      </c>
      <c r="C59" s="5">
        <v>45574.736805555556</v>
      </c>
      <c r="D59" s="5">
        <v>45574.756944444445</v>
      </c>
      <c r="E59" s="7">
        <f t="shared" si="2"/>
        <v>2.0138888889050577E-2</v>
      </c>
      <c r="F59" s="8" t="str">
        <f>IF(E59&lt;3,  "ON SLA", "OFF SAL")</f>
        <v>ON SLA</v>
      </c>
      <c r="G59" s="9" t="s">
        <v>42</v>
      </c>
      <c r="H59" s="10">
        <v>8.3333333333333329E-2</v>
      </c>
      <c r="I59" s="9" t="s">
        <v>77</v>
      </c>
      <c r="J59" s="9" t="s">
        <v>14</v>
      </c>
      <c r="K59" s="9" t="s">
        <v>30</v>
      </c>
      <c r="L59" s="6"/>
    </row>
    <row r="60" spans="1:12" x14ac:dyDescent="0.3">
      <c r="A60" s="5" t="s">
        <v>28</v>
      </c>
      <c r="B60" s="6">
        <v>41</v>
      </c>
      <c r="C60" s="5">
        <v>45576.325694444444</v>
      </c>
      <c r="D60" s="5">
        <v>45576.495833333334</v>
      </c>
      <c r="E60" s="7">
        <f t="shared" si="2"/>
        <v>0.17013888889050577</v>
      </c>
      <c r="F60" s="8" t="str">
        <f t="shared" ref="F60:F61" si="12">IF(E60&gt;3,  "ON SLA", "OFF SLA")</f>
        <v>OFF SLA</v>
      </c>
      <c r="G60" s="9" t="s">
        <v>42</v>
      </c>
      <c r="H60" s="10">
        <v>8.3333333333333329E-2</v>
      </c>
      <c r="I60" s="9" t="s">
        <v>78</v>
      </c>
      <c r="J60" s="9" t="s">
        <v>19</v>
      </c>
      <c r="K60" s="9" t="s">
        <v>30</v>
      </c>
      <c r="L60" s="6"/>
    </row>
    <row r="61" spans="1:12" x14ac:dyDescent="0.3">
      <c r="A61" s="5" t="s">
        <v>28</v>
      </c>
      <c r="B61" s="6">
        <v>41</v>
      </c>
      <c r="C61" s="5">
        <v>45576.943055555559</v>
      </c>
      <c r="D61" s="5">
        <v>45577.631944444445</v>
      </c>
      <c r="E61" s="7">
        <f t="shared" si="2"/>
        <v>0.68888888888614019</v>
      </c>
      <c r="F61" s="8" t="str">
        <f t="shared" si="12"/>
        <v>OFF SLA</v>
      </c>
      <c r="G61" s="9" t="s">
        <v>42</v>
      </c>
      <c r="H61" s="10">
        <v>8.3333333333333329E-2</v>
      </c>
      <c r="I61" s="9" t="s">
        <v>79</v>
      </c>
      <c r="J61" s="9" t="s">
        <v>23</v>
      </c>
      <c r="K61" s="9" t="s">
        <v>30</v>
      </c>
      <c r="L61" s="6"/>
    </row>
    <row r="62" spans="1:12" x14ac:dyDescent="0.3">
      <c r="A62" s="5" t="s">
        <v>28</v>
      </c>
      <c r="B62" s="6">
        <v>42</v>
      </c>
      <c r="C62" s="5">
        <v>45579.390277777777</v>
      </c>
      <c r="D62" s="5">
        <v>45579.433333333334</v>
      </c>
      <c r="E62" s="7">
        <f t="shared" si="2"/>
        <v>4.3055555557657499E-2</v>
      </c>
      <c r="F62" s="8" t="str">
        <f>IF(E62&lt;3,  "ON SLA", "OFF SAL")</f>
        <v>ON SLA</v>
      </c>
      <c r="G62" s="9" t="s">
        <v>42</v>
      </c>
      <c r="H62" s="10">
        <v>8.3333333333333329E-2</v>
      </c>
      <c r="I62" s="9" t="s">
        <v>80</v>
      </c>
      <c r="J62" s="9" t="s">
        <v>14</v>
      </c>
      <c r="K62" s="9" t="s">
        <v>30</v>
      </c>
      <c r="L62" s="6"/>
    </row>
    <row r="63" spans="1:12" x14ac:dyDescent="0.3">
      <c r="A63" s="5" t="s">
        <v>28</v>
      </c>
      <c r="B63" s="6">
        <v>42</v>
      </c>
      <c r="C63" s="5">
        <v>45576.959027777775</v>
      </c>
      <c r="D63" s="5">
        <v>45579.761111111111</v>
      </c>
      <c r="E63" s="7">
        <f t="shared" si="2"/>
        <v>2.8020833333357587</v>
      </c>
      <c r="F63" s="8" t="str">
        <f t="shared" ref="F63:F66" si="13">IF(E63&gt;3,  "ON SLA", "OFF SLA")</f>
        <v>OFF SLA</v>
      </c>
      <c r="G63" s="9" t="s">
        <v>42</v>
      </c>
      <c r="H63" s="10">
        <v>8.3333333333333329E-2</v>
      </c>
      <c r="I63" s="9" t="s">
        <v>81</v>
      </c>
      <c r="J63" s="9" t="s">
        <v>17</v>
      </c>
      <c r="K63" s="9" t="s">
        <v>30</v>
      </c>
      <c r="L63" s="6"/>
    </row>
    <row r="64" spans="1:12" x14ac:dyDescent="0.3">
      <c r="A64" s="5" t="s">
        <v>28</v>
      </c>
      <c r="B64" s="6">
        <v>42</v>
      </c>
      <c r="C64" s="5">
        <v>45579.747916666667</v>
      </c>
      <c r="D64" s="5">
        <v>45580.431250000001</v>
      </c>
      <c r="E64" s="7">
        <f t="shared" si="2"/>
        <v>0.68333333333430346</v>
      </c>
      <c r="F64" s="8" t="str">
        <f t="shared" si="13"/>
        <v>OFF SLA</v>
      </c>
      <c r="G64" s="9" t="s">
        <v>42</v>
      </c>
      <c r="H64" s="10">
        <v>8.3333333333333329E-2</v>
      </c>
      <c r="I64" s="9" t="s">
        <v>82</v>
      </c>
      <c r="J64" s="9" t="s">
        <v>17</v>
      </c>
      <c r="K64" s="9" t="s">
        <v>30</v>
      </c>
      <c r="L64" s="6"/>
    </row>
    <row r="65" spans="1:12" x14ac:dyDescent="0.3">
      <c r="A65" s="5" t="s">
        <v>28</v>
      </c>
      <c r="B65" s="6">
        <v>42</v>
      </c>
      <c r="C65" s="5">
        <v>45580.70416666667</v>
      </c>
      <c r="D65" s="5">
        <v>45580.838888888888</v>
      </c>
      <c r="E65" s="7">
        <f t="shared" ref="E65:E79" si="14">D65-C65</f>
        <v>0.13472222221753327</v>
      </c>
      <c r="F65" s="8" t="str">
        <f t="shared" si="13"/>
        <v>OFF SLA</v>
      </c>
      <c r="G65" s="9" t="s">
        <v>42</v>
      </c>
      <c r="H65" s="10">
        <v>8.3333333333333329E-2</v>
      </c>
      <c r="I65" s="9" t="s">
        <v>83</v>
      </c>
      <c r="J65" s="9" t="s">
        <v>19</v>
      </c>
      <c r="K65" s="9" t="s">
        <v>30</v>
      </c>
      <c r="L65" s="6"/>
    </row>
    <row r="66" spans="1:12" x14ac:dyDescent="0.3">
      <c r="A66" s="5" t="s">
        <v>28</v>
      </c>
      <c r="B66" s="6">
        <v>42</v>
      </c>
      <c r="C66" s="5">
        <v>45581.540277777778</v>
      </c>
      <c r="D66" s="5">
        <v>45581.738194444442</v>
      </c>
      <c r="E66" s="7">
        <f t="shared" si="14"/>
        <v>0.19791666666424135</v>
      </c>
      <c r="F66" s="8" t="str">
        <f t="shared" si="13"/>
        <v>OFF SLA</v>
      </c>
      <c r="G66" s="9" t="s">
        <v>42</v>
      </c>
      <c r="H66" s="10">
        <v>8.3333333333333329E-2</v>
      </c>
      <c r="I66" s="9" t="s">
        <v>84</v>
      </c>
      <c r="J66" s="9" t="s">
        <v>23</v>
      </c>
      <c r="K66" s="9" t="s">
        <v>30</v>
      </c>
      <c r="L66" s="6"/>
    </row>
    <row r="67" spans="1:12" x14ac:dyDescent="0.3">
      <c r="A67" s="5" t="s">
        <v>28</v>
      </c>
      <c r="B67" s="6">
        <v>43</v>
      </c>
      <c r="C67" s="5">
        <v>45588.773611111108</v>
      </c>
      <c r="D67" s="5">
        <v>45588.782638888886</v>
      </c>
      <c r="E67" s="7">
        <f t="shared" si="14"/>
        <v>9.0277777781011537E-3</v>
      </c>
      <c r="F67" s="8" t="str">
        <f>IF(E67&lt;3,  "ON SLA", "OFF SAL")</f>
        <v>ON SLA</v>
      </c>
      <c r="G67" s="9" t="s">
        <v>42</v>
      </c>
      <c r="H67" s="10">
        <v>8.3333333333333329E-2</v>
      </c>
      <c r="I67" s="9" t="s">
        <v>85</v>
      </c>
      <c r="J67" s="9" t="s">
        <v>23</v>
      </c>
      <c r="K67" s="9" t="s">
        <v>30</v>
      </c>
      <c r="L67" s="6"/>
    </row>
    <row r="68" spans="1:12" x14ac:dyDescent="0.3">
      <c r="A68" s="5" t="s">
        <v>28</v>
      </c>
      <c r="B68" s="6">
        <v>43</v>
      </c>
      <c r="C68" s="5">
        <v>45589.59652777778</v>
      </c>
      <c r="D68" s="5">
        <v>45589.647222222222</v>
      </c>
      <c r="E68" s="7">
        <f t="shared" si="14"/>
        <v>5.0694444442342501E-2</v>
      </c>
      <c r="F68" s="8" t="str">
        <f>IF(E68&lt;3,  "ON SLA", "OFF SAL")</f>
        <v>ON SLA</v>
      </c>
      <c r="G68" s="9" t="s">
        <v>42</v>
      </c>
      <c r="H68" s="10">
        <v>8.3333333333333329E-2</v>
      </c>
      <c r="I68" s="9" t="s">
        <v>86</v>
      </c>
      <c r="J68" s="9" t="s">
        <v>68</v>
      </c>
      <c r="K68" s="9" t="s">
        <v>30</v>
      </c>
      <c r="L68" s="6"/>
    </row>
    <row r="69" spans="1:12" x14ac:dyDescent="0.3">
      <c r="A69" s="5" t="s">
        <v>28</v>
      </c>
      <c r="B69" s="6">
        <v>43</v>
      </c>
      <c r="C69" s="5">
        <v>45589.59652777778</v>
      </c>
      <c r="D69" s="5">
        <v>45589.647222222222</v>
      </c>
      <c r="E69" s="7">
        <f t="shared" si="14"/>
        <v>5.0694444442342501E-2</v>
      </c>
      <c r="F69" s="8" t="str">
        <f>IF(E69&lt;3,  "ON SLA", "OFF SAL")</f>
        <v>ON SLA</v>
      </c>
      <c r="G69" s="9" t="s">
        <v>42</v>
      </c>
      <c r="H69" s="10">
        <v>8.3333333333333329E-2</v>
      </c>
      <c r="I69" s="9" t="s">
        <v>86</v>
      </c>
      <c r="J69" s="9" t="s">
        <v>68</v>
      </c>
      <c r="K69" s="9" t="s">
        <v>30</v>
      </c>
      <c r="L69" s="6"/>
    </row>
    <row r="70" spans="1:12" x14ac:dyDescent="0.3">
      <c r="A70" s="5" t="s">
        <v>28</v>
      </c>
      <c r="B70" s="6">
        <v>43</v>
      </c>
      <c r="C70" s="5">
        <v>45590.813888888886</v>
      </c>
      <c r="D70" s="5">
        <v>45591.838888888888</v>
      </c>
      <c r="E70" s="7">
        <f t="shared" si="14"/>
        <v>1.0250000000014552</v>
      </c>
      <c r="F70" s="8" t="str">
        <f>IF(E70&lt;3,  "ON SLA", "OFF SLA")</f>
        <v>ON SLA</v>
      </c>
      <c r="G70" s="9" t="s">
        <v>42</v>
      </c>
      <c r="H70" s="10">
        <v>8.3333333333333329E-2</v>
      </c>
      <c r="I70" s="9" t="s">
        <v>40</v>
      </c>
      <c r="J70" s="9" t="s">
        <v>14</v>
      </c>
      <c r="K70" s="9" t="s">
        <v>30</v>
      </c>
      <c r="L70" s="6"/>
    </row>
    <row r="71" spans="1:12" x14ac:dyDescent="0.3">
      <c r="A71" s="5" t="s">
        <v>28</v>
      </c>
      <c r="B71" s="6">
        <v>44</v>
      </c>
      <c r="C71" s="5">
        <v>45593.818749999999</v>
      </c>
      <c r="D71" s="5">
        <v>45594.526388888888</v>
      </c>
      <c r="E71" s="7">
        <f t="shared" si="14"/>
        <v>0.70763888888905058</v>
      </c>
      <c r="F71" s="8" t="str">
        <f t="shared" ref="F71:F72" si="15">IF(E71&gt;3,  "ON SLA", "OFF SLA")</f>
        <v>OFF SLA</v>
      </c>
      <c r="G71" s="9" t="s">
        <v>42</v>
      </c>
      <c r="H71" s="10">
        <v>8.3333333333333329E-2</v>
      </c>
      <c r="I71" s="9" t="s">
        <v>87</v>
      </c>
      <c r="J71" s="9" t="s">
        <v>14</v>
      </c>
      <c r="K71" s="9" t="s">
        <v>30</v>
      </c>
      <c r="L71" s="6"/>
    </row>
    <row r="72" spans="1:12" x14ac:dyDescent="0.3">
      <c r="A72" s="5" t="s">
        <v>28</v>
      </c>
      <c r="B72" s="6">
        <v>44</v>
      </c>
      <c r="C72" s="5">
        <v>45594.523611111108</v>
      </c>
      <c r="D72" s="5">
        <v>45594.628472222219</v>
      </c>
      <c r="E72" s="7">
        <f t="shared" si="14"/>
        <v>0.10486111111094942</v>
      </c>
      <c r="F72" s="8" t="str">
        <f t="shared" si="15"/>
        <v>OFF SLA</v>
      </c>
      <c r="G72" s="9" t="s">
        <v>42</v>
      </c>
      <c r="H72" s="10">
        <v>8.3333333333333329E-2</v>
      </c>
      <c r="I72" s="9" t="s">
        <v>88</v>
      </c>
      <c r="J72" s="9" t="s">
        <v>17</v>
      </c>
      <c r="K72" s="9" t="s">
        <v>30</v>
      </c>
      <c r="L72" s="6"/>
    </row>
    <row r="73" spans="1:12" x14ac:dyDescent="0.3">
      <c r="A73" s="5" t="s">
        <v>41</v>
      </c>
      <c r="B73" s="6">
        <v>44</v>
      </c>
      <c r="C73" s="5">
        <v>45597.449305555558</v>
      </c>
      <c r="D73" s="5">
        <v>45597.457638888889</v>
      </c>
      <c r="E73" s="7">
        <f t="shared" si="14"/>
        <v>8.333333331393078E-3</v>
      </c>
      <c r="F73" s="8" t="str">
        <f>IF(E73&lt;3,  "ON SLA", "OFF SAL")</f>
        <v>ON SLA</v>
      </c>
      <c r="G73" s="9" t="s">
        <v>42</v>
      </c>
      <c r="H73" s="10">
        <v>8.3333333333333329E-2</v>
      </c>
      <c r="I73" s="11" t="s">
        <v>89</v>
      </c>
      <c r="J73" s="9" t="s">
        <v>14</v>
      </c>
      <c r="K73" s="9" t="s">
        <v>30</v>
      </c>
      <c r="L73" s="6"/>
    </row>
    <row r="74" spans="1:12" x14ac:dyDescent="0.3">
      <c r="A74" s="5" t="s">
        <v>41</v>
      </c>
      <c r="B74" s="6">
        <v>44</v>
      </c>
      <c r="C74" s="5">
        <v>45597.459027777775</v>
      </c>
      <c r="D74" s="5">
        <v>45597.59652777778</v>
      </c>
      <c r="E74" s="7">
        <f t="shared" si="14"/>
        <v>0.13750000000436557</v>
      </c>
      <c r="F74" s="8" t="str">
        <f>IF(E74&gt;3,  "ON SLA", "OFF SLA")</f>
        <v>OFF SLA</v>
      </c>
      <c r="G74" s="9" t="s">
        <v>42</v>
      </c>
      <c r="H74" s="10">
        <v>8.3333333333333329E-2</v>
      </c>
      <c r="I74" s="11" t="s">
        <v>90</v>
      </c>
      <c r="J74" s="9" t="s">
        <v>17</v>
      </c>
      <c r="K74" s="9" t="s">
        <v>30</v>
      </c>
      <c r="L74" s="6"/>
    </row>
    <row r="75" spans="1:12" x14ac:dyDescent="0.3">
      <c r="A75" s="5" t="s">
        <v>41</v>
      </c>
      <c r="B75" s="6">
        <v>44</v>
      </c>
      <c r="C75" s="5">
        <v>45597.537499999999</v>
      </c>
      <c r="D75" s="5">
        <v>45597.600694444445</v>
      </c>
      <c r="E75" s="7">
        <f t="shared" si="14"/>
        <v>6.3194444446708076E-2</v>
      </c>
      <c r="F75" s="8" t="str">
        <f>IF(E75&lt;3,  "ON SLA", "OFF SAL")</f>
        <v>ON SLA</v>
      </c>
      <c r="G75" s="9" t="s">
        <v>42</v>
      </c>
      <c r="H75" s="10">
        <v>8.3333333333333329E-2</v>
      </c>
      <c r="I75" s="11" t="s">
        <v>89</v>
      </c>
      <c r="J75" s="9" t="s">
        <v>14</v>
      </c>
      <c r="K75" s="9" t="s">
        <v>30</v>
      </c>
      <c r="L75" s="6"/>
    </row>
    <row r="76" spans="1:12" x14ac:dyDescent="0.3">
      <c r="A76" s="5" t="s">
        <v>41</v>
      </c>
      <c r="B76" s="6">
        <v>44</v>
      </c>
      <c r="C76" s="5">
        <v>45597.605555555558</v>
      </c>
      <c r="D76" s="5">
        <v>45597.609027777777</v>
      </c>
      <c r="E76" s="7">
        <f t="shared" si="14"/>
        <v>3.4722222189884633E-3</v>
      </c>
      <c r="F76" s="8" t="str">
        <f>IF(E76&lt;3,  "ON SLA", "OFF SAL")</f>
        <v>ON SLA</v>
      </c>
      <c r="G76" s="9" t="s">
        <v>42</v>
      </c>
      <c r="H76" s="10">
        <v>8.3333333333333329E-2</v>
      </c>
      <c r="I76" s="11" t="s">
        <v>91</v>
      </c>
      <c r="J76" s="9" t="s">
        <v>19</v>
      </c>
      <c r="K76" s="9" t="s">
        <v>30</v>
      </c>
      <c r="L76" s="6"/>
    </row>
    <row r="77" spans="1:12" x14ac:dyDescent="0.3">
      <c r="A77" s="5" t="s">
        <v>41</v>
      </c>
      <c r="B77" s="6">
        <v>44</v>
      </c>
      <c r="C77" s="5">
        <v>45597.630555555559</v>
      </c>
      <c r="D77" s="5">
        <v>45597.668055555558</v>
      </c>
      <c r="E77" s="7">
        <f t="shared" si="14"/>
        <v>3.7499999998544808E-2</v>
      </c>
      <c r="F77" s="8" t="str">
        <f>IF(E77&lt;3,  "ON SLA", "OFF SAL")</f>
        <v>ON SLA</v>
      </c>
      <c r="G77" s="9" t="s">
        <v>42</v>
      </c>
      <c r="H77" s="10">
        <v>8.3333333333333329E-2</v>
      </c>
      <c r="I77" s="11" t="s">
        <v>92</v>
      </c>
      <c r="J77" s="9" t="s">
        <v>19</v>
      </c>
      <c r="K77" s="9" t="s">
        <v>30</v>
      </c>
      <c r="L77" s="6"/>
    </row>
    <row r="78" spans="1:12" x14ac:dyDescent="0.3">
      <c r="A78" s="5" t="s">
        <v>41</v>
      </c>
      <c r="B78" s="6">
        <v>46</v>
      </c>
      <c r="C78" s="5">
        <v>45606.395833333336</v>
      </c>
      <c r="D78" s="5">
        <v>45607.447916666664</v>
      </c>
      <c r="E78" s="7">
        <f t="shared" ref="E78" si="16">D78-C78</f>
        <v>1.0520833333284827</v>
      </c>
      <c r="F78" s="8" t="str">
        <f>IF(E78&lt;3,  "ON SLA", "OFF SLA")</f>
        <v>ON SLA</v>
      </c>
      <c r="G78" s="9" t="s">
        <v>42</v>
      </c>
      <c r="H78" s="10">
        <v>8.3333333333333329E-2</v>
      </c>
      <c r="I78" s="11" t="s">
        <v>94</v>
      </c>
      <c r="J78" s="9" t="s">
        <v>14</v>
      </c>
      <c r="K78" s="9" t="s">
        <v>30</v>
      </c>
      <c r="L78" s="6"/>
    </row>
    <row r="79" spans="1:12" x14ac:dyDescent="0.3">
      <c r="A79" s="5" t="s">
        <v>41</v>
      </c>
      <c r="B79" s="6">
        <v>45</v>
      </c>
      <c r="C79" s="5">
        <v>45600.810416666667</v>
      </c>
      <c r="D79" s="5">
        <v>45601.424305555556</v>
      </c>
      <c r="E79" s="7">
        <f t="shared" si="14"/>
        <v>0.61388888888905058</v>
      </c>
      <c r="F79" s="8" t="str">
        <f t="shared" ref="F79:F80" si="17">IF(E79&gt;3,  "ON SLA", "OFF SLA")</f>
        <v>OFF SLA</v>
      </c>
      <c r="G79" s="9" t="s">
        <v>42</v>
      </c>
      <c r="H79" s="10">
        <v>8.3333333333333329E-2</v>
      </c>
      <c r="I79" s="11" t="s">
        <v>93</v>
      </c>
      <c r="J79" s="9" t="s">
        <v>19</v>
      </c>
      <c r="K79" s="9" t="s">
        <v>30</v>
      </c>
      <c r="L79" s="6"/>
    </row>
    <row r="80" spans="1:12" x14ac:dyDescent="0.3">
      <c r="A80" s="5" t="s">
        <v>28</v>
      </c>
      <c r="B80" s="6">
        <v>40</v>
      </c>
      <c r="C80" s="5">
        <v>45566.020833333336</v>
      </c>
      <c r="D80" s="5">
        <v>45566.453472222223</v>
      </c>
      <c r="E80" s="7">
        <f t="shared" ref="E80:E126" si="18">D80-C80</f>
        <v>0.43263888888759539</v>
      </c>
      <c r="F80" s="8" t="str">
        <f t="shared" si="17"/>
        <v>OFF SLA</v>
      </c>
      <c r="G80" s="9" t="s">
        <v>95</v>
      </c>
      <c r="H80" s="12">
        <v>4.1666666666666664E-2</v>
      </c>
      <c r="I80" s="9" t="s">
        <v>96</v>
      </c>
      <c r="J80" s="9" t="s">
        <v>38</v>
      </c>
      <c r="K80" s="9" t="s">
        <v>30</v>
      </c>
      <c r="L80" s="6"/>
    </row>
    <row r="81" spans="1:12" x14ac:dyDescent="0.3">
      <c r="A81" s="5" t="s">
        <v>28</v>
      </c>
      <c r="B81" s="6">
        <v>40</v>
      </c>
      <c r="C81" s="5">
        <v>45566.504861111112</v>
      </c>
      <c r="D81" s="5">
        <v>45566.51458333333</v>
      </c>
      <c r="E81" s="7">
        <f t="shared" si="18"/>
        <v>9.7222222175332718E-3</v>
      </c>
      <c r="F81" s="8" t="str">
        <f>IF(E81&lt;3,  "ON SLA", "OUTER TAT")</f>
        <v>ON SLA</v>
      </c>
      <c r="G81" s="9" t="s">
        <v>95</v>
      </c>
      <c r="H81" s="12">
        <v>4.1666666666666664E-2</v>
      </c>
      <c r="I81" s="9" t="s">
        <v>97</v>
      </c>
      <c r="J81" s="9" t="s">
        <v>23</v>
      </c>
      <c r="K81" s="9" t="s">
        <v>30</v>
      </c>
      <c r="L81" s="6"/>
    </row>
    <row r="82" spans="1:12" x14ac:dyDescent="0.3">
      <c r="A82" s="5" t="s">
        <v>28</v>
      </c>
      <c r="B82" s="6">
        <v>40</v>
      </c>
      <c r="C82" s="5">
        <v>45568.568055555559</v>
      </c>
      <c r="D82" s="5">
        <v>45568.570833333331</v>
      </c>
      <c r="E82" s="7">
        <f t="shared" si="18"/>
        <v>2.7777777722803876E-3</v>
      </c>
      <c r="F82" s="8" t="str">
        <f>IF(E82&lt;3,  "ON SLA", "OUTER TAT")</f>
        <v>ON SLA</v>
      </c>
      <c r="G82" s="9" t="s">
        <v>95</v>
      </c>
      <c r="H82" s="12">
        <v>4.1666666666666664E-2</v>
      </c>
      <c r="I82" s="9" t="s">
        <v>98</v>
      </c>
      <c r="J82" s="9" t="s">
        <v>17</v>
      </c>
      <c r="K82" s="9" t="s">
        <v>30</v>
      </c>
      <c r="L82" s="6"/>
    </row>
    <row r="83" spans="1:12" x14ac:dyDescent="0.3">
      <c r="A83" s="5" t="s">
        <v>28</v>
      </c>
      <c r="B83" s="6">
        <v>40</v>
      </c>
      <c r="C83" s="5">
        <v>45568.739583333336</v>
      </c>
      <c r="D83" s="5">
        <v>45568.751388888886</v>
      </c>
      <c r="E83" s="7">
        <f t="shared" si="18"/>
        <v>1.1805555550381541E-2</v>
      </c>
      <c r="F83" s="8" t="str">
        <f t="shared" ref="F83:F84" si="19">IF(E83&lt;3,  "ON SLA", "OUTER TAT")</f>
        <v>ON SLA</v>
      </c>
      <c r="G83" s="9" t="s">
        <v>95</v>
      </c>
      <c r="H83" s="12">
        <v>4.1666666666666664E-2</v>
      </c>
      <c r="I83" s="9" t="s">
        <v>99</v>
      </c>
      <c r="J83" s="9" t="s">
        <v>14</v>
      </c>
      <c r="K83" s="9" t="s">
        <v>30</v>
      </c>
      <c r="L83" s="6"/>
    </row>
    <row r="84" spans="1:12" x14ac:dyDescent="0.3">
      <c r="A84" s="5" t="s">
        <v>28</v>
      </c>
      <c r="B84" s="6">
        <v>40</v>
      </c>
      <c r="C84" s="5">
        <v>45569.501388888886</v>
      </c>
      <c r="D84" s="5">
        <v>45569.504861111112</v>
      </c>
      <c r="E84" s="7">
        <f t="shared" si="18"/>
        <v>3.4722222262644209E-3</v>
      </c>
      <c r="F84" s="8" t="str">
        <f t="shared" si="19"/>
        <v>ON SLA</v>
      </c>
      <c r="G84" s="9" t="s">
        <v>95</v>
      </c>
      <c r="H84" s="12">
        <v>4.1666666666666664E-2</v>
      </c>
      <c r="I84" s="9" t="s">
        <v>100</v>
      </c>
      <c r="J84" s="9" t="s">
        <v>23</v>
      </c>
      <c r="K84" s="9" t="s">
        <v>30</v>
      </c>
      <c r="L84" s="6"/>
    </row>
    <row r="85" spans="1:12" x14ac:dyDescent="0.3">
      <c r="A85" s="5" t="s">
        <v>28</v>
      </c>
      <c r="B85" s="6">
        <v>40</v>
      </c>
      <c r="C85" s="5">
        <v>45569.795138888891</v>
      </c>
      <c r="D85" s="5">
        <v>45569.893055555556</v>
      </c>
      <c r="E85" s="7">
        <f t="shared" si="18"/>
        <v>9.7916666665696539E-2</v>
      </c>
      <c r="F85" s="8" t="str">
        <f>IF(E85&gt;3,  "ON SLA", "OFF SLA")</f>
        <v>OFF SLA</v>
      </c>
      <c r="G85" s="9" t="s">
        <v>95</v>
      </c>
      <c r="H85" s="12">
        <v>4.1666666666666664E-2</v>
      </c>
      <c r="I85" s="9" t="s">
        <v>101</v>
      </c>
      <c r="J85" s="9" t="s">
        <v>17</v>
      </c>
      <c r="K85" s="9" t="s">
        <v>30</v>
      </c>
      <c r="L85" s="6"/>
    </row>
    <row r="86" spans="1:12" x14ac:dyDescent="0.3">
      <c r="A86" s="5" t="s">
        <v>28</v>
      </c>
      <c r="B86" s="6">
        <v>40</v>
      </c>
      <c r="C86" s="5">
        <v>45570.640972222223</v>
      </c>
      <c r="D86" s="5">
        <v>45570.644444444442</v>
      </c>
      <c r="E86" s="7">
        <f t="shared" si="18"/>
        <v>3.4722222189884633E-3</v>
      </c>
      <c r="F86" s="8" t="str">
        <f t="shared" ref="F86:F87" si="20">IF(E86&lt;3,  "ON SLA", "OUTER TAT")</f>
        <v>ON SLA</v>
      </c>
      <c r="G86" s="9" t="s">
        <v>95</v>
      </c>
      <c r="H86" s="12">
        <v>4.1666666666666664E-2</v>
      </c>
      <c r="I86" s="9" t="s">
        <v>73</v>
      </c>
      <c r="J86" s="9" t="s">
        <v>26</v>
      </c>
      <c r="K86" s="9" t="s">
        <v>30</v>
      </c>
      <c r="L86" s="6"/>
    </row>
    <row r="87" spans="1:12" x14ac:dyDescent="0.3">
      <c r="A87" s="5" t="s">
        <v>28</v>
      </c>
      <c r="B87" s="6">
        <v>41</v>
      </c>
      <c r="C87" s="5">
        <v>45571.763888888891</v>
      </c>
      <c r="D87" s="5">
        <v>45571.789583333331</v>
      </c>
      <c r="E87" s="7">
        <f t="shared" si="18"/>
        <v>2.569444444088731E-2</v>
      </c>
      <c r="F87" s="8" t="str">
        <f t="shared" si="20"/>
        <v>ON SLA</v>
      </c>
      <c r="G87" s="9" t="s">
        <v>95</v>
      </c>
      <c r="H87" s="12">
        <v>4.1666666666666664E-2</v>
      </c>
      <c r="I87" s="9" t="s">
        <v>102</v>
      </c>
      <c r="J87" s="9" t="s">
        <v>49</v>
      </c>
      <c r="K87" s="9" t="s">
        <v>30</v>
      </c>
      <c r="L87" s="6"/>
    </row>
    <row r="88" spans="1:12" x14ac:dyDescent="0.3">
      <c r="A88" s="5" t="s">
        <v>28</v>
      </c>
      <c r="B88" s="6">
        <v>41</v>
      </c>
      <c r="C88" s="5">
        <v>45572.566666666666</v>
      </c>
      <c r="D88" s="5">
        <v>45572.611805555556</v>
      </c>
      <c r="E88" s="7">
        <f t="shared" si="18"/>
        <v>4.5138888890505768E-2</v>
      </c>
      <c r="F88" s="8" t="str">
        <f>IF(E88&gt;3,  "ON SLA", "OFF SLA")</f>
        <v>OFF SLA</v>
      </c>
      <c r="G88" s="9" t="s">
        <v>95</v>
      </c>
      <c r="H88" s="12">
        <v>4.1666666666666664E-2</v>
      </c>
      <c r="I88" s="9" t="s">
        <v>75</v>
      </c>
      <c r="J88" s="9" t="s">
        <v>19</v>
      </c>
      <c r="K88" s="9" t="s">
        <v>30</v>
      </c>
      <c r="L88" s="6"/>
    </row>
    <row r="89" spans="1:12" x14ac:dyDescent="0.3">
      <c r="A89" s="5" t="s">
        <v>28</v>
      </c>
      <c r="B89" s="6">
        <v>41</v>
      </c>
      <c r="C89" s="5">
        <v>45574.628472222219</v>
      </c>
      <c r="D89" s="5">
        <v>45574.632638888892</v>
      </c>
      <c r="E89" s="7">
        <f t="shared" si="18"/>
        <v>4.1666666729724966E-3</v>
      </c>
      <c r="F89" s="8" t="str">
        <f t="shared" ref="F89:F94" si="21">IF(E89&lt;3,  "ON SLA", "OUTER TAT")</f>
        <v>ON SLA</v>
      </c>
      <c r="G89" s="9" t="s">
        <v>95</v>
      </c>
      <c r="H89" s="12">
        <v>4.1666666666666664E-2</v>
      </c>
      <c r="I89" s="9" t="s">
        <v>103</v>
      </c>
      <c r="J89" s="9" t="s">
        <v>49</v>
      </c>
      <c r="K89" s="9" t="s">
        <v>30</v>
      </c>
      <c r="L89" s="6"/>
    </row>
    <row r="90" spans="1:12" x14ac:dyDescent="0.3">
      <c r="A90" s="5" t="s">
        <v>28</v>
      </c>
      <c r="B90" s="6">
        <v>41</v>
      </c>
      <c r="C90" s="5">
        <v>45574.718055555553</v>
      </c>
      <c r="D90" s="5">
        <v>45574.724305555559</v>
      </c>
      <c r="E90" s="7">
        <f t="shared" si="18"/>
        <v>6.2500000058207661E-3</v>
      </c>
      <c r="F90" s="8" t="str">
        <f t="shared" si="21"/>
        <v>ON SLA</v>
      </c>
      <c r="G90" s="9" t="s">
        <v>95</v>
      </c>
      <c r="H90" s="12">
        <v>4.1666666666666664E-2</v>
      </c>
      <c r="I90" s="9" t="s">
        <v>31</v>
      </c>
      <c r="J90" s="9" t="s">
        <v>17</v>
      </c>
      <c r="K90" s="9" t="s">
        <v>30</v>
      </c>
      <c r="L90" s="6"/>
    </row>
    <row r="91" spans="1:12" x14ac:dyDescent="0.3">
      <c r="A91" s="5" t="s">
        <v>28</v>
      </c>
      <c r="B91" s="6">
        <v>41</v>
      </c>
      <c r="C91" s="5">
        <v>45575.492361111108</v>
      </c>
      <c r="D91" s="5">
        <v>45575.531944444447</v>
      </c>
      <c r="E91" s="7">
        <f t="shared" si="18"/>
        <v>3.9583333338669036E-2</v>
      </c>
      <c r="F91" s="8" t="str">
        <f t="shared" si="21"/>
        <v>ON SLA</v>
      </c>
      <c r="G91" s="9" t="s">
        <v>95</v>
      </c>
      <c r="H91" s="12">
        <v>4.1666666666666664E-2</v>
      </c>
      <c r="I91" s="9" t="s">
        <v>104</v>
      </c>
      <c r="J91" s="9" t="s">
        <v>19</v>
      </c>
      <c r="K91" s="9" t="s">
        <v>30</v>
      </c>
      <c r="L91" s="6"/>
    </row>
    <row r="92" spans="1:12" x14ac:dyDescent="0.3">
      <c r="A92" s="5" t="s">
        <v>28</v>
      </c>
      <c r="B92" s="6">
        <v>41</v>
      </c>
      <c r="C92" s="5">
        <v>45575.604861111111</v>
      </c>
      <c r="D92" s="5">
        <v>45575.609027777777</v>
      </c>
      <c r="E92" s="7">
        <f t="shared" si="18"/>
        <v>4.166666665696539E-3</v>
      </c>
      <c r="F92" s="8" t="str">
        <f t="shared" si="21"/>
        <v>ON SLA</v>
      </c>
      <c r="G92" s="9" t="s">
        <v>95</v>
      </c>
      <c r="H92" s="12">
        <v>4.1666666666666664E-2</v>
      </c>
      <c r="I92" s="9" t="s">
        <v>105</v>
      </c>
      <c r="J92" s="9" t="s">
        <v>26</v>
      </c>
      <c r="K92" s="9" t="s">
        <v>30</v>
      </c>
      <c r="L92" s="6"/>
    </row>
    <row r="93" spans="1:12" x14ac:dyDescent="0.3">
      <c r="A93" s="5" t="s">
        <v>28</v>
      </c>
      <c r="B93" s="6">
        <v>41</v>
      </c>
      <c r="C93" s="5">
        <v>45575.682638888888</v>
      </c>
      <c r="D93" s="5">
        <v>45575.693055555559</v>
      </c>
      <c r="E93" s="7">
        <f t="shared" si="18"/>
        <v>1.0416666671517305E-2</v>
      </c>
      <c r="F93" s="8" t="str">
        <f t="shared" si="21"/>
        <v>ON SLA</v>
      </c>
      <c r="G93" s="9" t="s">
        <v>95</v>
      </c>
      <c r="H93" s="12">
        <v>4.1666666666666664E-2</v>
      </c>
      <c r="I93" s="9" t="s">
        <v>78</v>
      </c>
      <c r="J93" s="9" t="s">
        <v>19</v>
      </c>
      <c r="K93" s="9" t="s">
        <v>30</v>
      </c>
      <c r="L93" s="6"/>
    </row>
    <row r="94" spans="1:12" x14ac:dyDescent="0.3">
      <c r="A94" s="5" t="s">
        <v>28</v>
      </c>
      <c r="B94" s="6">
        <v>41</v>
      </c>
      <c r="C94" s="5">
        <v>45576.407638888886</v>
      </c>
      <c r="D94" s="5">
        <v>45576.445138888892</v>
      </c>
      <c r="E94" s="7">
        <f t="shared" si="18"/>
        <v>3.7500000005820766E-2</v>
      </c>
      <c r="F94" s="8" t="str">
        <f t="shared" si="21"/>
        <v>ON SLA</v>
      </c>
      <c r="G94" s="9" t="s">
        <v>95</v>
      </c>
      <c r="H94" s="12">
        <v>4.1666666666666664E-2</v>
      </c>
      <c r="I94" s="9" t="s">
        <v>106</v>
      </c>
      <c r="J94" s="9" t="s">
        <v>23</v>
      </c>
      <c r="K94" s="9" t="s">
        <v>30</v>
      </c>
      <c r="L94" s="6"/>
    </row>
    <row r="95" spans="1:12" x14ac:dyDescent="0.3">
      <c r="A95" s="5" t="s">
        <v>28</v>
      </c>
      <c r="B95" s="6">
        <v>41</v>
      </c>
      <c r="C95" s="5">
        <v>45577.40347222222</v>
      </c>
      <c r="D95" s="5">
        <v>45577.599305555559</v>
      </c>
      <c r="E95" s="7">
        <f t="shared" si="18"/>
        <v>0.19583333333866904</v>
      </c>
      <c r="F95" s="8" t="str">
        <f>IF(E95&gt;3,  "ON SLA", "OFF SLA")</f>
        <v>OFF SLA</v>
      </c>
      <c r="G95" s="9" t="s">
        <v>95</v>
      </c>
      <c r="H95" s="12">
        <v>4.1666666666666664E-2</v>
      </c>
      <c r="I95" s="9" t="s">
        <v>82</v>
      </c>
      <c r="J95" s="9" t="s">
        <v>17</v>
      </c>
      <c r="K95" s="9" t="s">
        <v>30</v>
      </c>
      <c r="L95" s="6"/>
    </row>
    <row r="96" spans="1:12" x14ac:dyDescent="0.3">
      <c r="A96" s="5" t="s">
        <v>28</v>
      </c>
      <c r="B96" s="6">
        <v>42</v>
      </c>
      <c r="C96" s="5">
        <v>45579.723611111112</v>
      </c>
      <c r="D96" s="5">
        <v>45579.75</v>
      </c>
      <c r="E96" s="7">
        <f t="shared" si="18"/>
        <v>2.6388888887595385E-2</v>
      </c>
      <c r="F96" s="8" t="str">
        <f t="shared" ref="F96:F101" si="22">IF(E96&lt;3,  "ON SLA", "OUTER TAT")</f>
        <v>ON SLA</v>
      </c>
      <c r="G96" s="9" t="s">
        <v>95</v>
      </c>
      <c r="H96" s="12">
        <v>4.1666666666666664E-2</v>
      </c>
      <c r="I96" s="9" t="s">
        <v>37</v>
      </c>
      <c r="J96" s="9" t="s">
        <v>38</v>
      </c>
      <c r="K96" s="9" t="s">
        <v>30</v>
      </c>
      <c r="L96" s="6"/>
    </row>
    <row r="97" spans="1:12" x14ac:dyDescent="0.3">
      <c r="A97" s="5" t="s">
        <v>28</v>
      </c>
      <c r="B97" s="6">
        <v>42</v>
      </c>
      <c r="C97" s="5">
        <v>45580.48541666667</v>
      </c>
      <c r="D97" s="5">
        <v>45580.498611111114</v>
      </c>
      <c r="E97" s="7">
        <f t="shared" si="18"/>
        <v>1.3194444443797693E-2</v>
      </c>
      <c r="F97" s="8" t="str">
        <f t="shared" si="22"/>
        <v>ON SLA</v>
      </c>
      <c r="G97" s="9" t="s">
        <v>95</v>
      </c>
      <c r="H97" s="12">
        <v>4.1666666666666664E-2</v>
      </c>
      <c r="I97" s="9" t="s">
        <v>83</v>
      </c>
      <c r="J97" s="9" t="s">
        <v>19</v>
      </c>
      <c r="K97" s="9" t="s">
        <v>30</v>
      </c>
      <c r="L97" s="6"/>
    </row>
    <row r="98" spans="1:12" x14ac:dyDescent="0.3">
      <c r="A98" s="5" t="s">
        <v>28</v>
      </c>
      <c r="B98" s="6">
        <v>42</v>
      </c>
      <c r="C98" s="5">
        <v>45580.706250000003</v>
      </c>
      <c r="D98" s="5">
        <v>45580.727777777778</v>
      </c>
      <c r="E98" s="7">
        <f t="shared" si="18"/>
        <v>2.1527777775190771E-2</v>
      </c>
      <c r="F98" s="8" t="str">
        <f t="shared" si="22"/>
        <v>ON SLA</v>
      </c>
      <c r="G98" s="9" t="s">
        <v>95</v>
      </c>
      <c r="H98" s="12">
        <v>4.1666666666666664E-2</v>
      </c>
      <c r="I98" s="9" t="s">
        <v>107</v>
      </c>
      <c r="J98" s="9" t="s">
        <v>49</v>
      </c>
      <c r="K98" s="9" t="s">
        <v>30</v>
      </c>
      <c r="L98" s="6"/>
    </row>
    <row r="99" spans="1:12" x14ac:dyDescent="0.3">
      <c r="A99" s="5" t="s">
        <v>28</v>
      </c>
      <c r="B99" s="6">
        <v>42</v>
      </c>
      <c r="C99" s="5">
        <v>45581.488194444442</v>
      </c>
      <c r="D99" s="5">
        <v>45581.498611111114</v>
      </c>
      <c r="E99" s="7">
        <f t="shared" si="18"/>
        <v>1.0416666671517305E-2</v>
      </c>
      <c r="F99" s="8" t="str">
        <f t="shared" si="22"/>
        <v>ON SLA</v>
      </c>
      <c r="G99" s="9" t="s">
        <v>95</v>
      </c>
      <c r="H99" s="12">
        <v>4.1666666666666664E-2</v>
      </c>
      <c r="I99" s="9" t="s">
        <v>84</v>
      </c>
      <c r="J99" s="9" t="s">
        <v>23</v>
      </c>
      <c r="K99" s="9" t="s">
        <v>30</v>
      </c>
      <c r="L99" s="6"/>
    </row>
    <row r="100" spans="1:12" x14ac:dyDescent="0.3">
      <c r="A100" s="5" t="s">
        <v>28</v>
      </c>
      <c r="B100" s="6">
        <v>42</v>
      </c>
      <c r="C100" s="5">
        <v>45583.428472222222</v>
      </c>
      <c r="D100" s="5">
        <v>45583.451388888891</v>
      </c>
      <c r="E100" s="7">
        <f t="shared" si="18"/>
        <v>2.2916666668606922E-2</v>
      </c>
      <c r="F100" s="8" t="str">
        <f t="shared" si="22"/>
        <v>ON SLA</v>
      </c>
      <c r="G100" s="9" t="s">
        <v>95</v>
      </c>
      <c r="H100" s="12">
        <v>4.1666666666666664E-2</v>
      </c>
      <c r="I100" s="9" t="s">
        <v>108</v>
      </c>
      <c r="J100" s="9" t="s">
        <v>14</v>
      </c>
      <c r="K100" s="9" t="s">
        <v>30</v>
      </c>
      <c r="L100" s="6"/>
    </row>
    <row r="101" spans="1:12" x14ac:dyDescent="0.3">
      <c r="A101" s="5" t="s">
        <v>28</v>
      </c>
      <c r="B101" s="6">
        <v>42</v>
      </c>
      <c r="C101" s="5">
        <v>45583.428472222222</v>
      </c>
      <c r="D101" s="5">
        <v>45583.451388888891</v>
      </c>
      <c r="E101" s="7">
        <f t="shared" si="18"/>
        <v>2.2916666668606922E-2</v>
      </c>
      <c r="F101" s="8" t="str">
        <f t="shared" si="22"/>
        <v>ON SLA</v>
      </c>
      <c r="G101" s="9" t="s">
        <v>95</v>
      </c>
      <c r="H101" s="12">
        <v>4.1666666666666664E-2</v>
      </c>
      <c r="I101" s="9" t="s">
        <v>108</v>
      </c>
      <c r="J101" s="9" t="s">
        <v>14</v>
      </c>
      <c r="K101" s="9" t="s">
        <v>30</v>
      </c>
      <c r="L101" s="6"/>
    </row>
    <row r="102" spans="1:12" x14ac:dyDescent="0.3">
      <c r="A102" s="5" t="s">
        <v>28</v>
      </c>
      <c r="B102" s="6">
        <v>43</v>
      </c>
      <c r="C102" s="5">
        <v>45585.380555555559</v>
      </c>
      <c r="D102" s="5">
        <v>45585.522916666669</v>
      </c>
      <c r="E102" s="7">
        <f t="shared" si="18"/>
        <v>0.14236111110949423</v>
      </c>
      <c r="F102" s="8" t="str">
        <f t="shared" ref="F102:F103" si="23">IF(E102&gt;3,  "ON SLA", "OFF SLA")</f>
        <v>OFF SLA</v>
      </c>
      <c r="G102" s="9" t="s">
        <v>95</v>
      </c>
      <c r="H102" s="12">
        <v>4.1666666666666664E-2</v>
      </c>
      <c r="I102" s="9" t="s">
        <v>109</v>
      </c>
      <c r="J102" s="9" t="s">
        <v>14</v>
      </c>
      <c r="K102" s="9" t="s">
        <v>30</v>
      </c>
      <c r="L102" s="6"/>
    </row>
    <row r="103" spans="1:12" x14ac:dyDescent="0.3">
      <c r="A103" s="5" t="s">
        <v>28</v>
      </c>
      <c r="B103" s="6">
        <v>43</v>
      </c>
      <c r="C103" s="5">
        <v>45586.749305555553</v>
      </c>
      <c r="D103" s="5">
        <v>45587.431944444441</v>
      </c>
      <c r="E103" s="7">
        <f t="shared" si="18"/>
        <v>0.68263888888759539</v>
      </c>
      <c r="F103" s="8" t="str">
        <f t="shared" si="23"/>
        <v>OFF SLA</v>
      </c>
      <c r="G103" s="9" t="s">
        <v>95</v>
      </c>
      <c r="H103" s="12">
        <v>4.1666666666666664E-2</v>
      </c>
      <c r="I103" s="9" t="s">
        <v>110</v>
      </c>
      <c r="J103" s="9" t="s">
        <v>14</v>
      </c>
      <c r="K103" s="9" t="s">
        <v>30</v>
      </c>
      <c r="L103" s="6"/>
    </row>
    <row r="104" spans="1:12" x14ac:dyDescent="0.3">
      <c r="A104" s="5" t="s">
        <v>28</v>
      </c>
      <c r="B104" s="6">
        <v>43</v>
      </c>
      <c r="C104" s="5">
        <v>45587.407638888886</v>
      </c>
      <c r="D104" s="5">
        <v>45587.434027777781</v>
      </c>
      <c r="E104" s="7">
        <f t="shared" si="18"/>
        <v>2.6388888894871343E-2</v>
      </c>
      <c r="F104" s="8" t="str">
        <f t="shared" ref="F104:F106" si="24">IF(E104&lt;3,  "ON SLA", "OUTER TAT")</f>
        <v>ON SLA</v>
      </c>
      <c r="G104" s="9" t="s">
        <v>95</v>
      </c>
      <c r="H104" s="12">
        <v>4.1666666666666664E-2</v>
      </c>
      <c r="I104" s="9" t="s">
        <v>111</v>
      </c>
      <c r="J104" s="9" t="s">
        <v>17</v>
      </c>
      <c r="K104" s="9" t="s">
        <v>30</v>
      </c>
      <c r="L104" s="6"/>
    </row>
    <row r="105" spans="1:12" x14ac:dyDescent="0.3">
      <c r="A105" s="5" t="s">
        <v>28</v>
      </c>
      <c r="B105" s="6">
        <v>43</v>
      </c>
      <c r="C105" s="5">
        <v>45587.42083333333</v>
      </c>
      <c r="D105" s="5">
        <v>45587.43472222222</v>
      </c>
      <c r="E105" s="7">
        <f t="shared" si="18"/>
        <v>1.3888888890505768E-2</v>
      </c>
      <c r="F105" s="8" t="str">
        <f t="shared" si="24"/>
        <v>ON SLA</v>
      </c>
      <c r="G105" s="9" t="s">
        <v>95</v>
      </c>
      <c r="H105" s="12">
        <v>4.1666666666666664E-2</v>
      </c>
      <c r="I105" s="9" t="s">
        <v>112</v>
      </c>
      <c r="J105" s="9" t="s">
        <v>23</v>
      </c>
      <c r="K105" s="9" t="s">
        <v>30</v>
      </c>
      <c r="L105" s="6"/>
    </row>
    <row r="106" spans="1:12" x14ac:dyDescent="0.3">
      <c r="A106" s="5" t="s">
        <v>28</v>
      </c>
      <c r="B106" s="6">
        <v>43</v>
      </c>
      <c r="C106" s="5">
        <v>45587.78125</v>
      </c>
      <c r="D106" s="5">
        <v>45587.795138888891</v>
      </c>
      <c r="E106" s="7">
        <f t="shared" si="18"/>
        <v>1.3888888890505768E-2</v>
      </c>
      <c r="F106" s="8" t="str">
        <f t="shared" si="24"/>
        <v>ON SLA</v>
      </c>
      <c r="G106" s="9" t="s">
        <v>95</v>
      </c>
      <c r="H106" s="12">
        <v>4.1666666666666664E-2</v>
      </c>
      <c r="I106" s="9" t="s">
        <v>113</v>
      </c>
      <c r="J106" s="9" t="s">
        <v>49</v>
      </c>
      <c r="K106" s="9" t="s">
        <v>30</v>
      </c>
      <c r="L106" s="6"/>
    </row>
    <row r="107" spans="1:12" x14ac:dyDescent="0.3">
      <c r="A107" s="5" t="s">
        <v>28</v>
      </c>
      <c r="B107" s="6">
        <v>43</v>
      </c>
      <c r="C107" s="5">
        <v>45589.55972222222</v>
      </c>
      <c r="D107" s="5">
        <v>45589.628472222219</v>
      </c>
      <c r="E107" s="7">
        <f t="shared" si="18"/>
        <v>6.8749999998544808E-2</v>
      </c>
      <c r="F107" s="8" t="str">
        <f t="shared" ref="F107:F108" si="25">IF(E107&gt;3,  "ON SLA", "OFF SLA")</f>
        <v>OFF SLA</v>
      </c>
      <c r="G107" s="9" t="s">
        <v>95</v>
      </c>
      <c r="H107" s="12">
        <v>4.1666666666666664E-2</v>
      </c>
      <c r="I107" s="9" t="s">
        <v>85</v>
      </c>
      <c r="J107" s="9" t="s">
        <v>23</v>
      </c>
      <c r="K107" s="9" t="s">
        <v>30</v>
      </c>
      <c r="L107" s="6"/>
    </row>
    <row r="108" spans="1:12" x14ac:dyDescent="0.3">
      <c r="A108" s="5" t="s">
        <v>28</v>
      </c>
      <c r="B108" s="6">
        <v>43</v>
      </c>
      <c r="C108" s="5">
        <v>45589.59652777778</v>
      </c>
      <c r="D108" s="5">
        <v>45589.647222222222</v>
      </c>
      <c r="E108" s="7">
        <f t="shared" si="18"/>
        <v>5.0694444442342501E-2</v>
      </c>
      <c r="F108" s="8" t="str">
        <f t="shared" si="25"/>
        <v>OFF SLA</v>
      </c>
      <c r="G108" s="9" t="s">
        <v>95</v>
      </c>
      <c r="H108" s="12">
        <v>4.1666666666666664E-2</v>
      </c>
      <c r="I108" s="9" t="s">
        <v>86</v>
      </c>
      <c r="J108" s="9" t="s">
        <v>17</v>
      </c>
      <c r="K108" s="9" t="s">
        <v>30</v>
      </c>
      <c r="L108" s="6"/>
    </row>
    <row r="109" spans="1:12" x14ac:dyDescent="0.3">
      <c r="A109" s="5" t="s">
        <v>28</v>
      </c>
      <c r="B109" s="6">
        <v>43</v>
      </c>
      <c r="C109" s="5">
        <v>45589.545138888891</v>
      </c>
      <c r="D109" s="5">
        <v>45589.54791666667</v>
      </c>
      <c r="E109" s="7">
        <f t="shared" si="18"/>
        <v>2.7777777795563452E-3</v>
      </c>
      <c r="F109" s="8" t="str">
        <f t="shared" ref="F109:F110" si="26">IF(E109&lt;3,  "ON SLA", "OUTER TAT")</f>
        <v>ON SLA</v>
      </c>
      <c r="G109" s="9" t="s">
        <v>95</v>
      </c>
      <c r="H109" s="12">
        <v>4.1666666666666664E-2</v>
      </c>
      <c r="I109" s="9" t="s">
        <v>114</v>
      </c>
      <c r="J109" s="9" t="s">
        <v>23</v>
      </c>
      <c r="K109" s="9" t="s">
        <v>30</v>
      </c>
      <c r="L109" s="6"/>
    </row>
    <row r="110" spans="1:12" x14ac:dyDescent="0.3">
      <c r="A110" s="5" t="s">
        <v>28</v>
      </c>
      <c r="B110" s="6">
        <v>43</v>
      </c>
      <c r="C110" s="5">
        <v>45589.533333333333</v>
      </c>
      <c r="D110" s="5">
        <v>45589.554166666669</v>
      </c>
      <c r="E110" s="7">
        <f t="shared" si="18"/>
        <v>2.0833333335758653E-2</v>
      </c>
      <c r="F110" s="8" t="str">
        <f t="shared" si="26"/>
        <v>ON SLA</v>
      </c>
      <c r="G110" s="9" t="s">
        <v>95</v>
      </c>
      <c r="H110" s="12">
        <v>4.1666666666666664E-2</v>
      </c>
      <c r="I110" s="9" t="s">
        <v>86</v>
      </c>
      <c r="J110" s="9" t="s">
        <v>68</v>
      </c>
      <c r="K110" s="9" t="s">
        <v>30</v>
      </c>
      <c r="L110" s="6"/>
    </row>
    <row r="111" spans="1:12" x14ac:dyDescent="0.3">
      <c r="A111" s="5" t="s">
        <v>28</v>
      </c>
      <c r="B111" s="6">
        <v>43</v>
      </c>
      <c r="C111" s="5">
        <v>45590.655555555553</v>
      </c>
      <c r="D111" s="5">
        <v>45590.737500000003</v>
      </c>
      <c r="E111" s="7">
        <f t="shared" si="18"/>
        <v>8.1944444449618459E-2</v>
      </c>
      <c r="F111" s="8" t="str">
        <f>IF(E111&gt;3,  "ON SLA", "OFF SLA")</f>
        <v>OFF SLA</v>
      </c>
      <c r="G111" s="9" t="s">
        <v>95</v>
      </c>
      <c r="H111" s="12">
        <v>4.1666666666666664E-2</v>
      </c>
      <c r="I111" s="9" t="s">
        <v>40</v>
      </c>
      <c r="J111" s="9" t="s">
        <v>14</v>
      </c>
      <c r="K111" s="9" t="s">
        <v>30</v>
      </c>
      <c r="L111" s="6"/>
    </row>
    <row r="112" spans="1:12" x14ac:dyDescent="0.3">
      <c r="A112" s="5" t="s">
        <v>28</v>
      </c>
      <c r="B112" s="6">
        <v>43</v>
      </c>
      <c r="C112" s="5">
        <v>45590.743750000001</v>
      </c>
      <c r="D112" s="5">
        <v>45590.757638888892</v>
      </c>
      <c r="E112" s="7">
        <f t="shared" si="18"/>
        <v>1.3888888890505768E-2</v>
      </c>
      <c r="F112" s="8" t="str">
        <f>IF(E112&lt;3,  "ON SLA", "OUTER TAT")</f>
        <v>ON SLA</v>
      </c>
      <c r="G112" s="9" t="s">
        <v>95</v>
      </c>
      <c r="H112" s="12">
        <v>4.1666666666666664E-2</v>
      </c>
      <c r="I112" s="9" t="s">
        <v>115</v>
      </c>
      <c r="J112" s="9" t="s">
        <v>14</v>
      </c>
      <c r="K112" s="9" t="s">
        <v>30</v>
      </c>
      <c r="L112" s="6"/>
    </row>
    <row r="113" spans="1:12" x14ac:dyDescent="0.3">
      <c r="A113" s="5" t="s">
        <v>28</v>
      </c>
      <c r="B113" s="6">
        <v>43</v>
      </c>
      <c r="C113" s="5">
        <v>45591.70208333333</v>
      </c>
      <c r="D113" s="5">
        <v>45591.822916666664</v>
      </c>
      <c r="E113" s="7">
        <f t="shared" si="18"/>
        <v>0.12083333333430346</v>
      </c>
      <c r="F113" s="8" t="str">
        <f>IF(E113&gt;3,  "ON SLA", "OFF SLA")</f>
        <v>OFF SLA</v>
      </c>
      <c r="G113" s="9" t="s">
        <v>95</v>
      </c>
      <c r="H113" s="12">
        <v>4.1666666666666664E-2</v>
      </c>
      <c r="I113" s="9" t="s">
        <v>116</v>
      </c>
      <c r="J113" s="9" t="s">
        <v>49</v>
      </c>
      <c r="K113" s="9" t="s">
        <v>30</v>
      </c>
      <c r="L113" s="6"/>
    </row>
    <row r="114" spans="1:12" x14ac:dyDescent="0.3">
      <c r="A114" s="5" t="s">
        <v>28</v>
      </c>
      <c r="B114" s="6">
        <v>44</v>
      </c>
      <c r="C114" s="5">
        <v>45593.745833333334</v>
      </c>
      <c r="D114" s="5">
        <v>45593.75</v>
      </c>
      <c r="E114" s="7">
        <f t="shared" si="18"/>
        <v>4.166666665696539E-3</v>
      </c>
      <c r="F114" s="8" t="str">
        <f t="shared" ref="F114:F116" si="27">IF(E114&lt;3,  "ON SLA", "OUTER TAT")</f>
        <v>ON SLA</v>
      </c>
      <c r="G114" s="9" t="s">
        <v>95</v>
      </c>
      <c r="H114" s="12">
        <v>4.1666666666666664E-2</v>
      </c>
      <c r="I114" s="9" t="s">
        <v>87</v>
      </c>
      <c r="J114" s="9" t="s">
        <v>49</v>
      </c>
      <c r="K114" s="9" t="s">
        <v>30</v>
      </c>
      <c r="L114" s="6"/>
    </row>
    <row r="115" spans="1:12" x14ac:dyDescent="0.3">
      <c r="A115" s="5" t="s">
        <v>28</v>
      </c>
      <c r="B115" s="6">
        <v>44</v>
      </c>
      <c r="C115" s="5">
        <v>45594.48333333333</v>
      </c>
      <c r="D115" s="5">
        <v>45594.515972222223</v>
      </c>
      <c r="E115" s="7">
        <f t="shared" si="18"/>
        <v>3.2638888893416151E-2</v>
      </c>
      <c r="F115" s="8" t="str">
        <f t="shared" si="27"/>
        <v>ON SLA</v>
      </c>
      <c r="G115" s="9" t="s">
        <v>95</v>
      </c>
      <c r="H115" s="12">
        <v>4.1666666666666664E-2</v>
      </c>
      <c r="I115" s="9" t="s">
        <v>88</v>
      </c>
      <c r="J115" s="9" t="s">
        <v>17</v>
      </c>
      <c r="K115" s="9" t="s">
        <v>30</v>
      </c>
      <c r="L115" s="6"/>
    </row>
    <row r="116" spans="1:12" x14ac:dyDescent="0.3">
      <c r="A116" s="5" t="s">
        <v>28</v>
      </c>
      <c r="B116" s="6">
        <v>44</v>
      </c>
      <c r="C116" s="5">
        <v>45594.479166666664</v>
      </c>
      <c r="D116" s="5">
        <v>45594.517361111109</v>
      </c>
      <c r="E116" s="7">
        <f t="shared" si="18"/>
        <v>3.8194444445252884E-2</v>
      </c>
      <c r="F116" s="8" t="str">
        <f t="shared" si="27"/>
        <v>ON SLA</v>
      </c>
      <c r="G116" s="9" t="s">
        <v>95</v>
      </c>
      <c r="H116" s="12">
        <v>4.1666666666666664E-2</v>
      </c>
      <c r="I116" s="9" t="s">
        <v>117</v>
      </c>
      <c r="J116" s="9" t="s">
        <v>17</v>
      </c>
      <c r="K116" s="9" t="s">
        <v>30</v>
      </c>
      <c r="L116" s="6"/>
    </row>
    <row r="117" spans="1:12" x14ac:dyDescent="0.3">
      <c r="A117" s="5" t="s">
        <v>28</v>
      </c>
      <c r="B117" s="6">
        <v>44</v>
      </c>
      <c r="C117" s="5">
        <v>45594.519444444442</v>
      </c>
      <c r="D117" s="5">
        <v>45594.621527777781</v>
      </c>
      <c r="E117" s="7">
        <f t="shared" si="18"/>
        <v>0.10208333333866904</v>
      </c>
      <c r="F117" s="8" t="str">
        <f>IF(E117&gt;3,  "ON SLA", "OFF SLA")</f>
        <v>OFF SLA</v>
      </c>
      <c r="G117" s="9" t="s">
        <v>95</v>
      </c>
      <c r="H117" s="12">
        <v>4.1666666666666664E-2</v>
      </c>
      <c r="I117" s="9" t="s">
        <v>118</v>
      </c>
      <c r="J117" s="9" t="s">
        <v>17</v>
      </c>
      <c r="K117" s="9" t="s">
        <v>30</v>
      </c>
      <c r="L117" s="6"/>
    </row>
    <row r="118" spans="1:12" x14ac:dyDescent="0.3">
      <c r="A118" s="5" t="s">
        <v>41</v>
      </c>
      <c r="B118" s="6">
        <v>44</v>
      </c>
      <c r="C118" s="5">
        <v>45597.447916666664</v>
      </c>
      <c r="D118" s="5">
        <v>45597.45416666667</v>
      </c>
      <c r="E118" s="7">
        <f t="shared" si="18"/>
        <v>6.2500000058207661E-3</v>
      </c>
      <c r="F118" s="8" t="str">
        <f t="shared" ref="F118:F122" si="28">IF(E118&lt;3,  "ON SLA", "OUTER TAT")</f>
        <v>ON SLA</v>
      </c>
      <c r="G118" s="9" t="s">
        <v>95</v>
      </c>
      <c r="H118" s="12">
        <v>4.1666666666666664E-2</v>
      </c>
      <c r="I118" s="11" t="s">
        <v>119</v>
      </c>
      <c r="J118" s="9" t="s">
        <v>23</v>
      </c>
      <c r="K118" s="9" t="s">
        <v>30</v>
      </c>
      <c r="L118" s="6"/>
    </row>
    <row r="119" spans="1:12" x14ac:dyDescent="0.3">
      <c r="A119" s="5" t="s">
        <v>41</v>
      </c>
      <c r="B119" s="6">
        <v>44</v>
      </c>
      <c r="C119" s="5">
        <v>45597.449305555558</v>
      </c>
      <c r="D119" s="5">
        <v>45597.457638888889</v>
      </c>
      <c r="E119" s="7">
        <f t="shared" si="18"/>
        <v>8.333333331393078E-3</v>
      </c>
      <c r="F119" s="8" t="str">
        <f t="shared" si="28"/>
        <v>ON SLA</v>
      </c>
      <c r="G119" s="9" t="s">
        <v>95</v>
      </c>
      <c r="H119" s="12">
        <v>4.1666666666666664E-2</v>
      </c>
      <c r="I119" s="11" t="s">
        <v>89</v>
      </c>
      <c r="J119" s="9" t="s">
        <v>14</v>
      </c>
      <c r="K119" s="9" t="s">
        <v>30</v>
      </c>
      <c r="L119" s="6"/>
    </row>
    <row r="120" spans="1:12" x14ac:dyDescent="0.3">
      <c r="A120" s="5" t="s">
        <v>41</v>
      </c>
      <c r="B120" s="6">
        <v>44</v>
      </c>
      <c r="C120" s="5">
        <v>45597.599305555559</v>
      </c>
      <c r="D120" s="5">
        <v>45597.607638888891</v>
      </c>
      <c r="E120" s="7">
        <f t="shared" si="18"/>
        <v>8.333333331393078E-3</v>
      </c>
      <c r="F120" s="8" t="str">
        <f t="shared" si="28"/>
        <v>ON SLA</v>
      </c>
      <c r="G120" s="9" t="s">
        <v>95</v>
      </c>
      <c r="H120" s="12">
        <v>4.1666666666666664E-2</v>
      </c>
      <c r="I120" s="11" t="s">
        <v>119</v>
      </c>
      <c r="J120" s="9" t="s">
        <v>23</v>
      </c>
      <c r="K120" s="9" t="s">
        <v>30</v>
      </c>
      <c r="L120" s="6"/>
    </row>
    <row r="121" spans="1:12" x14ac:dyDescent="0.3">
      <c r="A121" s="5" t="s">
        <v>41</v>
      </c>
      <c r="B121" s="6">
        <v>45</v>
      </c>
      <c r="C121" s="5">
        <v>45602.636111111111</v>
      </c>
      <c r="D121" s="5">
        <v>45602.670138888891</v>
      </c>
      <c r="E121" s="7">
        <f t="shared" si="18"/>
        <v>3.4027777779556345E-2</v>
      </c>
      <c r="F121" s="8" t="str">
        <f t="shared" si="28"/>
        <v>ON SLA</v>
      </c>
      <c r="G121" s="9" t="s">
        <v>95</v>
      </c>
      <c r="H121" s="12">
        <v>4.1666666666666664E-2</v>
      </c>
      <c r="I121" s="11" t="s">
        <v>120</v>
      </c>
      <c r="J121" s="9" t="s">
        <v>49</v>
      </c>
      <c r="K121" s="9" t="s">
        <v>30</v>
      </c>
      <c r="L121" s="6"/>
    </row>
    <row r="122" spans="1:12" x14ac:dyDescent="0.3">
      <c r="A122" s="5" t="s">
        <v>41</v>
      </c>
      <c r="B122" s="6">
        <v>45</v>
      </c>
      <c r="C122" s="5">
        <v>45603.736111111109</v>
      </c>
      <c r="D122" s="5">
        <v>45603.75</v>
      </c>
      <c r="E122" s="7">
        <f t="shared" si="18"/>
        <v>1.3888888890505768E-2</v>
      </c>
      <c r="F122" s="8" t="str">
        <f t="shared" si="28"/>
        <v>ON SLA</v>
      </c>
      <c r="G122" s="9" t="s">
        <v>95</v>
      </c>
      <c r="H122" s="12">
        <v>4.1666666666666664E-2</v>
      </c>
      <c r="I122" s="11" t="s">
        <v>121</v>
      </c>
      <c r="J122" s="9" t="s">
        <v>23</v>
      </c>
      <c r="K122" s="9" t="s">
        <v>30</v>
      </c>
      <c r="L122" s="6"/>
    </row>
    <row r="123" spans="1:12" x14ac:dyDescent="0.3">
      <c r="A123" s="5" t="s">
        <v>41</v>
      </c>
      <c r="B123" s="6">
        <v>46</v>
      </c>
      <c r="C123" s="5">
        <v>45606.395833333336</v>
      </c>
      <c r="D123" s="5">
        <v>45607.447916666664</v>
      </c>
      <c r="E123" s="7">
        <f t="shared" si="18"/>
        <v>1.0520833333284827</v>
      </c>
      <c r="F123" s="8" t="str">
        <f>IF(E123&gt;3,  "ON SLA", "OFF SLA")</f>
        <v>OFF SLA</v>
      </c>
      <c r="G123" s="9" t="s">
        <v>95</v>
      </c>
      <c r="H123" s="12">
        <v>4.1666666666666664E-2</v>
      </c>
      <c r="I123" s="11" t="s">
        <v>94</v>
      </c>
      <c r="J123" s="9" t="s">
        <v>14</v>
      </c>
      <c r="K123" s="9" t="s">
        <v>30</v>
      </c>
      <c r="L123" s="6"/>
    </row>
    <row r="124" spans="1:12" x14ac:dyDescent="0.3">
      <c r="A124" s="5" t="s">
        <v>41</v>
      </c>
      <c r="B124" s="6">
        <v>46</v>
      </c>
      <c r="C124" s="5">
        <v>45607.758333333331</v>
      </c>
      <c r="D124" s="5">
        <v>45607.761111111111</v>
      </c>
      <c r="E124" s="7">
        <f t="shared" si="18"/>
        <v>2.7777777795563452E-3</v>
      </c>
      <c r="F124" s="8" t="str">
        <f t="shared" ref="F124:F125" si="29">IF(E124&lt;3,  "ON SLA", "OUTER TAT")</f>
        <v>ON SLA</v>
      </c>
      <c r="G124" s="9" t="s">
        <v>95</v>
      </c>
      <c r="H124" s="12">
        <v>4.1666666666666664E-2</v>
      </c>
      <c r="I124" s="11" t="s">
        <v>122</v>
      </c>
      <c r="J124" s="9" t="s">
        <v>38</v>
      </c>
      <c r="K124" s="9" t="s">
        <v>30</v>
      </c>
      <c r="L124" s="6"/>
    </row>
    <row r="125" spans="1:12" x14ac:dyDescent="0.3">
      <c r="A125" s="5" t="s">
        <v>41</v>
      </c>
      <c r="B125" s="6">
        <v>47</v>
      </c>
      <c r="C125" s="5">
        <v>45618.681944444441</v>
      </c>
      <c r="D125" s="5">
        <v>45618.684027777781</v>
      </c>
      <c r="E125" s="7">
        <f t="shared" si="18"/>
        <v>2.0833333401242271E-3</v>
      </c>
      <c r="F125" s="8" t="str">
        <f t="shared" si="29"/>
        <v>ON SLA</v>
      </c>
      <c r="G125" s="9" t="s">
        <v>95</v>
      </c>
      <c r="H125" s="12">
        <v>4.1666666666666664E-2</v>
      </c>
      <c r="I125" s="11" t="s">
        <v>123</v>
      </c>
      <c r="J125" s="9" t="s">
        <v>14</v>
      </c>
      <c r="K125" s="9" t="s">
        <v>30</v>
      </c>
      <c r="L125" s="6"/>
    </row>
    <row r="126" spans="1:12" x14ac:dyDescent="0.3">
      <c r="A126" s="5" t="s">
        <v>41</v>
      </c>
      <c r="B126" s="6">
        <v>48</v>
      </c>
      <c r="C126" s="5">
        <v>45624.431250000001</v>
      </c>
      <c r="D126" s="5">
        <v>45624.647916666669</v>
      </c>
      <c r="E126" s="7">
        <f t="shared" si="18"/>
        <v>0.21666666666715173</v>
      </c>
      <c r="F126" s="8" t="str">
        <f>IF(E126&gt;3,  "ON SLA", "OFF SLA")</f>
        <v>OFF SLA</v>
      </c>
      <c r="G126" s="9" t="s">
        <v>95</v>
      </c>
      <c r="H126" s="12">
        <v>4.1666666666666664E-2</v>
      </c>
      <c r="I126" s="11" t="s">
        <v>124</v>
      </c>
      <c r="J126" s="9" t="s">
        <v>38</v>
      </c>
      <c r="K126" s="9" t="s">
        <v>30</v>
      </c>
      <c r="L126" s="6"/>
    </row>
    <row r="127" spans="1:12" x14ac:dyDescent="0.3">
      <c r="A127" s="5" t="str">
        <f t="shared" ref="A127:A133" si="30">TEXT(D127,"mmm")</f>
        <v>Nov</v>
      </c>
      <c r="B127" s="6">
        <f t="shared" ref="B127:B133" si="31">WEEKNUM(D127)</f>
        <v>45</v>
      </c>
      <c r="C127" s="5">
        <v>45600.704166666699</v>
      </c>
      <c r="D127" s="5">
        <v>45600.743750000001</v>
      </c>
      <c r="E127" s="7">
        <f t="shared" ref="E127:E185" si="32">D127-C127</f>
        <v>3.9583333302289248E-2</v>
      </c>
      <c r="F127" s="8" t="str">
        <f>IF(E182&lt;3,  "ON SLA", "OFF SLA")</f>
        <v>ON SLA</v>
      </c>
      <c r="G127" s="9" t="s">
        <v>125</v>
      </c>
      <c r="H127" s="13">
        <v>1</v>
      </c>
      <c r="I127" s="9" t="s">
        <v>126</v>
      </c>
      <c r="J127" s="9" t="s">
        <v>14</v>
      </c>
      <c r="K127" s="9" t="s">
        <v>15</v>
      </c>
      <c r="L127" s="6"/>
    </row>
    <row r="128" spans="1:12" x14ac:dyDescent="0.3">
      <c r="A128" s="5" t="str">
        <f t="shared" si="30"/>
        <v>Nov</v>
      </c>
      <c r="B128" s="6">
        <f t="shared" si="31"/>
        <v>48</v>
      </c>
      <c r="C128" s="5">
        <v>45621.469444444403</v>
      </c>
      <c r="D128" s="5">
        <v>45622.534722222197</v>
      </c>
      <c r="E128" s="7">
        <f t="shared" si="32"/>
        <v>1.0652777777941083</v>
      </c>
      <c r="F128" s="8" t="str">
        <f t="shared" ref="F128:F169" si="33">IF(E129&lt;3,  "ON SLA", "OUTER TAT")</f>
        <v>ON SLA</v>
      </c>
      <c r="G128" s="9" t="s">
        <v>125</v>
      </c>
      <c r="H128" s="13">
        <v>1</v>
      </c>
      <c r="I128" s="9" t="s">
        <v>127</v>
      </c>
      <c r="J128" s="9" t="s">
        <v>68</v>
      </c>
      <c r="K128" s="9" t="s">
        <v>15</v>
      </c>
      <c r="L128" s="6"/>
    </row>
    <row r="129" spans="1:12" x14ac:dyDescent="0.3">
      <c r="A129" s="5" t="str">
        <f t="shared" si="30"/>
        <v>Nov</v>
      </c>
      <c r="B129" s="6">
        <f t="shared" si="31"/>
        <v>48</v>
      </c>
      <c r="C129" s="5">
        <v>45621.469444444403</v>
      </c>
      <c r="D129" s="5">
        <v>45621.472222222197</v>
      </c>
      <c r="E129" s="7">
        <f t="shared" si="32"/>
        <v>2.7777777941082604E-3</v>
      </c>
      <c r="F129" s="8" t="str">
        <f t="shared" si="33"/>
        <v>ON SLA</v>
      </c>
      <c r="G129" s="9" t="s">
        <v>125</v>
      </c>
      <c r="H129" s="13">
        <v>1</v>
      </c>
      <c r="I129" s="9" t="s">
        <v>128</v>
      </c>
      <c r="J129" s="9" t="s">
        <v>26</v>
      </c>
      <c r="K129" s="9" t="s">
        <v>15</v>
      </c>
      <c r="L129" s="6"/>
    </row>
    <row r="130" spans="1:12" x14ac:dyDescent="0.3">
      <c r="A130" s="5" t="str">
        <f t="shared" si="30"/>
        <v>Nov</v>
      </c>
      <c r="B130" s="6">
        <f t="shared" si="31"/>
        <v>48</v>
      </c>
      <c r="C130" s="5">
        <v>45621.491666666698</v>
      </c>
      <c r="D130" s="5">
        <v>45621.552777777797</v>
      </c>
      <c r="E130" s="7">
        <f t="shared" si="32"/>
        <v>6.1111111099307891E-2</v>
      </c>
      <c r="F130" s="8" t="str">
        <f t="shared" si="33"/>
        <v>ON SLA</v>
      </c>
      <c r="G130" s="9" t="s">
        <v>125</v>
      </c>
      <c r="H130" s="13">
        <v>1</v>
      </c>
      <c r="I130" s="9" t="s">
        <v>129</v>
      </c>
      <c r="J130" s="9" t="s">
        <v>49</v>
      </c>
      <c r="K130" s="9" t="s">
        <v>15</v>
      </c>
      <c r="L130" s="6"/>
    </row>
    <row r="131" spans="1:12" x14ac:dyDescent="0.3">
      <c r="A131" s="5" t="str">
        <f t="shared" si="30"/>
        <v>Nov</v>
      </c>
      <c r="B131" s="6">
        <f t="shared" si="31"/>
        <v>48</v>
      </c>
      <c r="C131" s="5">
        <v>45621.470798611103</v>
      </c>
      <c r="D131" s="5">
        <v>45621.471527777801</v>
      </c>
      <c r="E131" s="7">
        <f t="shared" si="32"/>
        <v>7.2916669887490571E-4</v>
      </c>
      <c r="F131" s="8" t="str">
        <f t="shared" si="33"/>
        <v>ON SLA</v>
      </c>
      <c r="G131" s="9" t="s">
        <v>125</v>
      </c>
      <c r="H131" s="13">
        <v>1</v>
      </c>
      <c r="I131" s="9" t="s">
        <v>130</v>
      </c>
      <c r="J131" s="9" t="s">
        <v>51</v>
      </c>
      <c r="K131" s="9" t="s">
        <v>15</v>
      </c>
      <c r="L131" s="6"/>
    </row>
    <row r="132" spans="1:12" x14ac:dyDescent="0.3">
      <c r="A132" s="5" t="str">
        <f t="shared" si="30"/>
        <v>Nov</v>
      </c>
      <c r="B132" s="6">
        <f t="shared" si="31"/>
        <v>48</v>
      </c>
      <c r="C132" s="5">
        <v>45621.470405092601</v>
      </c>
      <c r="D132" s="5">
        <v>45621.472916666702</v>
      </c>
      <c r="E132" s="7">
        <f t="shared" si="32"/>
        <v>2.5115741009358317E-3</v>
      </c>
      <c r="F132" s="8" t="str">
        <f t="shared" si="33"/>
        <v>ON SLA</v>
      </c>
      <c r="G132" s="9" t="s">
        <v>125</v>
      </c>
      <c r="H132" s="13">
        <v>1</v>
      </c>
      <c r="I132" s="9" t="s">
        <v>131</v>
      </c>
      <c r="J132" s="9" t="s">
        <v>23</v>
      </c>
      <c r="K132" s="9" t="s">
        <v>15</v>
      </c>
      <c r="L132" s="6"/>
    </row>
    <row r="133" spans="1:12" x14ac:dyDescent="0.3">
      <c r="A133" s="5" t="str">
        <f t="shared" si="30"/>
        <v>Nov</v>
      </c>
      <c r="B133" s="6">
        <f t="shared" si="31"/>
        <v>48</v>
      </c>
      <c r="C133" s="5">
        <v>45621.470092592601</v>
      </c>
      <c r="D133" s="5">
        <v>45621.847222222197</v>
      </c>
      <c r="E133" s="7">
        <f t="shared" si="32"/>
        <v>0.37712962959631113</v>
      </c>
      <c r="F133" s="8" t="str">
        <f t="shared" si="33"/>
        <v>ON SLA</v>
      </c>
      <c r="G133" s="9" t="s">
        <v>125</v>
      </c>
      <c r="H133" s="13">
        <v>1</v>
      </c>
      <c r="I133" s="9" t="s">
        <v>132</v>
      </c>
      <c r="J133" s="9" t="s">
        <v>17</v>
      </c>
      <c r="K133" s="9" t="s">
        <v>15</v>
      </c>
      <c r="L133" s="6"/>
    </row>
    <row r="134" spans="1:12" x14ac:dyDescent="0.3">
      <c r="A134" s="5" t="s">
        <v>28</v>
      </c>
      <c r="B134" s="6">
        <v>40</v>
      </c>
      <c r="C134" s="5">
        <v>45566.442361111112</v>
      </c>
      <c r="D134" s="5">
        <v>45566.442361111112</v>
      </c>
      <c r="E134" s="7">
        <f t="shared" si="32"/>
        <v>0</v>
      </c>
      <c r="F134" s="8" t="str">
        <f t="shared" si="33"/>
        <v>ON SLA</v>
      </c>
      <c r="G134" s="9" t="s">
        <v>125</v>
      </c>
      <c r="H134" s="13">
        <v>1</v>
      </c>
      <c r="I134" s="9" t="s">
        <v>133</v>
      </c>
      <c r="J134" s="9" t="s">
        <v>14</v>
      </c>
      <c r="K134" s="9" t="s">
        <v>30</v>
      </c>
      <c r="L134" s="6"/>
    </row>
    <row r="135" spans="1:12" x14ac:dyDescent="0.3">
      <c r="A135" s="5" t="s">
        <v>28</v>
      </c>
      <c r="B135" s="6">
        <v>40</v>
      </c>
      <c r="C135" s="5">
        <v>45566.443749999999</v>
      </c>
      <c r="D135" s="5">
        <v>45566.452777777777</v>
      </c>
      <c r="E135" s="7">
        <f t="shared" si="32"/>
        <v>9.0277777781011537E-3</v>
      </c>
      <c r="F135" s="8" t="str">
        <f t="shared" si="33"/>
        <v>ON SLA</v>
      </c>
      <c r="G135" s="9" t="s">
        <v>125</v>
      </c>
      <c r="H135" s="13">
        <v>1</v>
      </c>
      <c r="I135" s="9" t="s">
        <v>134</v>
      </c>
      <c r="J135" s="9" t="s">
        <v>68</v>
      </c>
      <c r="K135" s="9" t="s">
        <v>30</v>
      </c>
      <c r="L135" s="6"/>
    </row>
    <row r="136" spans="1:12" x14ac:dyDescent="0.3">
      <c r="A136" s="5" t="s">
        <v>28</v>
      </c>
      <c r="B136" s="6">
        <v>40</v>
      </c>
      <c r="C136" s="5">
        <v>45566.445138888892</v>
      </c>
      <c r="D136" s="5">
        <v>45566.446527777778</v>
      </c>
      <c r="E136" s="7">
        <f t="shared" si="32"/>
        <v>1.3888888861401938E-3</v>
      </c>
      <c r="F136" s="8" t="str">
        <f t="shared" si="33"/>
        <v>ON SLA</v>
      </c>
      <c r="G136" s="9" t="s">
        <v>125</v>
      </c>
      <c r="H136" s="13">
        <v>1</v>
      </c>
      <c r="I136" s="9" t="s">
        <v>135</v>
      </c>
      <c r="J136" s="9" t="s">
        <v>23</v>
      </c>
      <c r="K136" s="9" t="s">
        <v>30</v>
      </c>
      <c r="L136" s="6"/>
    </row>
    <row r="137" spans="1:12" x14ac:dyDescent="0.3">
      <c r="A137" s="5" t="s">
        <v>28</v>
      </c>
      <c r="B137" s="6">
        <v>40</v>
      </c>
      <c r="C137" s="5">
        <v>45566.445833333331</v>
      </c>
      <c r="D137" s="5">
        <v>45566.46597222222</v>
      </c>
      <c r="E137" s="7">
        <f t="shared" si="32"/>
        <v>2.0138888889050577E-2</v>
      </c>
      <c r="F137" s="8" t="str">
        <f t="shared" si="33"/>
        <v>ON SLA</v>
      </c>
      <c r="G137" s="9" t="s">
        <v>125</v>
      </c>
      <c r="H137" s="13">
        <v>1</v>
      </c>
      <c r="I137" s="9" t="s">
        <v>136</v>
      </c>
      <c r="J137" s="9" t="s">
        <v>17</v>
      </c>
      <c r="K137" s="9" t="s">
        <v>30</v>
      </c>
      <c r="L137" s="6"/>
    </row>
    <row r="138" spans="1:12" x14ac:dyDescent="0.3">
      <c r="A138" s="5" t="s">
        <v>28</v>
      </c>
      <c r="B138" s="6">
        <v>40</v>
      </c>
      <c r="C138" s="5">
        <v>45566.446527777778</v>
      </c>
      <c r="D138" s="5">
        <v>45566.45208333333</v>
      </c>
      <c r="E138" s="7">
        <f t="shared" si="32"/>
        <v>5.5555555518367328E-3</v>
      </c>
      <c r="F138" s="8" t="str">
        <f t="shared" si="33"/>
        <v>ON SLA</v>
      </c>
      <c r="G138" s="9" t="s">
        <v>125</v>
      </c>
      <c r="H138" s="13">
        <v>1</v>
      </c>
      <c r="I138" s="9" t="s">
        <v>137</v>
      </c>
      <c r="J138" s="9" t="s">
        <v>26</v>
      </c>
      <c r="K138" s="9" t="s">
        <v>30</v>
      </c>
      <c r="L138" s="6"/>
    </row>
    <row r="139" spans="1:12" x14ac:dyDescent="0.3">
      <c r="A139" s="5" t="s">
        <v>28</v>
      </c>
      <c r="B139" s="6">
        <v>40</v>
      </c>
      <c r="C139" s="5">
        <v>45566.447222222225</v>
      </c>
      <c r="D139" s="5">
        <v>45566.452777777777</v>
      </c>
      <c r="E139" s="7">
        <f t="shared" si="32"/>
        <v>5.5555555518367328E-3</v>
      </c>
      <c r="F139" s="8" t="str">
        <f t="shared" si="33"/>
        <v>ON SLA</v>
      </c>
      <c r="G139" s="9" t="s">
        <v>125</v>
      </c>
      <c r="H139" s="13">
        <v>1</v>
      </c>
      <c r="I139" s="9" t="s">
        <v>138</v>
      </c>
      <c r="J139" s="9" t="s">
        <v>38</v>
      </c>
      <c r="K139" s="9" t="s">
        <v>30</v>
      </c>
      <c r="L139" s="6"/>
    </row>
    <row r="140" spans="1:12" x14ac:dyDescent="0.3">
      <c r="A140" s="5" t="s">
        <v>28</v>
      </c>
      <c r="B140" s="6">
        <v>40</v>
      </c>
      <c r="C140" s="5">
        <v>45566.448611111111</v>
      </c>
      <c r="D140" s="5">
        <v>45566.59652777778</v>
      </c>
      <c r="E140" s="7">
        <f t="shared" si="32"/>
        <v>0.14791666666860692</v>
      </c>
      <c r="F140" s="8" t="str">
        <f t="shared" si="33"/>
        <v>ON SLA</v>
      </c>
      <c r="G140" s="9" t="s">
        <v>125</v>
      </c>
      <c r="H140" s="13">
        <v>1</v>
      </c>
      <c r="I140" s="9" t="s">
        <v>139</v>
      </c>
      <c r="J140" s="9" t="s">
        <v>49</v>
      </c>
      <c r="K140" s="9" t="s">
        <v>30</v>
      </c>
      <c r="L140" s="6"/>
    </row>
    <row r="141" spans="1:12" x14ac:dyDescent="0.3">
      <c r="A141" s="5" t="s">
        <v>28</v>
      </c>
      <c r="B141" s="6">
        <v>40</v>
      </c>
      <c r="C141" s="5">
        <v>45566.442361111112</v>
      </c>
      <c r="D141" s="5">
        <v>45566.644444444442</v>
      </c>
      <c r="E141" s="7">
        <f t="shared" si="32"/>
        <v>0.20208333332993789</v>
      </c>
      <c r="F141" s="8" t="str">
        <f t="shared" si="33"/>
        <v>ON SLA</v>
      </c>
      <c r="G141" s="9" t="s">
        <v>125</v>
      </c>
      <c r="H141" s="13">
        <v>1</v>
      </c>
      <c r="I141" s="9" t="s">
        <v>140</v>
      </c>
      <c r="J141" s="9" t="s">
        <v>14</v>
      </c>
      <c r="K141" s="9" t="s">
        <v>30</v>
      </c>
      <c r="L141" s="6"/>
    </row>
    <row r="142" spans="1:12" x14ac:dyDescent="0.3">
      <c r="A142" s="5" t="s">
        <v>28</v>
      </c>
      <c r="B142" s="6">
        <v>40</v>
      </c>
      <c r="C142" s="5">
        <v>45566.446527777778</v>
      </c>
      <c r="D142" s="5">
        <v>45566.45208333333</v>
      </c>
      <c r="E142" s="7">
        <f t="shared" si="32"/>
        <v>5.5555555518367328E-3</v>
      </c>
      <c r="F142" s="8" t="str">
        <f t="shared" si="33"/>
        <v>ON SLA</v>
      </c>
      <c r="G142" s="9" t="s">
        <v>125</v>
      </c>
      <c r="H142" s="13">
        <v>1</v>
      </c>
      <c r="I142" s="9" t="s">
        <v>141</v>
      </c>
      <c r="J142" s="9" t="s">
        <v>26</v>
      </c>
      <c r="K142" s="9" t="s">
        <v>30</v>
      </c>
      <c r="L142" s="6"/>
    </row>
    <row r="143" spans="1:12" x14ac:dyDescent="0.3">
      <c r="A143" s="5" t="s">
        <v>28</v>
      </c>
      <c r="B143" s="6">
        <v>40</v>
      </c>
      <c r="C143" s="5">
        <v>45566.445833333331</v>
      </c>
      <c r="D143" s="5">
        <v>45566.46597222222</v>
      </c>
      <c r="E143" s="7">
        <f t="shared" si="32"/>
        <v>2.0138888889050577E-2</v>
      </c>
      <c r="F143" s="8" t="str">
        <f t="shared" si="33"/>
        <v>ON SLA</v>
      </c>
      <c r="G143" s="9" t="s">
        <v>125</v>
      </c>
      <c r="H143" s="13">
        <v>1</v>
      </c>
      <c r="I143" s="9" t="s">
        <v>142</v>
      </c>
      <c r="J143" s="9" t="s">
        <v>17</v>
      </c>
      <c r="K143" s="9" t="s">
        <v>30</v>
      </c>
      <c r="L143" s="6"/>
    </row>
    <row r="144" spans="1:12" x14ac:dyDescent="0.3">
      <c r="A144" s="5" t="s">
        <v>28</v>
      </c>
      <c r="B144" s="6">
        <v>40</v>
      </c>
      <c r="C144" s="5">
        <v>45566.445138888892</v>
      </c>
      <c r="D144" s="5">
        <v>45566.446527777778</v>
      </c>
      <c r="E144" s="7">
        <f t="shared" si="32"/>
        <v>1.3888888861401938E-3</v>
      </c>
      <c r="F144" s="8" t="str">
        <f t="shared" si="33"/>
        <v>ON SLA</v>
      </c>
      <c r="G144" s="9" t="s">
        <v>125</v>
      </c>
      <c r="H144" s="13">
        <v>1</v>
      </c>
      <c r="I144" s="9" t="s">
        <v>143</v>
      </c>
      <c r="J144" s="9" t="s">
        <v>23</v>
      </c>
      <c r="K144" s="9" t="s">
        <v>30</v>
      </c>
      <c r="L144" s="6"/>
    </row>
    <row r="145" spans="1:12" x14ac:dyDescent="0.3">
      <c r="A145" s="5" t="s">
        <v>28</v>
      </c>
      <c r="B145" s="6">
        <v>40</v>
      </c>
      <c r="C145" s="5">
        <v>45566.443749999999</v>
      </c>
      <c r="D145" s="5">
        <v>45566.452777777777</v>
      </c>
      <c r="E145" s="7">
        <f t="shared" si="32"/>
        <v>9.0277777781011537E-3</v>
      </c>
      <c r="F145" s="8" t="str">
        <f t="shared" si="33"/>
        <v>ON SLA</v>
      </c>
      <c r="G145" s="9" t="s">
        <v>125</v>
      </c>
      <c r="H145" s="13">
        <v>1</v>
      </c>
      <c r="I145" s="9" t="s">
        <v>144</v>
      </c>
      <c r="J145" s="9" t="s">
        <v>68</v>
      </c>
      <c r="K145" s="9" t="s">
        <v>30</v>
      </c>
      <c r="L145" s="6"/>
    </row>
    <row r="146" spans="1:12" x14ac:dyDescent="0.3">
      <c r="A146" s="5" t="s">
        <v>28</v>
      </c>
      <c r="B146" s="6">
        <v>41</v>
      </c>
      <c r="C146" s="5">
        <v>45572.611111111109</v>
      </c>
      <c r="D146" s="5">
        <v>45573.626388888886</v>
      </c>
      <c r="E146" s="7">
        <f t="shared" si="32"/>
        <v>1.015277777776646</v>
      </c>
      <c r="F146" s="8" t="str">
        <f t="shared" si="33"/>
        <v>ON SLA</v>
      </c>
      <c r="G146" s="9" t="s">
        <v>125</v>
      </c>
      <c r="H146" s="13">
        <v>1</v>
      </c>
      <c r="I146" s="9" t="s">
        <v>145</v>
      </c>
      <c r="J146" s="9" t="s">
        <v>19</v>
      </c>
      <c r="K146" s="9" t="s">
        <v>30</v>
      </c>
      <c r="L146" s="6"/>
    </row>
    <row r="147" spans="1:12" x14ac:dyDescent="0.3">
      <c r="A147" s="5" t="s">
        <v>28</v>
      </c>
      <c r="B147" s="6">
        <v>41</v>
      </c>
      <c r="C147" s="5">
        <v>45572.614583333336</v>
      </c>
      <c r="D147" s="5">
        <v>45573.444444444445</v>
      </c>
      <c r="E147" s="7">
        <f t="shared" si="32"/>
        <v>0.82986111110949423</v>
      </c>
      <c r="F147" s="8" t="str">
        <f t="shared" si="33"/>
        <v>ON SLA</v>
      </c>
      <c r="G147" s="9" t="s">
        <v>125</v>
      </c>
      <c r="H147" s="13">
        <v>1</v>
      </c>
      <c r="I147" s="9" t="s">
        <v>146</v>
      </c>
      <c r="J147" s="9" t="s">
        <v>14</v>
      </c>
      <c r="K147" s="9" t="s">
        <v>30</v>
      </c>
      <c r="L147" s="6"/>
    </row>
    <row r="148" spans="1:12" x14ac:dyDescent="0.3">
      <c r="A148" s="5" t="s">
        <v>28</v>
      </c>
      <c r="B148" s="6">
        <v>41</v>
      </c>
      <c r="C148" s="5">
        <v>45572.616666666669</v>
      </c>
      <c r="D148" s="5">
        <v>45573.441666666666</v>
      </c>
      <c r="E148" s="7">
        <f t="shared" si="32"/>
        <v>0.82499999999708962</v>
      </c>
      <c r="F148" s="8" t="str">
        <f t="shared" si="33"/>
        <v>ON SLA</v>
      </c>
      <c r="G148" s="9" t="s">
        <v>125</v>
      </c>
      <c r="H148" s="13">
        <v>1</v>
      </c>
      <c r="I148" s="9" t="s">
        <v>147</v>
      </c>
      <c r="J148" s="9" t="s">
        <v>68</v>
      </c>
      <c r="K148" s="9" t="s">
        <v>30</v>
      </c>
      <c r="L148" s="6"/>
    </row>
    <row r="149" spans="1:12" x14ac:dyDescent="0.3">
      <c r="A149" s="5" t="s">
        <v>28</v>
      </c>
      <c r="B149" s="6">
        <v>41</v>
      </c>
      <c r="C149" s="5">
        <v>45572.617361111108</v>
      </c>
      <c r="D149" s="5">
        <v>45572.624305555553</v>
      </c>
      <c r="E149" s="7">
        <f t="shared" si="32"/>
        <v>6.9444444452528842E-3</v>
      </c>
      <c r="F149" s="8" t="str">
        <f t="shared" si="33"/>
        <v>ON SLA</v>
      </c>
      <c r="G149" s="9" t="s">
        <v>125</v>
      </c>
      <c r="H149" s="13">
        <v>1</v>
      </c>
      <c r="I149" s="9" t="s">
        <v>148</v>
      </c>
      <c r="J149" s="9" t="s">
        <v>23</v>
      </c>
      <c r="K149" s="9" t="s">
        <v>30</v>
      </c>
      <c r="L149" s="6"/>
    </row>
    <row r="150" spans="1:12" x14ac:dyDescent="0.3">
      <c r="A150" s="5" t="s">
        <v>28</v>
      </c>
      <c r="B150" s="6">
        <v>41</v>
      </c>
      <c r="C150" s="5">
        <v>45572.618750000001</v>
      </c>
      <c r="D150" s="5">
        <v>45573.393750000003</v>
      </c>
      <c r="E150" s="7">
        <f t="shared" si="32"/>
        <v>0.77500000000145519</v>
      </c>
      <c r="F150" s="8" t="str">
        <f t="shared" si="33"/>
        <v>ON SLA</v>
      </c>
      <c r="G150" s="9" t="s">
        <v>125</v>
      </c>
      <c r="H150" s="13">
        <v>1</v>
      </c>
      <c r="I150" s="9" t="s">
        <v>149</v>
      </c>
      <c r="J150" s="9" t="s">
        <v>17</v>
      </c>
      <c r="K150" s="9" t="s">
        <v>30</v>
      </c>
      <c r="L150" s="6"/>
    </row>
    <row r="151" spans="1:12" x14ac:dyDescent="0.3">
      <c r="A151" s="5" t="s">
        <v>28</v>
      </c>
      <c r="B151" s="6">
        <v>41</v>
      </c>
      <c r="C151" s="5">
        <v>45572.621527777781</v>
      </c>
      <c r="D151" s="5">
        <v>45572.649305555555</v>
      </c>
      <c r="E151" s="7">
        <f t="shared" si="32"/>
        <v>2.7777777773735579E-2</v>
      </c>
      <c r="F151" s="8" t="str">
        <f t="shared" si="33"/>
        <v>ON SLA</v>
      </c>
      <c r="G151" s="9" t="s">
        <v>125</v>
      </c>
      <c r="H151" s="13">
        <v>1</v>
      </c>
      <c r="I151" s="9" t="s">
        <v>150</v>
      </c>
      <c r="J151" s="9" t="s">
        <v>38</v>
      </c>
      <c r="K151" s="9" t="s">
        <v>30</v>
      </c>
      <c r="L151" s="6"/>
    </row>
    <row r="152" spans="1:12" x14ac:dyDescent="0.3">
      <c r="A152" s="5" t="s">
        <v>28</v>
      </c>
      <c r="B152" s="6">
        <v>41</v>
      </c>
      <c r="C152" s="5">
        <v>45572.62222222222</v>
      </c>
      <c r="D152" s="5">
        <v>45572.640277777777</v>
      </c>
      <c r="E152" s="7">
        <f t="shared" si="32"/>
        <v>1.8055555556202307E-2</v>
      </c>
      <c r="F152" s="8" t="str">
        <f t="shared" si="33"/>
        <v>ON SLA</v>
      </c>
      <c r="G152" s="9" t="s">
        <v>125</v>
      </c>
      <c r="H152" s="13">
        <v>1</v>
      </c>
      <c r="I152" s="9" t="s">
        <v>151</v>
      </c>
      <c r="J152" s="9" t="s">
        <v>49</v>
      </c>
      <c r="K152" s="9" t="s">
        <v>30</v>
      </c>
      <c r="L152" s="6"/>
    </row>
    <row r="153" spans="1:12" x14ac:dyDescent="0.3">
      <c r="A153" s="5" t="s">
        <v>28</v>
      </c>
      <c r="B153" s="6">
        <v>41</v>
      </c>
      <c r="C153" s="5">
        <v>45572.617361111108</v>
      </c>
      <c r="D153" s="5">
        <v>45572.624305555553</v>
      </c>
      <c r="E153" s="7">
        <f t="shared" si="32"/>
        <v>6.9444444452528842E-3</v>
      </c>
      <c r="F153" s="8" t="str">
        <f t="shared" si="33"/>
        <v>ON SLA</v>
      </c>
      <c r="G153" s="9" t="s">
        <v>125</v>
      </c>
      <c r="H153" s="13">
        <v>1</v>
      </c>
      <c r="I153" s="9" t="s">
        <v>148</v>
      </c>
      <c r="J153" s="9" t="s">
        <v>23</v>
      </c>
      <c r="K153" s="9" t="s">
        <v>30</v>
      </c>
      <c r="L153" s="6"/>
    </row>
    <row r="154" spans="1:12" x14ac:dyDescent="0.3">
      <c r="A154" s="5" t="s">
        <v>28</v>
      </c>
      <c r="B154" s="6">
        <v>42</v>
      </c>
      <c r="C154" s="5">
        <v>45579.552083333336</v>
      </c>
      <c r="D154" s="5">
        <v>45580.509027777778</v>
      </c>
      <c r="E154" s="7">
        <f t="shared" si="32"/>
        <v>0.9569444444423425</v>
      </c>
      <c r="F154" s="8" t="str">
        <f t="shared" si="33"/>
        <v>ON SLA</v>
      </c>
      <c r="G154" s="9" t="s">
        <v>125</v>
      </c>
      <c r="H154" s="13">
        <v>1</v>
      </c>
      <c r="I154" s="9" t="s">
        <v>152</v>
      </c>
      <c r="J154" s="9" t="s">
        <v>19</v>
      </c>
      <c r="K154" s="9" t="s">
        <v>30</v>
      </c>
      <c r="L154" s="6"/>
    </row>
    <row r="155" spans="1:12" x14ac:dyDescent="0.3">
      <c r="A155" s="5" t="s">
        <v>28</v>
      </c>
      <c r="B155" s="6">
        <v>42</v>
      </c>
      <c r="C155" s="5">
        <v>45579.552777777775</v>
      </c>
      <c r="D155" s="5">
        <v>45579.555555555555</v>
      </c>
      <c r="E155" s="7">
        <f t="shared" si="32"/>
        <v>2.7777777795563452E-3</v>
      </c>
      <c r="F155" s="8" t="str">
        <f>IF(E156&lt;3,  "ON SLA", "OUTER TAT")</f>
        <v>ON SLA</v>
      </c>
      <c r="G155" s="9" t="s">
        <v>125</v>
      </c>
      <c r="H155" s="13">
        <v>1</v>
      </c>
      <c r="I155" s="9" t="s">
        <v>153</v>
      </c>
      <c r="J155" s="9" t="s">
        <v>14</v>
      </c>
      <c r="K155" s="9" t="s">
        <v>30</v>
      </c>
      <c r="L155" s="6"/>
    </row>
    <row r="156" spans="1:12" x14ac:dyDescent="0.3">
      <c r="A156" s="5" t="s">
        <v>28</v>
      </c>
      <c r="B156" s="6">
        <v>42</v>
      </c>
      <c r="C156" s="5">
        <v>45579.553472222222</v>
      </c>
      <c r="D156" s="5">
        <v>45579.564583333333</v>
      </c>
      <c r="E156" s="7">
        <f t="shared" si="32"/>
        <v>1.1111111110949423E-2</v>
      </c>
      <c r="F156" s="8" t="str">
        <f t="shared" si="33"/>
        <v>ON SLA</v>
      </c>
      <c r="G156" s="9" t="s">
        <v>125</v>
      </c>
      <c r="H156" s="13">
        <v>1</v>
      </c>
      <c r="I156" s="9" t="s">
        <v>154</v>
      </c>
      <c r="J156" s="9" t="s">
        <v>68</v>
      </c>
      <c r="K156" s="9" t="s">
        <v>30</v>
      </c>
      <c r="L156" s="6"/>
    </row>
    <row r="157" spans="1:12" x14ac:dyDescent="0.3">
      <c r="A157" s="5" t="s">
        <v>28</v>
      </c>
      <c r="B157" s="6">
        <v>42</v>
      </c>
      <c r="C157" s="5">
        <v>45579.555555555555</v>
      </c>
      <c r="D157" s="5">
        <v>45580.565972222219</v>
      </c>
      <c r="E157" s="7">
        <f t="shared" si="32"/>
        <v>1.0104166666642413</v>
      </c>
      <c r="F157" s="8" t="str">
        <f t="shared" si="33"/>
        <v>ON SLA</v>
      </c>
      <c r="G157" s="9" t="s">
        <v>125</v>
      </c>
      <c r="H157" s="13">
        <v>1</v>
      </c>
      <c r="I157" s="9" t="s">
        <v>155</v>
      </c>
      <c r="J157" s="9" t="s">
        <v>23</v>
      </c>
      <c r="K157" s="9" t="s">
        <v>30</v>
      </c>
      <c r="L157" s="6"/>
    </row>
    <row r="158" spans="1:12" x14ac:dyDescent="0.3">
      <c r="A158" s="5" t="s">
        <v>28</v>
      </c>
      <c r="B158" s="6">
        <v>42</v>
      </c>
      <c r="C158" s="5">
        <v>45579.556250000001</v>
      </c>
      <c r="D158" s="5">
        <v>45580.011111111111</v>
      </c>
      <c r="E158" s="7">
        <f t="shared" si="32"/>
        <v>0.45486111110949423</v>
      </c>
      <c r="F158" s="8" t="str">
        <f t="shared" si="33"/>
        <v>ON SLA</v>
      </c>
      <c r="G158" s="9" t="s">
        <v>125</v>
      </c>
      <c r="H158" s="13">
        <v>1</v>
      </c>
      <c r="I158" s="9" t="s">
        <v>156</v>
      </c>
      <c r="J158" s="9" t="s">
        <v>17</v>
      </c>
      <c r="K158" s="9" t="s">
        <v>30</v>
      </c>
      <c r="L158" s="6"/>
    </row>
    <row r="159" spans="1:12" x14ac:dyDescent="0.3">
      <c r="A159" s="5" t="s">
        <v>28</v>
      </c>
      <c r="B159" s="6">
        <v>42</v>
      </c>
      <c r="C159" s="5">
        <v>45579.556944444441</v>
      </c>
      <c r="D159" s="5">
        <v>45579.557638888888</v>
      </c>
      <c r="E159" s="7">
        <f t="shared" si="32"/>
        <v>6.944444467080757E-4</v>
      </c>
      <c r="F159" s="8" t="str">
        <f t="shared" si="33"/>
        <v>ON SLA</v>
      </c>
      <c r="G159" s="9" t="s">
        <v>125</v>
      </c>
      <c r="H159" s="13">
        <v>1</v>
      </c>
      <c r="I159" s="9" t="s">
        <v>157</v>
      </c>
      <c r="J159" s="9" t="s">
        <v>38</v>
      </c>
      <c r="K159" s="9" t="s">
        <v>30</v>
      </c>
      <c r="L159" s="6"/>
    </row>
    <row r="160" spans="1:12" x14ac:dyDescent="0.3">
      <c r="A160" s="5" t="s">
        <v>28</v>
      </c>
      <c r="B160" s="6">
        <v>42</v>
      </c>
      <c r="C160" s="5">
        <v>45579.556944444441</v>
      </c>
      <c r="D160" s="5">
        <v>45579.584722222222</v>
      </c>
      <c r="E160" s="7">
        <f t="shared" si="32"/>
        <v>2.7777777781011537E-2</v>
      </c>
      <c r="F160" s="8" t="str">
        <f t="shared" si="33"/>
        <v>ON SLA</v>
      </c>
      <c r="G160" s="9" t="s">
        <v>125</v>
      </c>
      <c r="H160" s="13">
        <v>1</v>
      </c>
      <c r="I160" s="9" t="s">
        <v>158</v>
      </c>
      <c r="J160" s="9" t="s">
        <v>49</v>
      </c>
      <c r="K160" s="9" t="s">
        <v>30</v>
      </c>
      <c r="L160" s="6"/>
    </row>
    <row r="161" spans="1:12" x14ac:dyDescent="0.3">
      <c r="A161" s="5" t="s">
        <v>28</v>
      </c>
      <c r="B161" s="6">
        <v>42</v>
      </c>
      <c r="C161" s="5">
        <v>45579.558333333334</v>
      </c>
      <c r="D161" s="5">
        <v>45580.456250000003</v>
      </c>
      <c r="E161" s="7">
        <f t="shared" si="32"/>
        <v>0.89791666666860692</v>
      </c>
      <c r="F161" s="8" t="str">
        <f t="shared" si="33"/>
        <v>ON SLA</v>
      </c>
      <c r="G161" s="9" t="s">
        <v>125</v>
      </c>
      <c r="H161" s="13">
        <v>1</v>
      </c>
      <c r="I161" s="9" t="s">
        <v>159</v>
      </c>
      <c r="J161" s="9" t="s">
        <v>26</v>
      </c>
      <c r="K161" s="9" t="s">
        <v>30</v>
      </c>
      <c r="L161" s="6"/>
    </row>
    <row r="162" spans="1:12" x14ac:dyDescent="0.3">
      <c r="A162" s="5" t="s">
        <v>28</v>
      </c>
      <c r="B162" s="6">
        <v>43</v>
      </c>
      <c r="C162" s="5">
        <v>45586.686111111114</v>
      </c>
      <c r="D162" s="5">
        <v>45588.431944444441</v>
      </c>
      <c r="E162" s="7">
        <f t="shared" si="32"/>
        <v>1.7458333333270275</v>
      </c>
      <c r="F162" s="8" t="str">
        <f t="shared" si="33"/>
        <v>ON SLA</v>
      </c>
      <c r="G162" s="9" t="s">
        <v>125</v>
      </c>
      <c r="H162" s="13">
        <v>1</v>
      </c>
      <c r="I162" s="9" t="s">
        <v>160</v>
      </c>
      <c r="J162" s="9" t="s">
        <v>19</v>
      </c>
      <c r="K162" s="9" t="s">
        <v>30</v>
      </c>
      <c r="L162" s="6"/>
    </row>
    <row r="163" spans="1:12" x14ac:dyDescent="0.3">
      <c r="A163" s="5" t="s">
        <v>28</v>
      </c>
      <c r="B163" s="6">
        <v>43</v>
      </c>
      <c r="C163" s="5">
        <v>45586.6875</v>
      </c>
      <c r="D163" s="5">
        <v>45587.618750000001</v>
      </c>
      <c r="E163" s="7">
        <f t="shared" si="32"/>
        <v>0.93125000000145519</v>
      </c>
      <c r="F163" s="8" t="str">
        <f t="shared" si="33"/>
        <v>ON SLA</v>
      </c>
      <c r="G163" s="9" t="s">
        <v>125</v>
      </c>
      <c r="H163" s="13">
        <v>1</v>
      </c>
      <c r="I163" s="9" t="s">
        <v>161</v>
      </c>
      <c r="J163" s="9" t="s">
        <v>14</v>
      </c>
      <c r="K163" s="9" t="s">
        <v>30</v>
      </c>
      <c r="L163" s="6"/>
    </row>
    <row r="164" spans="1:12" x14ac:dyDescent="0.3">
      <c r="A164" s="5" t="s">
        <v>28</v>
      </c>
      <c r="B164" s="6">
        <v>43</v>
      </c>
      <c r="C164" s="5">
        <v>45586.688194444447</v>
      </c>
      <c r="D164" s="5">
        <v>45587.345833333333</v>
      </c>
      <c r="E164" s="7">
        <f t="shared" si="32"/>
        <v>0.65763888888614019</v>
      </c>
      <c r="F164" s="8" t="str">
        <f t="shared" si="33"/>
        <v>ON SLA</v>
      </c>
      <c r="G164" s="9" t="s">
        <v>125</v>
      </c>
      <c r="H164" s="13">
        <v>1</v>
      </c>
      <c r="I164" s="9" t="s">
        <v>162</v>
      </c>
      <c r="J164" s="9" t="s">
        <v>68</v>
      </c>
      <c r="K164" s="9" t="s">
        <v>30</v>
      </c>
      <c r="L164" s="6"/>
    </row>
    <row r="165" spans="1:12" x14ac:dyDescent="0.3">
      <c r="A165" s="5" t="s">
        <v>28</v>
      </c>
      <c r="B165" s="6">
        <v>43</v>
      </c>
      <c r="C165" s="5">
        <v>45588.507638888892</v>
      </c>
      <c r="D165" s="5">
        <v>45588.511111111111</v>
      </c>
      <c r="E165" s="7">
        <f t="shared" si="32"/>
        <v>3.4722222189884633E-3</v>
      </c>
      <c r="F165" s="8" t="str">
        <f t="shared" si="33"/>
        <v>ON SLA</v>
      </c>
      <c r="G165" s="9" t="s">
        <v>125</v>
      </c>
      <c r="H165" s="13">
        <v>1</v>
      </c>
      <c r="I165" s="9" t="s">
        <v>163</v>
      </c>
      <c r="J165" s="9" t="s">
        <v>17</v>
      </c>
      <c r="K165" s="9" t="s">
        <v>30</v>
      </c>
      <c r="L165" s="6"/>
    </row>
    <row r="166" spans="1:12" x14ac:dyDescent="0.3">
      <c r="A166" s="5" t="s">
        <v>28</v>
      </c>
      <c r="B166" s="6">
        <v>43</v>
      </c>
      <c r="C166" s="5">
        <v>45586.688888888886</v>
      </c>
      <c r="D166" s="5">
        <v>45586.690972222219</v>
      </c>
      <c r="E166" s="7">
        <f t="shared" si="32"/>
        <v>2.0833333328482695E-3</v>
      </c>
      <c r="F166" s="8" t="str">
        <f t="shared" si="33"/>
        <v>ON SLA</v>
      </c>
      <c r="G166" s="9" t="s">
        <v>125</v>
      </c>
      <c r="H166" s="13">
        <v>1</v>
      </c>
      <c r="I166" s="9" t="s">
        <v>164</v>
      </c>
      <c r="J166" s="9" t="s">
        <v>23</v>
      </c>
      <c r="K166" s="9" t="s">
        <v>30</v>
      </c>
      <c r="L166" s="6"/>
    </row>
    <row r="167" spans="1:12" x14ac:dyDescent="0.3">
      <c r="A167" s="5" t="s">
        <v>28</v>
      </c>
      <c r="B167" s="6">
        <v>43</v>
      </c>
      <c r="C167" s="5">
        <v>45586.69027777778</v>
      </c>
      <c r="D167" s="5">
        <v>45588.438194444447</v>
      </c>
      <c r="E167" s="7">
        <f t="shared" si="32"/>
        <v>1.7479166666671517</v>
      </c>
      <c r="F167" s="8" t="str">
        <f t="shared" si="33"/>
        <v>ON SLA</v>
      </c>
      <c r="G167" s="9" t="s">
        <v>125</v>
      </c>
      <c r="H167" s="13">
        <v>1</v>
      </c>
      <c r="I167" s="9" t="s">
        <v>165</v>
      </c>
      <c r="J167" s="9" t="s">
        <v>38</v>
      </c>
      <c r="K167" s="9" t="s">
        <v>30</v>
      </c>
      <c r="L167" s="6"/>
    </row>
    <row r="168" spans="1:12" x14ac:dyDescent="0.3">
      <c r="A168" s="5" t="s">
        <v>28</v>
      </c>
      <c r="B168" s="6">
        <v>43</v>
      </c>
      <c r="C168" s="5">
        <v>45586.69027777778</v>
      </c>
      <c r="D168" s="5">
        <v>45586.702777777777</v>
      </c>
      <c r="E168" s="7">
        <f t="shared" si="32"/>
        <v>1.2499999997089617E-2</v>
      </c>
      <c r="F168" s="8" t="str">
        <f t="shared" si="33"/>
        <v>ON SLA</v>
      </c>
      <c r="G168" s="9" t="s">
        <v>125</v>
      </c>
      <c r="H168" s="13">
        <v>1</v>
      </c>
      <c r="I168" s="9" t="s">
        <v>166</v>
      </c>
      <c r="J168" s="9" t="s">
        <v>49</v>
      </c>
      <c r="K168" s="9" t="s">
        <v>30</v>
      </c>
      <c r="L168" s="6"/>
    </row>
    <row r="169" spans="1:12" x14ac:dyDescent="0.3">
      <c r="A169" s="5" t="s">
        <v>28</v>
      </c>
      <c r="B169" s="6">
        <v>43</v>
      </c>
      <c r="C169" s="5">
        <v>45586.690972222219</v>
      </c>
      <c r="D169" s="5">
        <v>45586.694444444445</v>
      </c>
      <c r="E169" s="7">
        <f t="shared" si="32"/>
        <v>3.4722222262644209E-3</v>
      </c>
      <c r="F169" s="8" t="str">
        <f t="shared" si="33"/>
        <v>ON SLA</v>
      </c>
      <c r="G169" s="9" t="s">
        <v>125</v>
      </c>
      <c r="H169" s="13">
        <v>1</v>
      </c>
      <c r="I169" s="9" t="s">
        <v>167</v>
      </c>
      <c r="J169" s="9" t="s">
        <v>26</v>
      </c>
      <c r="K169" s="9" t="s">
        <v>30</v>
      </c>
      <c r="L169" s="6"/>
    </row>
    <row r="170" spans="1:12" x14ac:dyDescent="0.3">
      <c r="A170" s="5" t="s">
        <v>28</v>
      </c>
      <c r="B170" s="6">
        <v>43</v>
      </c>
      <c r="C170" s="5">
        <v>45586.69027777778</v>
      </c>
      <c r="D170" s="5">
        <v>45588.438194444447</v>
      </c>
      <c r="E170" s="7">
        <f t="shared" si="32"/>
        <v>1.7479166666671517</v>
      </c>
      <c r="F170" s="8" t="str">
        <f>IF(E171&gt;3,  "ON SLA", "OFF SLA")</f>
        <v>ON SLA</v>
      </c>
      <c r="G170" s="9" t="s">
        <v>125</v>
      </c>
      <c r="H170" s="13">
        <v>1</v>
      </c>
      <c r="I170" s="9" t="s">
        <v>165</v>
      </c>
      <c r="J170" s="9" t="s">
        <v>38</v>
      </c>
      <c r="K170" s="9" t="s">
        <v>30</v>
      </c>
      <c r="L170" s="6"/>
    </row>
    <row r="171" spans="1:12" x14ac:dyDescent="0.3">
      <c r="A171" s="5" t="s">
        <v>41</v>
      </c>
      <c r="B171" s="6">
        <v>45</v>
      </c>
      <c r="C171" s="5">
        <v>45597.526388888888</v>
      </c>
      <c r="D171" s="5">
        <v>45601.488194444442</v>
      </c>
      <c r="E171" s="7">
        <f t="shared" si="32"/>
        <v>3.9618055555547471</v>
      </c>
      <c r="F171" s="8" t="str">
        <f>IF(E172&lt;3,  "ON SLA", "OFF SLA")</f>
        <v>ON SLA</v>
      </c>
      <c r="G171" s="9" t="s">
        <v>125</v>
      </c>
      <c r="H171" s="13">
        <v>1</v>
      </c>
      <c r="I171" s="11" t="s">
        <v>168</v>
      </c>
      <c r="J171" s="9" t="s">
        <v>19</v>
      </c>
      <c r="K171" s="9" t="s">
        <v>30</v>
      </c>
      <c r="L171" s="6"/>
    </row>
    <row r="172" spans="1:12" x14ac:dyDescent="0.3">
      <c r="A172" s="5" t="s">
        <v>41</v>
      </c>
      <c r="B172" s="6">
        <v>44</v>
      </c>
      <c r="C172" s="5">
        <v>45597.527777777781</v>
      </c>
      <c r="D172" s="5">
        <v>45597.53402777778</v>
      </c>
      <c r="E172" s="7">
        <f t="shared" si="32"/>
        <v>6.2499999985448085E-3</v>
      </c>
      <c r="F172" s="8" t="str">
        <f t="shared" ref="F172" si="34">IF(E173&gt;3,  "ON SLA", "OFF SLA")</f>
        <v>ON SLA</v>
      </c>
      <c r="G172" s="9" t="s">
        <v>125</v>
      </c>
      <c r="H172" s="13">
        <v>1</v>
      </c>
      <c r="I172" s="11" t="s">
        <v>169</v>
      </c>
      <c r="J172" s="9" t="s">
        <v>14</v>
      </c>
      <c r="K172" s="9" t="s">
        <v>30</v>
      </c>
      <c r="L172" s="6"/>
    </row>
    <row r="173" spans="1:12" x14ac:dyDescent="0.3">
      <c r="A173" s="5" t="s">
        <v>41</v>
      </c>
      <c r="B173" s="6">
        <v>45</v>
      </c>
      <c r="C173" s="5">
        <v>45597.527777777781</v>
      </c>
      <c r="D173" s="5">
        <v>45600.578472222223</v>
      </c>
      <c r="E173" s="7">
        <f t="shared" si="32"/>
        <v>3.0506944444423425</v>
      </c>
      <c r="F173" s="8" t="str">
        <f>IF(E174&lt;3,  "ON SLA", "OFF SLA")</f>
        <v>ON SLA</v>
      </c>
      <c r="G173" s="9" t="s">
        <v>125</v>
      </c>
      <c r="H173" s="13">
        <v>1</v>
      </c>
      <c r="I173" s="11" t="s">
        <v>170</v>
      </c>
      <c r="J173" s="9" t="s">
        <v>68</v>
      </c>
      <c r="K173" s="9" t="s">
        <v>30</v>
      </c>
      <c r="L173" s="6"/>
    </row>
    <row r="174" spans="1:12" x14ac:dyDescent="0.3">
      <c r="A174" s="5" t="s">
        <v>41</v>
      </c>
      <c r="B174" s="6">
        <v>44</v>
      </c>
      <c r="C174" s="5">
        <v>45597.529166666667</v>
      </c>
      <c r="D174" s="5">
        <v>45597.542361111111</v>
      </c>
      <c r="E174" s="7">
        <f t="shared" si="32"/>
        <v>1.3194444443797693E-2</v>
      </c>
      <c r="F174" s="8" t="str">
        <f>IF(E175&lt;3,  "ON SLA", "OFF SLA")</f>
        <v>ON SLA</v>
      </c>
      <c r="G174" s="9" t="s">
        <v>125</v>
      </c>
      <c r="H174" s="13">
        <v>1</v>
      </c>
      <c r="I174" s="11" t="s">
        <v>171</v>
      </c>
      <c r="J174" s="9" t="s">
        <v>23</v>
      </c>
      <c r="K174" s="9" t="s">
        <v>30</v>
      </c>
      <c r="L174" s="6"/>
    </row>
    <row r="175" spans="1:12" x14ac:dyDescent="0.3">
      <c r="A175" s="5" t="s">
        <v>41</v>
      </c>
      <c r="B175" s="6">
        <v>44</v>
      </c>
      <c r="C175" s="5">
        <v>45597.529861111114</v>
      </c>
      <c r="D175" s="5">
        <v>45597.549305555556</v>
      </c>
      <c r="E175" s="7">
        <f t="shared" si="32"/>
        <v>1.9444444442342501E-2</v>
      </c>
      <c r="F175" s="8" t="str">
        <f>IF(E176&lt;3,  "ON SLA", "OFF SLA")</f>
        <v>ON SLA</v>
      </c>
      <c r="G175" s="9" t="s">
        <v>125</v>
      </c>
      <c r="H175" s="13">
        <v>1</v>
      </c>
      <c r="I175" s="11" t="s">
        <v>172</v>
      </c>
      <c r="J175" s="9" t="s">
        <v>38</v>
      </c>
      <c r="K175" s="9" t="s">
        <v>30</v>
      </c>
      <c r="L175" s="6"/>
    </row>
    <row r="176" spans="1:12" x14ac:dyDescent="0.3">
      <c r="A176" s="5" t="s">
        <v>41</v>
      </c>
      <c r="B176" s="6">
        <v>45</v>
      </c>
      <c r="C176" s="5">
        <v>45597.53125</v>
      </c>
      <c r="D176" s="5">
        <v>45599.372916666667</v>
      </c>
      <c r="E176" s="7">
        <f t="shared" si="32"/>
        <v>1.8416666666671517</v>
      </c>
      <c r="F176" s="8" t="str">
        <f t="shared" ref="F176:F178" si="35">IF(E177&lt;3,  "ON SLA", "OFF SLA")</f>
        <v>ON SLA</v>
      </c>
      <c r="G176" s="9" t="s">
        <v>125</v>
      </c>
      <c r="H176" s="13">
        <v>1</v>
      </c>
      <c r="I176" s="11" t="s">
        <v>173</v>
      </c>
      <c r="J176" s="9" t="s">
        <v>49</v>
      </c>
      <c r="K176" s="9" t="s">
        <v>30</v>
      </c>
      <c r="L176" s="6"/>
    </row>
    <row r="177" spans="1:12" x14ac:dyDescent="0.3">
      <c r="A177" s="5" t="s">
        <v>41</v>
      </c>
      <c r="B177" s="6">
        <v>45</v>
      </c>
      <c r="C177" s="5">
        <v>45597.53125</v>
      </c>
      <c r="D177" s="5">
        <v>45600.486805555556</v>
      </c>
      <c r="E177" s="7">
        <f t="shared" si="32"/>
        <v>2.9555555555562023</v>
      </c>
      <c r="F177" s="8" t="str">
        <f t="shared" si="35"/>
        <v>ON SLA</v>
      </c>
      <c r="G177" s="9" t="s">
        <v>125</v>
      </c>
      <c r="H177" s="13">
        <v>1</v>
      </c>
      <c r="I177" s="11" t="s">
        <v>174</v>
      </c>
      <c r="J177" s="9" t="s">
        <v>26</v>
      </c>
      <c r="K177" s="9" t="s">
        <v>30</v>
      </c>
      <c r="L177" s="6"/>
    </row>
    <row r="178" spans="1:12" x14ac:dyDescent="0.3">
      <c r="A178" s="5" t="s">
        <v>41</v>
      </c>
      <c r="B178" s="6">
        <v>45</v>
      </c>
      <c r="C178" s="5">
        <v>45604.731944444444</v>
      </c>
      <c r="D178" s="5">
        <v>45605.804861111108</v>
      </c>
      <c r="E178" s="7">
        <f t="shared" si="32"/>
        <v>1.0729166666642413</v>
      </c>
      <c r="F178" s="8" t="str">
        <f t="shared" si="35"/>
        <v>ON SLA</v>
      </c>
      <c r="G178" s="9" t="s">
        <v>125</v>
      </c>
      <c r="H178" s="13">
        <v>1</v>
      </c>
      <c r="I178" s="11" t="s">
        <v>175</v>
      </c>
      <c r="J178" s="9" t="s">
        <v>19</v>
      </c>
      <c r="K178" s="9" t="s">
        <v>30</v>
      </c>
      <c r="L178" s="6"/>
    </row>
    <row r="179" spans="1:12" x14ac:dyDescent="0.3">
      <c r="A179" s="5" t="s">
        <v>41</v>
      </c>
      <c r="B179" s="6">
        <v>45</v>
      </c>
      <c r="C179" s="5">
        <v>45604.732638888891</v>
      </c>
      <c r="D179" s="5">
        <v>45604.734027777777</v>
      </c>
      <c r="E179" s="7">
        <f t="shared" si="32"/>
        <v>1.3888888861401938E-3</v>
      </c>
      <c r="F179" s="8" t="str">
        <f>IF(E180&gt;3,  "ON SLA", "OFF SLA")</f>
        <v>ON SLA</v>
      </c>
      <c r="G179" s="9" t="s">
        <v>125</v>
      </c>
      <c r="H179" s="13">
        <v>1</v>
      </c>
      <c r="I179" s="11" t="s">
        <v>176</v>
      </c>
      <c r="J179" s="9" t="s">
        <v>14</v>
      </c>
      <c r="K179" s="9" t="s">
        <v>30</v>
      </c>
      <c r="L179" s="6"/>
    </row>
    <row r="180" spans="1:12" x14ac:dyDescent="0.3">
      <c r="A180" s="5" t="s">
        <v>41</v>
      </c>
      <c r="B180" s="6">
        <v>46</v>
      </c>
      <c r="C180" s="5">
        <v>45604.73333333333</v>
      </c>
      <c r="D180" s="5">
        <v>45608.395138888889</v>
      </c>
      <c r="E180" s="7">
        <f t="shared" si="32"/>
        <v>3.6618055555591127</v>
      </c>
      <c r="F180" s="8" t="str">
        <f t="shared" ref="F180" si="36">IF(E181&gt;3,  "ON SLA", "OFF SLA")</f>
        <v>ON SLA</v>
      </c>
      <c r="G180" s="9" t="s">
        <v>125</v>
      </c>
      <c r="H180" s="13">
        <v>1</v>
      </c>
      <c r="I180" s="11" t="s">
        <v>177</v>
      </c>
      <c r="J180" s="9" t="s">
        <v>68</v>
      </c>
      <c r="K180" s="9" t="s">
        <v>30</v>
      </c>
      <c r="L180" s="6"/>
    </row>
    <row r="181" spans="1:12" x14ac:dyDescent="0.3">
      <c r="A181" s="5" t="s">
        <v>41</v>
      </c>
      <c r="B181" s="6">
        <v>46</v>
      </c>
      <c r="C181" s="5">
        <v>45604.734027777777</v>
      </c>
      <c r="D181" s="5">
        <v>45608.821527777778</v>
      </c>
      <c r="E181" s="7">
        <f t="shared" si="32"/>
        <v>4.0875000000014552</v>
      </c>
      <c r="F181" s="8" t="str">
        <f>IF(E182&lt;3,  "ON SLA", "OFF SLA")</f>
        <v>ON SLA</v>
      </c>
      <c r="G181" s="9" t="s">
        <v>125</v>
      </c>
      <c r="H181" s="13">
        <v>1</v>
      </c>
      <c r="I181" s="11" t="s">
        <v>178</v>
      </c>
      <c r="J181" s="9" t="s">
        <v>17</v>
      </c>
      <c r="K181" s="9" t="s">
        <v>30</v>
      </c>
      <c r="L181" s="6"/>
    </row>
    <row r="182" spans="1:12" x14ac:dyDescent="0.3">
      <c r="A182" s="5" t="s">
        <v>41</v>
      </c>
      <c r="B182" s="6">
        <v>45</v>
      </c>
      <c r="C182" s="5">
        <v>45604.734722222223</v>
      </c>
      <c r="D182" s="5">
        <v>45604.736111111109</v>
      </c>
      <c r="E182" s="7">
        <f t="shared" si="32"/>
        <v>1.3888888861401938E-3</v>
      </c>
      <c r="F182" s="8" t="str">
        <f t="shared" ref="F182:F184" si="37">IF(E183&lt;3,  "ON SLA", "OFF SLA")</f>
        <v>ON SLA</v>
      </c>
      <c r="G182" s="9" t="s">
        <v>125</v>
      </c>
      <c r="H182" s="13">
        <v>1</v>
      </c>
      <c r="I182" s="11" t="s">
        <v>179</v>
      </c>
      <c r="J182" s="9" t="s">
        <v>23</v>
      </c>
      <c r="K182" s="9" t="s">
        <v>30</v>
      </c>
      <c r="L182" s="6"/>
    </row>
    <row r="183" spans="1:12" x14ac:dyDescent="0.3">
      <c r="A183" s="5" t="s">
        <v>41</v>
      </c>
      <c r="B183" s="6">
        <v>45</v>
      </c>
      <c r="C183" s="5">
        <v>45604.73541666667</v>
      </c>
      <c r="D183" s="5">
        <v>45604.741666666669</v>
      </c>
      <c r="E183" s="7">
        <f t="shared" si="32"/>
        <v>6.2499999985448085E-3</v>
      </c>
      <c r="F183" s="8" t="str">
        <f t="shared" si="37"/>
        <v>ON SLA</v>
      </c>
      <c r="G183" s="9" t="s">
        <v>125</v>
      </c>
      <c r="H183" s="13">
        <v>1</v>
      </c>
      <c r="I183" s="11" t="s">
        <v>180</v>
      </c>
      <c r="J183" s="9" t="s">
        <v>38</v>
      </c>
      <c r="K183" s="9" t="s">
        <v>30</v>
      </c>
      <c r="L183" s="6"/>
    </row>
    <row r="184" spans="1:12" x14ac:dyDescent="0.3">
      <c r="A184" s="5" t="s">
        <v>41</v>
      </c>
      <c r="B184" s="6">
        <v>46</v>
      </c>
      <c r="C184" s="5">
        <v>45604.736111111109</v>
      </c>
      <c r="D184" s="5">
        <v>45606.392361111109</v>
      </c>
      <c r="E184" s="7">
        <f t="shared" si="32"/>
        <v>1.65625</v>
      </c>
      <c r="F184" s="8" t="str">
        <f t="shared" si="37"/>
        <v>ON SLA</v>
      </c>
      <c r="G184" s="9" t="s">
        <v>125</v>
      </c>
      <c r="H184" s="13">
        <v>1</v>
      </c>
      <c r="I184" s="11" t="s">
        <v>181</v>
      </c>
      <c r="J184" s="9" t="s">
        <v>49</v>
      </c>
      <c r="K184" s="9" t="s">
        <v>30</v>
      </c>
      <c r="L184" s="6"/>
    </row>
    <row r="185" spans="1:12" x14ac:dyDescent="0.3">
      <c r="A185" s="5" t="s">
        <v>41</v>
      </c>
      <c r="B185" s="6">
        <v>45</v>
      </c>
      <c r="C185" s="5">
        <v>45604.736805555556</v>
      </c>
      <c r="D185" s="5">
        <v>45604.773611111108</v>
      </c>
      <c r="E185" s="7">
        <f t="shared" si="32"/>
        <v>3.6805555551836733E-2</v>
      </c>
      <c r="F185" s="8" t="str">
        <f>IF(E185&lt;3,  "ON SLA", "OFF SLA")</f>
        <v>ON SLA</v>
      </c>
      <c r="G185" s="9" t="s">
        <v>125</v>
      </c>
      <c r="H185" s="13">
        <v>1</v>
      </c>
      <c r="I185" s="11" t="s">
        <v>182</v>
      </c>
      <c r="J185" s="9" t="s">
        <v>26</v>
      </c>
      <c r="K185" s="9" t="s">
        <v>30</v>
      </c>
      <c r="L185" s="6"/>
    </row>
    <row r="186" spans="1:12" x14ac:dyDescent="0.3">
      <c r="A186" s="5" t="str">
        <f t="shared" ref="A186:A197" si="38">TEXT(D186,"mmm")</f>
        <v>Nov</v>
      </c>
      <c r="B186" s="6">
        <f t="shared" ref="B186:B197" si="39">WEEKNUM(D186)</f>
        <v>45</v>
      </c>
      <c r="C186" s="5">
        <v>45601.640277777798</v>
      </c>
      <c r="D186" s="5">
        <v>45601.757638888899</v>
      </c>
      <c r="E186" s="7">
        <f t="shared" ref="E186:E249" si="40">D186-C186</f>
        <v>0.11736111110076308</v>
      </c>
      <c r="F186" s="8" t="str">
        <f>IF(E246&lt;3,  "ON SLA", "OFF SAL")</f>
        <v>ON SLA</v>
      </c>
      <c r="G186" s="9" t="s">
        <v>183</v>
      </c>
      <c r="H186" s="13">
        <v>2</v>
      </c>
      <c r="I186" s="9" t="s">
        <v>184</v>
      </c>
      <c r="J186" s="9" t="s">
        <v>185</v>
      </c>
      <c r="K186" s="9" t="s">
        <v>15</v>
      </c>
      <c r="L186" s="6"/>
    </row>
    <row r="187" spans="1:12" x14ac:dyDescent="0.3">
      <c r="A187" s="5" t="str">
        <f t="shared" si="38"/>
        <v>Nov</v>
      </c>
      <c r="B187" s="6">
        <f t="shared" si="39"/>
        <v>45</v>
      </c>
      <c r="C187" s="5">
        <v>45602.473611111098</v>
      </c>
      <c r="D187" s="5">
        <v>45602.536805555603</v>
      </c>
      <c r="E187" s="7">
        <f t="shared" si="40"/>
        <v>6.3194444504915737E-2</v>
      </c>
      <c r="F187" s="8" t="str">
        <f t="shared" ref="F187:F202" si="41">IF(E247&lt;3,  "ON SLA", "OFF SAL")</f>
        <v>ON SLA</v>
      </c>
      <c r="G187" s="9" t="s">
        <v>183</v>
      </c>
      <c r="H187" s="13">
        <v>2</v>
      </c>
      <c r="I187" s="9" t="s">
        <v>186</v>
      </c>
      <c r="J187" s="9" t="s">
        <v>185</v>
      </c>
      <c r="K187" s="9" t="s">
        <v>15</v>
      </c>
      <c r="L187" s="6"/>
    </row>
    <row r="188" spans="1:12" x14ac:dyDescent="0.3">
      <c r="A188" s="5" t="str">
        <f t="shared" si="38"/>
        <v>Nov</v>
      </c>
      <c r="B188" s="6">
        <f t="shared" si="39"/>
        <v>46</v>
      </c>
      <c r="C188" s="5">
        <v>45611.583333333299</v>
      </c>
      <c r="D188" s="5">
        <v>45611.801388888904</v>
      </c>
      <c r="E188" s="7">
        <f t="shared" si="40"/>
        <v>0.21805555560422363</v>
      </c>
      <c r="F188" s="8" t="str">
        <f t="shared" si="41"/>
        <v>ON SLA</v>
      </c>
      <c r="G188" s="9" t="s">
        <v>183</v>
      </c>
      <c r="H188" s="13">
        <v>2</v>
      </c>
      <c r="I188" s="9" t="s">
        <v>187</v>
      </c>
      <c r="J188" s="9" t="s">
        <v>188</v>
      </c>
      <c r="K188" s="9" t="s">
        <v>15</v>
      </c>
      <c r="L188" s="6"/>
    </row>
    <row r="189" spans="1:12" x14ac:dyDescent="0.3">
      <c r="A189" s="5" t="str">
        <f t="shared" si="38"/>
        <v>Nov</v>
      </c>
      <c r="B189" s="6">
        <f t="shared" si="39"/>
        <v>47</v>
      </c>
      <c r="C189" s="5">
        <v>45614.635416666701</v>
      </c>
      <c r="D189" s="5">
        <v>45615.635416666701</v>
      </c>
      <c r="E189" s="7">
        <f t="shared" si="40"/>
        <v>1</v>
      </c>
      <c r="F189" s="8" t="str">
        <f t="shared" si="41"/>
        <v>ON SLA</v>
      </c>
      <c r="G189" s="84" t="s">
        <v>183</v>
      </c>
      <c r="H189" s="13">
        <v>2</v>
      </c>
      <c r="I189" s="9" t="s">
        <v>189</v>
      </c>
      <c r="J189" s="9" t="s">
        <v>188</v>
      </c>
      <c r="K189" s="9" t="s">
        <v>15</v>
      </c>
      <c r="L189" s="6"/>
    </row>
    <row r="190" spans="1:12" x14ac:dyDescent="0.3">
      <c r="A190" s="5" t="str">
        <f t="shared" si="38"/>
        <v>Nov</v>
      </c>
      <c r="B190" s="6">
        <f t="shared" si="39"/>
        <v>47</v>
      </c>
      <c r="C190" s="5">
        <v>45614.699305555601</v>
      </c>
      <c r="D190" s="5">
        <v>45615.663888888899</v>
      </c>
      <c r="E190" s="7">
        <f t="shared" si="40"/>
        <v>0.96458333329792367</v>
      </c>
      <c r="F190" s="8" t="str">
        <f t="shared" si="41"/>
        <v>ON SLA</v>
      </c>
      <c r="G190" s="9" t="s">
        <v>183</v>
      </c>
      <c r="H190" s="13">
        <v>2</v>
      </c>
      <c r="I190" s="9" t="s">
        <v>190</v>
      </c>
      <c r="J190" s="9" t="s">
        <v>188</v>
      </c>
      <c r="K190" s="9" t="s">
        <v>15</v>
      </c>
      <c r="L190" s="6"/>
    </row>
    <row r="191" spans="1:12" x14ac:dyDescent="0.3">
      <c r="A191" s="5" t="str">
        <f t="shared" si="38"/>
        <v>Nov</v>
      </c>
      <c r="B191" s="6">
        <f t="shared" si="39"/>
        <v>47</v>
      </c>
      <c r="C191" s="5">
        <v>45611.995833333298</v>
      </c>
      <c r="D191" s="5">
        <v>45615.6652777778</v>
      </c>
      <c r="E191" s="7">
        <f t="shared" si="40"/>
        <v>3.6694444445020054</v>
      </c>
      <c r="F191" s="8" t="str">
        <f t="shared" si="41"/>
        <v>ON SLA</v>
      </c>
      <c r="G191" s="9" t="s">
        <v>183</v>
      </c>
      <c r="H191" s="13">
        <v>2</v>
      </c>
      <c r="I191" s="9" t="s">
        <v>191</v>
      </c>
      <c r="J191" s="9" t="s">
        <v>188</v>
      </c>
      <c r="K191" s="9" t="s">
        <v>15</v>
      </c>
      <c r="L191" s="6"/>
    </row>
    <row r="192" spans="1:12" x14ac:dyDescent="0.3">
      <c r="A192" s="5" t="str">
        <f t="shared" si="38"/>
        <v>Nov</v>
      </c>
      <c r="B192" s="6">
        <f t="shared" si="39"/>
        <v>47</v>
      </c>
      <c r="C192" s="5">
        <v>45615.769444444399</v>
      </c>
      <c r="D192" s="5">
        <v>45615.769444444399</v>
      </c>
      <c r="E192" s="7">
        <f t="shared" si="40"/>
        <v>0</v>
      </c>
      <c r="F192" s="8" t="str">
        <f t="shared" si="41"/>
        <v>ON SLA</v>
      </c>
      <c r="G192" s="9" t="s">
        <v>183</v>
      </c>
      <c r="H192" s="13">
        <v>2</v>
      </c>
      <c r="I192" s="9" t="s">
        <v>192</v>
      </c>
      <c r="J192" s="9" t="s">
        <v>188</v>
      </c>
      <c r="K192" s="9" t="s">
        <v>15</v>
      </c>
      <c r="L192" s="6"/>
    </row>
    <row r="193" spans="1:12" x14ac:dyDescent="0.3">
      <c r="A193" s="5" t="str">
        <f t="shared" si="38"/>
        <v>Nov</v>
      </c>
      <c r="B193" s="6">
        <f t="shared" si="39"/>
        <v>47</v>
      </c>
      <c r="C193" s="5">
        <v>45616.638888888898</v>
      </c>
      <c r="D193" s="5">
        <v>45616.638888888898</v>
      </c>
      <c r="E193" s="7">
        <f t="shared" si="40"/>
        <v>0</v>
      </c>
      <c r="F193" s="8" t="str">
        <f t="shared" si="41"/>
        <v>ON SLA</v>
      </c>
      <c r="G193" s="9" t="s">
        <v>183</v>
      </c>
      <c r="H193" s="13">
        <v>2</v>
      </c>
      <c r="I193" s="9" t="s">
        <v>193</v>
      </c>
      <c r="J193" s="9" t="s">
        <v>188</v>
      </c>
      <c r="K193" s="9" t="s">
        <v>15</v>
      </c>
      <c r="L193" s="6"/>
    </row>
    <row r="194" spans="1:12" x14ac:dyDescent="0.3">
      <c r="A194" s="5" t="str">
        <f t="shared" si="38"/>
        <v>Nov</v>
      </c>
      <c r="B194" s="6">
        <f t="shared" si="39"/>
        <v>47</v>
      </c>
      <c r="C194" s="5">
        <v>45617.670833333301</v>
      </c>
      <c r="D194" s="5">
        <v>45617.670833333301</v>
      </c>
      <c r="E194" s="7">
        <f t="shared" si="40"/>
        <v>0</v>
      </c>
      <c r="F194" s="8" t="str">
        <f t="shared" si="41"/>
        <v>ON SLA</v>
      </c>
      <c r="G194" s="9" t="s">
        <v>183</v>
      </c>
      <c r="H194" s="13">
        <v>2</v>
      </c>
      <c r="I194" s="9" t="s">
        <v>194</v>
      </c>
      <c r="J194" s="9" t="s">
        <v>188</v>
      </c>
      <c r="K194" s="9" t="s">
        <v>15</v>
      </c>
      <c r="L194" s="6"/>
    </row>
    <row r="195" spans="1:12" x14ac:dyDescent="0.3">
      <c r="A195" s="5" t="str">
        <f t="shared" si="38"/>
        <v>Nov</v>
      </c>
      <c r="B195" s="6">
        <f t="shared" si="39"/>
        <v>48</v>
      </c>
      <c r="C195" s="5">
        <v>45621.538194444402</v>
      </c>
      <c r="D195" s="5">
        <v>45621.609027777798</v>
      </c>
      <c r="E195" s="7">
        <f t="shared" si="40"/>
        <v>7.0833333396876696E-2</v>
      </c>
      <c r="F195" s="8" t="str">
        <f t="shared" si="41"/>
        <v>ON SLA</v>
      </c>
      <c r="G195" s="9" t="s">
        <v>183</v>
      </c>
      <c r="H195" s="13">
        <v>2</v>
      </c>
      <c r="I195" s="9" t="s">
        <v>195</v>
      </c>
      <c r="J195" s="9" t="s">
        <v>188</v>
      </c>
      <c r="K195" s="9" t="s">
        <v>15</v>
      </c>
      <c r="L195" s="6"/>
    </row>
    <row r="196" spans="1:12" x14ac:dyDescent="0.3">
      <c r="A196" s="5" t="str">
        <f t="shared" si="38"/>
        <v>Nov</v>
      </c>
      <c r="B196" s="6">
        <f t="shared" si="39"/>
        <v>48</v>
      </c>
      <c r="C196" s="5">
        <v>45621.538194444402</v>
      </c>
      <c r="D196" s="5">
        <v>45624.529166666704</v>
      </c>
      <c r="E196" s="7">
        <f t="shared" si="40"/>
        <v>2.9909722223019344</v>
      </c>
      <c r="F196" s="8" t="str">
        <f t="shared" si="41"/>
        <v>ON SLA</v>
      </c>
      <c r="G196" s="9" t="s">
        <v>183</v>
      </c>
      <c r="H196" s="13">
        <v>2</v>
      </c>
      <c r="I196" s="9" t="s">
        <v>193</v>
      </c>
      <c r="J196" s="9" t="s">
        <v>188</v>
      </c>
      <c r="K196" s="9" t="s">
        <v>15</v>
      </c>
      <c r="L196" s="6"/>
    </row>
    <row r="197" spans="1:12" x14ac:dyDescent="0.3">
      <c r="A197" s="5" t="str">
        <f t="shared" si="38"/>
        <v>Nov</v>
      </c>
      <c r="B197" s="6">
        <f t="shared" si="39"/>
        <v>48</v>
      </c>
      <c r="C197" s="5">
        <v>45624.484027777798</v>
      </c>
      <c r="D197" s="5">
        <v>45624.534722222197</v>
      </c>
      <c r="E197" s="7">
        <f t="shared" si="40"/>
        <v>5.0694444398686755E-2</v>
      </c>
      <c r="F197" s="8" t="str">
        <f t="shared" si="41"/>
        <v>ON SLA</v>
      </c>
      <c r="G197" s="9" t="s">
        <v>183</v>
      </c>
      <c r="H197" s="13">
        <v>2</v>
      </c>
      <c r="I197" s="9" t="s">
        <v>196</v>
      </c>
      <c r="J197" s="9" t="s">
        <v>188</v>
      </c>
      <c r="K197" s="9" t="s">
        <v>15</v>
      </c>
      <c r="L197" s="6"/>
    </row>
    <row r="198" spans="1:12" x14ac:dyDescent="0.3">
      <c r="A198" s="5" t="s">
        <v>28</v>
      </c>
      <c r="B198" s="6">
        <v>40</v>
      </c>
      <c r="C198" s="5">
        <v>45566.46597222222</v>
      </c>
      <c r="D198" s="5">
        <v>45569.490972222222</v>
      </c>
      <c r="E198" s="7">
        <f t="shared" si="40"/>
        <v>3.0250000000014552</v>
      </c>
      <c r="F198" s="8" t="str">
        <f t="shared" si="41"/>
        <v>ON SLA</v>
      </c>
      <c r="G198" s="9" t="s">
        <v>183</v>
      </c>
      <c r="H198" s="13">
        <v>2</v>
      </c>
      <c r="I198" s="11" t="s">
        <v>197</v>
      </c>
      <c r="J198" s="9" t="s">
        <v>198</v>
      </c>
      <c r="K198" s="9" t="s">
        <v>30</v>
      </c>
      <c r="L198" s="6"/>
    </row>
    <row r="199" spans="1:12" x14ac:dyDescent="0.3">
      <c r="A199" s="5" t="s">
        <v>28</v>
      </c>
      <c r="B199" s="6">
        <v>40</v>
      </c>
      <c r="C199" s="5">
        <v>45567.577777777777</v>
      </c>
      <c r="D199" s="5">
        <v>45567.916666666664</v>
      </c>
      <c r="E199" s="7">
        <f t="shared" si="40"/>
        <v>0.33888888888759539</v>
      </c>
      <c r="F199" s="8" t="str">
        <f t="shared" si="41"/>
        <v>ON SLA</v>
      </c>
      <c r="G199" s="9" t="s">
        <v>183</v>
      </c>
      <c r="H199" s="13">
        <v>2</v>
      </c>
      <c r="I199" s="11" t="s">
        <v>199</v>
      </c>
      <c r="J199" s="9" t="s">
        <v>198</v>
      </c>
      <c r="K199" s="9" t="s">
        <v>30</v>
      </c>
      <c r="L199" s="6"/>
    </row>
    <row r="200" spans="1:12" x14ac:dyDescent="0.3">
      <c r="A200" s="5" t="s">
        <v>28</v>
      </c>
      <c r="B200" s="6">
        <v>40</v>
      </c>
      <c r="C200" s="5">
        <v>45568.508333333331</v>
      </c>
      <c r="D200" s="5">
        <v>45569.490972222222</v>
      </c>
      <c r="E200" s="7">
        <f t="shared" si="40"/>
        <v>0.98263888889050577</v>
      </c>
      <c r="F200" s="8" t="str">
        <f t="shared" si="41"/>
        <v>ON SLA</v>
      </c>
      <c r="G200" s="9" t="s">
        <v>183</v>
      </c>
      <c r="H200" s="13">
        <v>2</v>
      </c>
      <c r="I200" s="11" t="s">
        <v>200</v>
      </c>
      <c r="J200" s="9" t="s">
        <v>198</v>
      </c>
      <c r="K200" s="9" t="s">
        <v>30</v>
      </c>
      <c r="L200" s="6"/>
    </row>
    <row r="201" spans="1:12" x14ac:dyDescent="0.3">
      <c r="A201" s="5" t="s">
        <v>28</v>
      </c>
      <c r="B201" s="6">
        <v>41</v>
      </c>
      <c r="C201" s="5">
        <v>45572.606944444444</v>
      </c>
      <c r="D201" s="5">
        <v>45572.713194444441</v>
      </c>
      <c r="E201" s="7">
        <f t="shared" si="40"/>
        <v>0.10624999999708962</v>
      </c>
      <c r="F201" s="8" t="str">
        <f t="shared" si="41"/>
        <v>ON SLA</v>
      </c>
      <c r="G201" s="9" t="s">
        <v>183</v>
      </c>
      <c r="H201" s="13">
        <v>2</v>
      </c>
      <c r="I201" s="11" t="s">
        <v>201</v>
      </c>
      <c r="J201" s="9" t="s">
        <v>198</v>
      </c>
      <c r="K201" s="9" t="s">
        <v>30</v>
      </c>
      <c r="L201" s="6"/>
    </row>
    <row r="202" spans="1:12" x14ac:dyDescent="0.3">
      <c r="A202" s="5" t="s">
        <v>28</v>
      </c>
      <c r="B202" s="6">
        <v>41</v>
      </c>
      <c r="C202" s="5">
        <v>45573.520833333336</v>
      </c>
      <c r="D202" s="5">
        <v>45573.70208333333</v>
      </c>
      <c r="E202" s="7">
        <f t="shared" si="40"/>
        <v>0.18124999999417923</v>
      </c>
      <c r="F202" s="8" t="str">
        <f t="shared" si="41"/>
        <v>ON SLA</v>
      </c>
      <c r="G202" s="9" t="s">
        <v>183</v>
      </c>
      <c r="H202" s="13">
        <v>2</v>
      </c>
      <c r="I202" s="11" t="s">
        <v>202</v>
      </c>
      <c r="J202" s="9" t="s">
        <v>198</v>
      </c>
      <c r="K202" s="9" t="s">
        <v>30</v>
      </c>
      <c r="L202" s="6"/>
    </row>
    <row r="203" spans="1:12" x14ac:dyDescent="0.3">
      <c r="A203" s="5" t="s">
        <v>28</v>
      </c>
      <c r="B203" s="6">
        <v>41</v>
      </c>
      <c r="C203" s="5">
        <v>45573.518055555556</v>
      </c>
      <c r="D203" s="5">
        <v>45573.544444444444</v>
      </c>
      <c r="E203" s="7">
        <f t="shared" si="40"/>
        <v>2.6388888887595385E-2</v>
      </c>
      <c r="F203" s="8" t="str">
        <f>IF(E203&gt;3,  "ON SLA", "OFF SLA")</f>
        <v>OFF SLA</v>
      </c>
      <c r="G203" s="9" t="s">
        <v>183</v>
      </c>
      <c r="H203" s="13">
        <v>2</v>
      </c>
      <c r="I203" s="11" t="s">
        <v>203</v>
      </c>
      <c r="J203" s="9" t="s">
        <v>198</v>
      </c>
      <c r="K203" s="9" t="s">
        <v>30</v>
      </c>
      <c r="L203" s="6"/>
    </row>
    <row r="204" spans="1:12" x14ac:dyDescent="0.3">
      <c r="A204" s="5" t="s">
        <v>28</v>
      </c>
      <c r="B204" s="6">
        <v>42</v>
      </c>
      <c r="C204" s="5">
        <v>45576.707638888889</v>
      </c>
      <c r="D204" s="5">
        <v>45579.472916666666</v>
      </c>
      <c r="E204" s="7">
        <f t="shared" si="40"/>
        <v>2.765277777776646</v>
      </c>
      <c r="F204" s="8" t="str">
        <f>IF(E204&lt;3,  "ON SLA", "OFF SAL")</f>
        <v>ON SLA</v>
      </c>
      <c r="G204" s="9" t="s">
        <v>183</v>
      </c>
      <c r="H204" s="13">
        <v>2</v>
      </c>
      <c r="I204" s="11" t="s">
        <v>204</v>
      </c>
      <c r="J204" s="9" t="s">
        <v>198</v>
      </c>
      <c r="K204" s="9" t="s">
        <v>30</v>
      </c>
      <c r="L204" s="6"/>
    </row>
    <row r="205" spans="1:12" x14ac:dyDescent="0.3">
      <c r="A205" s="5" t="s">
        <v>28</v>
      </c>
      <c r="B205" s="6">
        <v>41</v>
      </c>
      <c r="C205" s="5">
        <v>45574.647916666669</v>
      </c>
      <c r="D205" s="5">
        <v>45574.738888888889</v>
      </c>
      <c r="E205" s="7">
        <f t="shared" si="40"/>
        <v>9.0972222220443655E-2</v>
      </c>
      <c r="F205" s="8" t="str">
        <f t="shared" ref="F205:F223" si="42">IF(E264&lt;3,  "ON SLA", "OFF SAL")</f>
        <v>ON SLA</v>
      </c>
      <c r="G205" s="9" t="s">
        <v>183</v>
      </c>
      <c r="H205" s="13">
        <v>2</v>
      </c>
      <c r="I205" s="11" t="s">
        <v>205</v>
      </c>
      <c r="J205" s="9" t="s">
        <v>198</v>
      </c>
      <c r="K205" s="9" t="s">
        <v>30</v>
      </c>
      <c r="L205" s="6"/>
    </row>
    <row r="206" spans="1:12" x14ac:dyDescent="0.3">
      <c r="A206" s="5" t="s">
        <v>28</v>
      </c>
      <c r="B206" s="6">
        <v>42</v>
      </c>
      <c r="C206" s="5">
        <v>45576.853472222225</v>
      </c>
      <c r="D206" s="5">
        <v>45581.611805555556</v>
      </c>
      <c r="E206" s="7">
        <f t="shared" si="40"/>
        <v>4.7583333333313931</v>
      </c>
      <c r="F206" s="8" t="str">
        <f t="shared" si="42"/>
        <v>ON SLA</v>
      </c>
      <c r="G206" s="9" t="s">
        <v>183</v>
      </c>
      <c r="H206" s="13">
        <v>2</v>
      </c>
      <c r="I206" s="11" t="s">
        <v>206</v>
      </c>
      <c r="J206" s="9" t="s">
        <v>198</v>
      </c>
      <c r="K206" s="9" t="s">
        <v>30</v>
      </c>
      <c r="L206" s="6"/>
    </row>
    <row r="207" spans="1:12" x14ac:dyDescent="0.3">
      <c r="A207" s="5" t="s">
        <v>28</v>
      </c>
      <c r="B207" s="6">
        <v>42</v>
      </c>
      <c r="C207" s="5">
        <v>45579.470138888886</v>
      </c>
      <c r="D207" s="5">
        <v>45579.472916666666</v>
      </c>
      <c r="E207" s="7">
        <f t="shared" si="40"/>
        <v>2.7777777795563452E-3</v>
      </c>
      <c r="F207" s="8" t="str">
        <f t="shared" si="42"/>
        <v>ON SLA</v>
      </c>
      <c r="G207" s="9" t="s">
        <v>183</v>
      </c>
      <c r="H207" s="13">
        <v>2</v>
      </c>
      <c r="I207" s="11" t="s">
        <v>207</v>
      </c>
      <c r="J207" s="9" t="s">
        <v>198</v>
      </c>
      <c r="K207" s="9" t="s">
        <v>30</v>
      </c>
      <c r="L207" s="6"/>
    </row>
    <row r="208" spans="1:12" x14ac:dyDescent="0.3">
      <c r="A208" s="5" t="s">
        <v>28</v>
      </c>
      <c r="B208" s="6">
        <v>42</v>
      </c>
      <c r="C208" s="5">
        <v>45580.545138888891</v>
      </c>
      <c r="D208" s="5">
        <v>45581.45416666667</v>
      </c>
      <c r="E208" s="7">
        <f t="shared" si="40"/>
        <v>0.90902777777955635</v>
      </c>
      <c r="F208" s="8" t="str">
        <f t="shared" si="42"/>
        <v>ON SLA</v>
      </c>
      <c r="G208" s="9" t="s">
        <v>183</v>
      </c>
      <c r="H208" s="13">
        <v>2</v>
      </c>
      <c r="I208" s="11" t="s">
        <v>208</v>
      </c>
      <c r="J208" s="9" t="s">
        <v>198</v>
      </c>
      <c r="K208" s="9" t="s">
        <v>30</v>
      </c>
      <c r="L208" s="6"/>
    </row>
    <row r="209" spans="1:12" x14ac:dyDescent="0.3">
      <c r="A209" s="5" t="s">
        <v>28</v>
      </c>
      <c r="B209" s="6">
        <v>42</v>
      </c>
      <c r="C209" s="5">
        <v>45570.545138888891</v>
      </c>
      <c r="D209" s="5">
        <v>45581.681250000001</v>
      </c>
      <c r="E209" s="7">
        <f t="shared" si="40"/>
        <v>11.136111111110949</v>
      </c>
      <c r="F209" s="8" t="str">
        <f t="shared" si="42"/>
        <v>ON SLA</v>
      </c>
      <c r="G209" s="9" t="s">
        <v>183</v>
      </c>
      <c r="H209" s="13">
        <v>2</v>
      </c>
      <c r="I209" s="11" t="s">
        <v>208</v>
      </c>
      <c r="J209" s="9" t="s">
        <v>198</v>
      </c>
      <c r="K209" s="9" t="s">
        <v>30</v>
      </c>
      <c r="L209" s="6"/>
    </row>
    <row r="210" spans="1:12" x14ac:dyDescent="0.3">
      <c r="A210" s="5" t="s">
        <v>28</v>
      </c>
      <c r="B210" s="6">
        <v>42</v>
      </c>
      <c r="C210" s="5">
        <v>45580.79791666667</v>
      </c>
      <c r="D210" s="5">
        <v>45581.611805555556</v>
      </c>
      <c r="E210" s="7">
        <f t="shared" si="40"/>
        <v>0.81388888888614019</v>
      </c>
      <c r="F210" s="8" t="str">
        <f t="shared" si="42"/>
        <v>ON SLA</v>
      </c>
      <c r="G210" s="9" t="s">
        <v>183</v>
      </c>
      <c r="H210" s="13">
        <v>2</v>
      </c>
      <c r="I210" s="11" t="s">
        <v>209</v>
      </c>
      <c r="J210" s="9" t="s">
        <v>198</v>
      </c>
      <c r="K210" s="9" t="s">
        <v>30</v>
      </c>
      <c r="L210" s="6"/>
    </row>
    <row r="211" spans="1:12" x14ac:dyDescent="0.3">
      <c r="A211" s="5" t="s">
        <v>28</v>
      </c>
      <c r="B211" s="6">
        <v>42</v>
      </c>
      <c r="C211" s="5">
        <v>45580.822222222225</v>
      </c>
      <c r="D211" s="5">
        <v>45581.618055555555</v>
      </c>
      <c r="E211" s="7">
        <f t="shared" si="40"/>
        <v>0.79583333332993789</v>
      </c>
      <c r="F211" s="8" t="str">
        <f t="shared" si="42"/>
        <v>ON SLA</v>
      </c>
      <c r="G211" s="9" t="s">
        <v>183</v>
      </c>
      <c r="H211" s="13">
        <v>2</v>
      </c>
      <c r="I211" s="11" t="s">
        <v>210</v>
      </c>
      <c r="J211" s="9" t="s">
        <v>198</v>
      </c>
      <c r="K211" s="9" t="s">
        <v>30</v>
      </c>
      <c r="L211" s="6"/>
    </row>
    <row r="212" spans="1:12" x14ac:dyDescent="0.3">
      <c r="A212" s="5" t="s">
        <v>28</v>
      </c>
      <c r="B212" s="6">
        <v>42</v>
      </c>
      <c r="C212" s="5">
        <v>45580.734027777777</v>
      </c>
      <c r="D212" s="5">
        <v>45581.694444444445</v>
      </c>
      <c r="E212" s="7">
        <f t="shared" si="40"/>
        <v>0.96041666666860692</v>
      </c>
      <c r="F212" s="8" t="str">
        <f t="shared" si="42"/>
        <v>ON SLA</v>
      </c>
      <c r="G212" s="9" t="s">
        <v>183</v>
      </c>
      <c r="H212" s="13">
        <v>2</v>
      </c>
      <c r="I212" s="11" t="s">
        <v>211</v>
      </c>
      <c r="J212" s="9" t="s">
        <v>198</v>
      </c>
      <c r="K212" s="9" t="s">
        <v>30</v>
      </c>
      <c r="L212" s="6"/>
    </row>
    <row r="213" spans="1:12" x14ac:dyDescent="0.3">
      <c r="A213" s="5" t="s">
        <v>28</v>
      </c>
      <c r="B213" s="6">
        <v>42</v>
      </c>
      <c r="C213" s="5">
        <v>45580.73333333333</v>
      </c>
      <c r="D213" s="5">
        <v>45581.490972222222</v>
      </c>
      <c r="E213" s="7">
        <f t="shared" si="40"/>
        <v>0.75763888889196096</v>
      </c>
      <c r="F213" s="8" t="str">
        <f t="shared" si="42"/>
        <v>ON SLA</v>
      </c>
      <c r="G213" s="9" t="s">
        <v>183</v>
      </c>
      <c r="H213" s="13">
        <v>2</v>
      </c>
      <c r="I213" s="11" t="s">
        <v>212</v>
      </c>
      <c r="J213" s="9" t="s">
        <v>198</v>
      </c>
      <c r="K213" s="9" t="s">
        <v>30</v>
      </c>
      <c r="L213" s="6"/>
    </row>
    <row r="214" spans="1:12" x14ac:dyDescent="0.3">
      <c r="A214" s="5" t="s">
        <v>28</v>
      </c>
      <c r="B214" s="6">
        <v>42</v>
      </c>
      <c r="C214" s="5">
        <v>45581.76458333333</v>
      </c>
      <c r="D214" s="5">
        <v>45582.613888888889</v>
      </c>
      <c r="E214" s="7">
        <f t="shared" si="40"/>
        <v>0.84930555555911269</v>
      </c>
      <c r="F214" s="8" t="str">
        <f t="shared" si="42"/>
        <v>ON SLA</v>
      </c>
      <c r="G214" s="9" t="s">
        <v>183</v>
      </c>
      <c r="H214" s="13">
        <v>2</v>
      </c>
      <c r="I214" s="11" t="s">
        <v>213</v>
      </c>
      <c r="J214" s="9" t="s">
        <v>198</v>
      </c>
      <c r="K214" s="9" t="s">
        <v>30</v>
      </c>
      <c r="L214" s="6"/>
    </row>
    <row r="215" spans="1:12" x14ac:dyDescent="0.3">
      <c r="A215" s="5" t="s">
        <v>28</v>
      </c>
      <c r="B215" s="6">
        <v>43</v>
      </c>
      <c r="C215" s="5">
        <v>45587.75277777778</v>
      </c>
      <c r="D215" s="5">
        <v>45587.767361111109</v>
      </c>
      <c r="E215" s="7">
        <f t="shared" si="40"/>
        <v>1.4583333329937886E-2</v>
      </c>
      <c r="F215" s="8" t="str">
        <f t="shared" si="42"/>
        <v>ON SLA</v>
      </c>
      <c r="G215" s="9" t="s">
        <v>183</v>
      </c>
      <c r="H215" s="13">
        <v>2</v>
      </c>
      <c r="I215" s="11" t="s">
        <v>214</v>
      </c>
      <c r="J215" s="9" t="s">
        <v>198</v>
      </c>
      <c r="K215" s="9" t="s">
        <v>30</v>
      </c>
      <c r="L215" s="6"/>
    </row>
    <row r="216" spans="1:12" x14ac:dyDescent="0.3">
      <c r="A216" s="5" t="s">
        <v>28</v>
      </c>
      <c r="B216" s="6">
        <v>43</v>
      </c>
      <c r="C216" s="5">
        <v>45587.752083333333</v>
      </c>
      <c r="D216" s="5">
        <v>45587.779861111114</v>
      </c>
      <c r="E216" s="7">
        <f t="shared" si="40"/>
        <v>2.7777777781011537E-2</v>
      </c>
      <c r="F216" s="8" t="str">
        <f t="shared" si="42"/>
        <v>ON SLA</v>
      </c>
      <c r="G216" s="9" t="s">
        <v>183</v>
      </c>
      <c r="H216" s="13">
        <v>2</v>
      </c>
      <c r="I216" s="11" t="s">
        <v>215</v>
      </c>
      <c r="J216" s="9" t="s">
        <v>198</v>
      </c>
      <c r="K216" s="9" t="s">
        <v>30</v>
      </c>
      <c r="L216" s="6"/>
    </row>
    <row r="217" spans="1:12" x14ac:dyDescent="0.3">
      <c r="A217" s="5" t="s">
        <v>28</v>
      </c>
      <c r="B217" s="6">
        <v>43</v>
      </c>
      <c r="C217" s="5">
        <v>45586.679861111108</v>
      </c>
      <c r="D217" s="5">
        <v>45587.636805555558</v>
      </c>
      <c r="E217" s="7">
        <f t="shared" si="40"/>
        <v>0.95694444444961846</v>
      </c>
      <c r="F217" s="8" t="str">
        <f t="shared" si="42"/>
        <v>ON SLA</v>
      </c>
      <c r="G217" s="9" t="s">
        <v>183</v>
      </c>
      <c r="H217" s="13">
        <v>2</v>
      </c>
      <c r="I217" s="11" t="s">
        <v>216</v>
      </c>
      <c r="J217" s="9" t="s">
        <v>198</v>
      </c>
      <c r="K217" s="9" t="s">
        <v>30</v>
      </c>
      <c r="L217" s="6"/>
    </row>
    <row r="218" spans="1:12" x14ac:dyDescent="0.3">
      <c r="A218" s="5" t="s">
        <v>28</v>
      </c>
      <c r="B218" s="6">
        <v>43</v>
      </c>
      <c r="C218" s="5">
        <v>45584.887499999997</v>
      </c>
      <c r="D218" s="5">
        <v>45585.023611111108</v>
      </c>
      <c r="E218" s="7">
        <f t="shared" si="40"/>
        <v>0.13611111111094942</v>
      </c>
      <c r="F218" s="8" t="str">
        <f t="shared" si="42"/>
        <v>ON SLA</v>
      </c>
      <c r="G218" s="9" t="s">
        <v>183</v>
      </c>
      <c r="H218" s="13">
        <v>2</v>
      </c>
      <c r="I218" s="11" t="s">
        <v>217</v>
      </c>
      <c r="J218" s="9" t="s">
        <v>198</v>
      </c>
      <c r="K218" s="9" t="s">
        <v>30</v>
      </c>
      <c r="L218" s="6"/>
    </row>
    <row r="219" spans="1:12" x14ac:dyDescent="0.3">
      <c r="A219" s="5" t="s">
        <v>28</v>
      </c>
      <c r="B219" s="6">
        <v>43</v>
      </c>
      <c r="C219" s="5">
        <v>45584.644444444442</v>
      </c>
      <c r="D219" s="5">
        <v>45585.032638888886</v>
      </c>
      <c r="E219" s="7">
        <f t="shared" si="40"/>
        <v>0.38819444444379769</v>
      </c>
      <c r="F219" s="8" t="str">
        <f t="shared" si="42"/>
        <v>ON SLA</v>
      </c>
      <c r="G219" s="9" t="s">
        <v>183</v>
      </c>
      <c r="H219" s="13">
        <v>2</v>
      </c>
      <c r="I219" s="11" t="s">
        <v>218</v>
      </c>
      <c r="J219" s="9" t="s">
        <v>198</v>
      </c>
      <c r="K219" s="9" t="s">
        <v>30</v>
      </c>
      <c r="L219" s="6"/>
    </row>
    <row r="220" spans="1:12" x14ac:dyDescent="0.3">
      <c r="A220" s="5" t="s">
        <v>41</v>
      </c>
      <c r="B220" s="6">
        <v>46</v>
      </c>
      <c r="C220" s="5">
        <v>45608.740277777775</v>
      </c>
      <c r="D220" s="5">
        <v>45608.763888888891</v>
      </c>
      <c r="E220" s="7">
        <f t="shared" si="40"/>
        <v>2.3611111115314998E-2</v>
      </c>
      <c r="F220" s="8" t="str">
        <f t="shared" si="42"/>
        <v>ON SLA</v>
      </c>
      <c r="G220" s="9" t="s">
        <v>183</v>
      </c>
      <c r="H220" s="13">
        <v>2</v>
      </c>
      <c r="I220" s="11" t="s">
        <v>219</v>
      </c>
      <c r="J220" s="9" t="s">
        <v>198</v>
      </c>
      <c r="K220" s="9" t="s">
        <v>30</v>
      </c>
      <c r="L220" s="6"/>
    </row>
    <row r="221" spans="1:12" x14ac:dyDescent="0.3">
      <c r="A221" s="5" t="s">
        <v>28</v>
      </c>
      <c r="B221" s="6">
        <v>44</v>
      </c>
      <c r="C221" s="5">
        <v>45593.570138888892</v>
      </c>
      <c r="D221" s="5">
        <v>45594.467361111114</v>
      </c>
      <c r="E221" s="7">
        <f t="shared" si="40"/>
        <v>0.89722222222189885</v>
      </c>
      <c r="F221" s="8" t="str">
        <f t="shared" si="42"/>
        <v>ON SLA</v>
      </c>
      <c r="G221" s="9" t="s">
        <v>183</v>
      </c>
      <c r="H221" s="13">
        <v>2</v>
      </c>
      <c r="I221" s="11" t="s">
        <v>220</v>
      </c>
      <c r="J221" s="9" t="s">
        <v>198</v>
      </c>
      <c r="K221" s="9" t="s">
        <v>30</v>
      </c>
      <c r="L221" s="6"/>
    </row>
    <row r="222" spans="1:12" x14ac:dyDescent="0.3">
      <c r="A222" s="5" t="s">
        <v>41</v>
      </c>
      <c r="B222" s="6">
        <v>44</v>
      </c>
      <c r="C222" s="5">
        <v>45595.550694444442</v>
      </c>
      <c r="D222" s="5">
        <v>45597.468055555553</v>
      </c>
      <c r="E222" s="7">
        <f t="shared" si="40"/>
        <v>1.9173611111109494</v>
      </c>
      <c r="F222" s="8" t="str">
        <f t="shared" si="42"/>
        <v>ON SLA</v>
      </c>
      <c r="G222" s="9" t="s">
        <v>183</v>
      </c>
      <c r="H222" s="13">
        <v>2</v>
      </c>
      <c r="I222" s="11" t="s">
        <v>221</v>
      </c>
      <c r="J222" s="9" t="s">
        <v>198</v>
      </c>
      <c r="K222" s="9" t="s">
        <v>30</v>
      </c>
      <c r="L222" s="6"/>
    </row>
    <row r="223" spans="1:12" x14ac:dyDescent="0.3">
      <c r="A223" s="5" t="s">
        <v>41</v>
      </c>
      <c r="B223" s="6">
        <v>46</v>
      </c>
      <c r="C223" s="5">
        <v>45608.61041666667</v>
      </c>
      <c r="D223" s="5">
        <v>45608.763888888891</v>
      </c>
      <c r="E223" s="7">
        <f t="shared" si="40"/>
        <v>0.15347222222044365</v>
      </c>
      <c r="F223" s="8" t="str">
        <f t="shared" si="42"/>
        <v>ON SLA</v>
      </c>
      <c r="G223" s="9" t="s">
        <v>183</v>
      </c>
      <c r="H223" s="13">
        <v>2</v>
      </c>
      <c r="I223" s="11" t="s">
        <v>219</v>
      </c>
      <c r="J223" s="9" t="s">
        <v>198</v>
      </c>
      <c r="K223" s="9" t="s">
        <v>30</v>
      </c>
      <c r="L223" s="6"/>
    </row>
    <row r="224" spans="1:12" x14ac:dyDescent="0.3">
      <c r="A224" s="5" t="s">
        <v>41</v>
      </c>
      <c r="B224" s="6">
        <v>45</v>
      </c>
      <c r="C224" s="5">
        <v>45602.526388888888</v>
      </c>
      <c r="D224" s="5">
        <v>45602.526388888888</v>
      </c>
      <c r="E224" s="7">
        <f t="shared" si="40"/>
        <v>0</v>
      </c>
      <c r="F224" s="8" t="str">
        <f>IF(E224&lt;3,  "ON SLA", "OFF SAL")</f>
        <v>ON SLA</v>
      </c>
      <c r="G224" s="9" t="s">
        <v>183</v>
      </c>
      <c r="H224" s="13">
        <v>2</v>
      </c>
      <c r="I224" s="11" t="s">
        <v>222</v>
      </c>
      <c r="J224" s="9" t="s">
        <v>198</v>
      </c>
      <c r="K224" s="9" t="s">
        <v>30</v>
      </c>
      <c r="L224" s="6"/>
    </row>
    <row r="225" spans="1:12" x14ac:dyDescent="0.3">
      <c r="A225" s="5" t="s">
        <v>41</v>
      </c>
      <c r="B225" s="6">
        <v>45</v>
      </c>
      <c r="C225" s="5">
        <v>45602.680555555555</v>
      </c>
      <c r="D225" s="5">
        <v>45603.681944444441</v>
      </c>
      <c r="E225" s="7">
        <f t="shared" si="40"/>
        <v>1.0013888888861402</v>
      </c>
      <c r="F225" s="8" t="str">
        <f t="shared" ref="F225:F250" si="43">IF(E283&lt;3,  "ON SLA", "OFF SAL")</f>
        <v>ON SLA</v>
      </c>
      <c r="G225" s="9" t="s">
        <v>183</v>
      </c>
      <c r="H225" s="13">
        <v>2</v>
      </c>
      <c r="I225" s="11" t="s">
        <v>223</v>
      </c>
      <c r="J225" s="9" t="s">
        <v>198</v>
      </c>
      <c r="K225" s="9" t="s">
        <v>30</v>
      </c>
      <c r="L225" s="6"/>
    </row>
    <row r="226" spans="1:12" x14ac:dyDescent="0.3">
      <c r="A226" s="5" t="s">
        <v>41</v>
      </c>
      <c r="B226" s="6">
        <v>45</v>
      </c>
      <c r="C226" s="5">
        <v>45603.542361111111</v>
      </c>
      <c r="D226" s="5">
        <v>45603.686805555553</v>
      </c>
      <c r="E226" s="7">
        <f t="shared" si="40"/>
        <v>0.1444444444423425</v>
      </c>
      <c r="F226" s="8" t="str">
        <f t="shared" si="43"/>
        <v>ON SLA</v>
      </c>
      <c r="G226" s="9" t="s">
        <v>183</v>
      </c>
      <c r="H226" s="13">
        <v>2</v>
      </c>
      <c r="I226" s="11" t="s">
        <v>224</v>
      </c>
      <c r="J226" s="9" t="s">
        <v>198</v>
      </c>
      <c r="K226" s="9" t="s">
        <v>30</v>
      </c>
      <c r="L226" s="6"/>
    </row>
    <row r="227" spans="1:12" x14ac:dyDescent="0.3">
      <c r="A227" s="5" t="s">
        <v>41</v>
      </c>
      <c r="B227" s="6">
        <v>46</v>
      </c>
      <c r="C227" s="5">
        <v>45604.770833333336</v>
      </c>
      <c r="D227" s="5">
        <v>45607.474305555559</v>
      </c>
      <c r="E227" s="7">
        <f t="shared" si="40"/>
        <v>2.703472222223354</v>
      </c>
      <c r="F227" s="8" t="str">
        <f t="shared" si="43"/>
        <v>ON SLA</v>
      </c>
      <c r="G227" s="9" t="s">
        <v>183</v>
      </c>
      <c r="H227" s="13">
        <v>2</v>
      </c>
      <c r="I227" s="11" t="s">
        <v>225</v>
      </c>
      <c r="J227" s="9" t="s">
        <v>198</v>
      </c>
      <c r="K227" s="9" t="s">
        <v>30</v>
      </c>
      <c r="L227" s="6"/>
    </row>
    <row r="228" spans="1:12" x14ac:dyDescent="0.3">
      <c r="A228" s="5" t="s">
        <v>41</v>
      </c>
      <c r="B228" s="6">
        <v>46</v>
      </c>
      <c r="C228" s="5">
        <v>45607.699305555558</v>
      </c>
      <c r="D228" s="5">
        <v>45607.743055555555</v>
      </c>
      <c r="E228" s="7">
        <f t="shared" si="40"/>
        <v>4.3749999997089617E-2</v>
      </c>
      <c r="F228" s="8" t="str">
        <f t="shared" si="43"/>
        <v>ON SLA</v>
      </c>
      <c r="G228" s="9" t="s">
        <v>183</v>
      </c>
      <c r="H228" s="13">
        <v>2</v>
      </c>
      <c r="I228" s="11" t="s">
        <v>226</v>
      </c>
      <c r="J228" s="9" t="s">
        <v>198</v>
      </c>
      <c r="K228" s="9" t="s">
        <v>30</v>
      </c>
      <c r="L228" s="6"/>
    </row>
    <row r="229" spans="1:12" x14ac:dyDescent="0.3">
      <c r="A229" s="5" t="s">
        <v>41</v>
      </c>
      <c r="B229" s="6">
        <v>46</v>
      </c>
      <c r="C229" s="5">
        <v>45607.759027777778</v>
      </c>
      <c r="D229" s="5">
        <v>45607.759027777778</v>
      </c>
      <c r="E229" s="7">
        <f t="shared" si="40"/>
        <v>0</v>
      </c>
      <c r="F229" s="8" t="str">
        <f t="shared" si="43"/>
        <v>ON SLA</v>
      </c>
      <c r="G229" s="9" t="s">
        <v>183</v>
      </c>
      <c r="H229" s="13">
        <v>2</v>
      </c>
      <c r="I229" s="11" t="s">
        <v>227</v>
      </c>
      <c r="J229" s="9" t="s">
        <v>198</v>
      </c>
      <c r="K229" s="9" t="s">
        <v>30</v>
      </c>
      <c r="L229" s="6"/>
    </row>
    <row r="230" spans="1:12" x14ac:dyDescent="0.3">
      <c r="A230" s="5" t="s">
        <v>41</v>
      </c>
      <c r="B230" s="6">
        <v>46</v>
      </c>
      <c r="C230" s="5">
        <v>45608.740277777775</v>
      </c>
      <c r="D230" s="5">
        <v>45608.763888888891</v>
      </c>
      <c r="E230" s="7">
        <f t="shared" si="40"/>
        <v>2.3611111115314998E-2</v>
      </c>
      <c r="F230" s="8" t="str">
        <f t="shared" si="43"/>
        <v>ON SLA</v>
      </c>
      <c r="G230" s="9" t="s">
        <v>183</v>
      </c>
      <c r="H230" s="13">
        <v>2</v>
      </c>
      <c r="I230" s="11" t="s">
        <v>228</v>
      </c>
      <c r="J230" s="9" t="s">
        <v>198</v>
      </c>
      <c r="K230" s="9" t="s">
        <v>30</v>
      </c>
      <c r="L230" s="6"/>
    </row>
    <row r="231" spans="1:12" x14ac:dyDescent="0.3">
      <c r="A231" s="5" t="s">
        <v>41</v>
      </c>
      <c r="B231" s="6">
        <v>46</v>
      </c>
      <c r="C231" s="5">
        <v>45608.682638888888</v>
      </c>
      <c r="D231" s="5">
        <v>45609.5</v>
      </c>
      <c r="E231" s="7">
        <f t="shared" si="40"/>
        <v>0.81736111111240461</v>
      </c>
      <c r="F231" s="8" t="str">
        <f t="shared" si="43"/>
        <v>ON SLA</v>
      </c>
      <c r="G231" s="9" t="s">
        <v>183</v>
      </c>
      <c r="H231" s="13">
        <v>2</v>
      </c>
      <c r="I231" s="11" t="s">
        <v>229</v>
      </c>
      <c r="J231" s="9" t="s">
        <v>198</v>
      </c>
      <c r="K231" s="9" t="s">
        <v>30</v>
      </c>
      <c r="L231" s="6"/>
    </row>
    <row r="232" spans="1:12" x14ac:dyDescent="0.3">
      <c r="A232" s="5" t="s">
        <v>41</v>
      </c>
      <c r="B232" s="6">
        <v>46</v>
      </c>
      <c r="C232" s="5">
        <v>45608.615277777775</v>
      </c>
      <c r="D232" s="5">
        <v>45608.67291666667</v>
      </c>
      <c r="E232" s="7">
        <f t="shared" si="40"/>
        <v>5.7638888894871343E-2</v>
      </c>
      <c r="F232" s="8" t="str">
        <f t="shared" si="43"/>
        <v>ON SLA</v>
      </c>
      <c r="G232" s="9" t="s">
        <v>183</v>
      </c>
      <c r="H232" s="13">
        <v>2</v>
      </c>
      <c r="I232" s="11" t="s">
        <v>230</v>
      </c>
      <c r="J232" s="9" t="s">
        <v>198</v>
      </c>
      <c r="K232" s="9" t="s">
        <v>30</v>
      </c>
      <c r="L232" s="6"/>
    </row>
    <row r="233" spans="1:12" x14ac:dyDescent="0.3">
      <c r="A233" s="5" t="s">
        <v>41</v>
      </c>
      <c r="B233" s="6">
        <v>46</v>
      </c>
      <c r="C233" s="5">
        <v>45608.572222222225</v>
      </c>
      <c r="D233" s="5">
        <v>45609.480555555558</v>
      </c>
      <c r="E233" s="7">
        <f t="shared" si="40"/>
        <v>0.90833333333284827</v>
      </c>
      <c r="F233" s="8" t="str">
        <f t="shared" si="43"/>
        <v>ON SLA</v>
      </c>
      <c r="G233" s="9" t="s">
        <v>183</v>
      </c>
      <c r="H233" s="13">
        <v>2</v>
      </c>
      <c r="I233" s="11" t="s">
        <v>231</v>
      </c>
      <c r="J233" s="9" t="s">
        <v>198</v>
      </c>
      <c r="K233" s="9" t="s">
        <v>30</v>
      </c>
      <c r="L233" s="6"/>
    </row>
    <row r="234" spans="1:12" x14ac:dyDescent="0.3">
      <c r="A234" s="5" t="s">
        <v>41</v>
      </c>
      <c r="B234" s="6">
        <v>47</v>
      </c>
      <c r="C234" s="5">
        <v>45614.524305555555</v>
      </c>
      <c r="D234" s="5">
        <v>45615.769444444442</v>
      </c>
      <c r="E234" s="7">
        <f t="shared" si="40"/>
        <v>1.2451388888875954</v>
      </c>
      <c r="F234" s="8" t="str">
        <f t="shared" si="43"/>
        <v>ON SLA</v>
      </c>
      <c r="G234" s="9" t="s">
        <v>183</v>
      </c>
      <c r="H234" s="13">
        <v>2</v>
      </c>
      <c r="I234" s="11" t="s">
        <v>232</v>
      </c>
      <c r="J234" s="9" t="s">
        <v>198</v>
      </c>
      <c r="K234" s="9" t="s">
        <v>30</v>
      </c>
      <c r="L234" s="6"/>
    </row>
    <row r="235" spans="1:12" x14ac:dyDescent="0.3">
      <c r="A235" s="5" t="s">
        <v>41</v>
      </c>
      <c r="B235" s="6">
        <v>47</v>
      </c>
      <c r="C235" s="5">
        <v>45611.801388888889</v>
      </c>
      <c r="D235" s="5">
        <v>45614.699305555558</v>
      </c>
      <c r="E235" s="7">
        <f t="shared" si="40"/>
        <v>2.8979166666686069</v>
      </c>
      <c r="F235" s="8" t="str">
        <f t="shared" si="43"/>
        <v>ON SLA</v>
      </c>
      <c r="G235" s="9" t="s">
        <v>183</v>
      </c>
      <c r="H235" s="13">
        <v>2</v>
      </c>
      <c r="I235" s="11" t="s">
        <v>233</v>
      </c>
      <c r="J235" s="9" t="s">
        <v>234</v>
      </c>
      <c r="K235" s="9" t="s">
        <v>30</v>
      </c>
      <c r="L235" s="6"/>
    </row>
    <row r="236" spans="1:12" x14ac:dyDescent="0.3">
      <c r="A236" s="5" t="s">
        <v>41</v>
      </c>
      <c r="B236" s="6">
        <v>47</v>
      </c>
      <c r="C236" s="5">
        <v>45614.607638888891</v>
      </c>
      <c r="D236" s="5">
        <v>45615.604861111111</v>
      </c>
      <c r="E236" s="7">
        <f t="shared" si="40"/>
        <v>0.99722222222044365</v>
      </c>
      <c r="F236" s="8" t="str">
        <f t="shared" si="43"/>
        <v>ON SLA</v>
      </c>
      <c r="G236" s="9" t="s">
        <v>183</v>
      </c>
      <c r="H236" s="13">
        <v>2</v>
      </c>
      <c r="I236" s="11" t="s">
        <v>235</v>
      </c>
      <c r="J236" s="9" t="s">
        <v>234</v>
      </c>
      <c r="K236" s="9" t="s">
        <v>30</v>
      </c>
      <c r="L236" s="6"/>
    </row>
    <row r="237" spans="1:12" x14ac:dyDescent="0.3">
      <c r="A237" s="5" t="s">
        <v>41</v>
      </c>
      <c r="B237" s="6">
        <v>47</v>
      </c>
      <c r="C237" s="5">
        <v>45614.62222222222</v>
      </c>
      <c r="D237" s="5">
        <v>45614.777777777781</v>
      </c>
      <c r="E237" s="7">
        <f t="shared" si="40"/>
        <v>0.15555555556056788</v>
      </c>
      <c r="F237" s="8" t="str">
        <f t="shared" si="43"/>
        <v>ON SLA</v>
      </c>
      <c r="G237" s="9" t="s">
        <v>183</v>
      </c>
      <c r="H237" s="13">
        <v>2</v>
      </c>
      <c r="I237" s="11" t="s">
        <v>236</v>
      </c>
      <c r="J237" s="9" t="s">
        <v>234</v>
      </c>
      <c r="K237" s="9" t="s">
        <v>30</v>
      </c>
      <c r="L237" s="6"/>
    </row>
    <row r="238" spans="1:12" x14ac:dyDescent="0.3">
      <c r="A238" s="5" t="s">
        <v>41</v>
      </c>
      <c r="B238" s="6">
        <v>47</v>
      </c>
      <c r="C238" s="5">
        <v>45615.445833333331</v>
      </c>
      <c r="D238" s="5">
        <v>45618.458333333336</v>
      </c>
      <c r="E238" s="7">
        <f t="shared" si="40"/>
        <v>3.0125000000043656</v>
      </c>
      <c r="F238" s="8" t="str">
        <f t="shared" si="43"/>
        <v>ON SLA</v>
      </c>
      <c r="G238" s="9" t="s">
        <v>183</v>
      </c>
      <c r="H238" s="13">
        <v>2</v>
      </c>
      <c r="I238" s="11" t="s">
        <v>237</v>
      </c>
      <c r="J238" s="9" t="s">
        <v>234</v>
      </c>
      <c r="K238" s="9" t="s">
        <v>30</v>
      </c>
      <c r="L238" s="6"/>
    </row>
    <row r="239" spans="1:12" x14ac:dyDescent="0.3">
      <c r="A239" s="5" t="s">
        <v>41</v>
      </c>
      <c r="B239" s="6">
        <v>47</v>
      </c>
      <c r="C239" s="5">
        <v>45614.790972222225</v>
      </c>
      <c r="D239" s="5">
        <v>45615.756944444445</v>
      </c>
      <c r="E239" s="7">
        <f t="shared" si="40"/>
        <v>0.96597222222044365</v>
      </c>
      <c r="F239" s="8" t="str">
        <f t="shared" si="43"/>
        <v>ON SLA</v>
      </c>
      <c r="G239" s="9" t="s">
        <v>183</v>
      </c>
      <c r="H239" s="13">
        <v>2</v>
      </c>
      <c r="I239" s="11" t="s">
        <v>238</v>
      </c>
      <c r="J239" s="9" t="s">
        <v>234</v>
      </c>
      <c r="K239" s="9" t="s">
        <v>30</v>
      </c>
      <c r="L239" s="6"/>
    </row>
    <row r="240" spans="1:12" x14ac:dyDescent="0.3">
      <c r="A240" s="5" t="s">
        <v>41</v>
      </c>
      <c r="B240" s="6">
        <v>47</v>
      </c>
      <c r="C240" s="5">
        <v>45617.72152777778</v>
      </c>
      <c r="D240" s="5">
        <v>45618.604166666664</v>
      </c>
      <c r="E240" s="7">
        <f t="shared" si="40"/>
        <v>0.882638888884685</v>
      </c>
      <c r="F240" s="8" t="str">
        <f t="shared" si="43"/>
        <v>ON SLA</v>
      </c>
      <c r="G240" s="9" t="s">
        <v>183</v>
      </c>
      <c r="H240" s="13">
        <v>2</v>
      </c>
      <c r="I240" s="11" t="s">
        <v>239</v>
      </c>
      <c r="J240" s="9" t="s">
        <v>198</v>
      </c>
      <c r="K240" s="9" t="s">
        <v>30</v>
      </c>
      <c r="L240" s="6"/>
    </row>
    <row r="241" spans="1:12" x14ac:dyDescent="0.3">
      <c r="A241" s="5" t="s">
        <v>41</v>
      </c>
      <c r="B241" s="6">
        <v>47</v>
      </c>
      <c r="C241" s="5">
        <v>45614.62222222222</v>
      </c>
      <c r="D241" s="5">
        <v>45615.603472222225</v>
      </c>
      <c r="E241" s="7">
        <f t="shared" si="40"/>
        <v>0.98125000000436557</v>
      </c>
      <c r="F241" s="8" t="str">
        <f t="shared" si="43"/>
        <v>ON SLA</v>
      </c>
      <c r="G241" s="9" t="s">
        <v>183</v>
      </c>
      <c r="H241" s="13">
        <v>2</v>
      </c>
      <c r="I241" s="11" t="s">
        <v>240</v>
      </c>
      <c r="J241" s="9" t="s">
        <v>198</v>
      </c>
      <c r="K241" s="9" t="s">
        <v>30</v>
      </c>
      <c r="L241" s="6"/>
    </row>
    <row r="242" spans="1:12" x14ac:dyDescent="0.3">
      <c r="A242" s="5" t="s">
        <v>41</v>
      </c>
      <c r="B242" s="6">
        <v>47</v>
      </c>
      <c r="C242" s="5">
        <v>45617.47152777778</v>
      </c>
      <c r="D242" s="5">
        <v>45617.668055555558</v>
      </c>
      <c r="E242" s="7">
        <f t="shared" si="40"/>
        <v>0.19652777777810115</v>
      </c>
      <c r="F242" s="8" t="str">
        <f t="shared" si="43"/>
        <v>ON SLA</v>
      </c>
      <c r="G242" s="9" t="s">
        <v>183</v>
      </c>
      <c r="H242" s="13">
        <v>2</v>
      </c>
      <c r="I242" s="11" t="s">
        <v>241</v>
      </c>
      <c r="J242" s="9" t="s">
        <v>198</v>
      </c>
      <c r="K242" s="9" t="s">
        <v>30</v>
      </c>
      <c r="L242" s="6"/>
    </row>
    <row r="243" spans="1:12" x14ac:dyDescent="0.3">
      <c r="A243" s="5" t="s">
        <v>41</v>
      </c>
      <c r="B243" s="6">
        <v>47</v>
      </c>
      <c r="C243" s="5">
        <v>45617.72152777778</v>
      </c>
      <c r="D243" s="5">
        <v>45618.604166666664</v>
      </c>
      <c r="E243" s="7">
        <f t="shared" si="40"/>
        <v>0.882638888884685</v>
      </c>
      <c r="F243" s="8" t="str">
        <f t="shared" si="43"/>
        <v>ON SLA</v>
      </c>
      <c r="G243" s="9" t="s">
        <v>183</v>
      </c>
      <c r="H243" s="13">
        <v>2</v>
      </c>
      <c r="I243" s="11" t="s">
        <v>242</v>
      </c>
      <c r="J243" s="9" t="s">
        <v>198</v>
      </c>
      <c r="K243" s="9" t="s">
        <v>30</v>
      </c>
      <c r="L243" s="6"/>
    </row>
    <row r="244" spans="1:12" x14ac:dyDescent="0.3">
      <c r="A244" s="5" t="s">
        <v>41</v>
      </c>
      <c r="B244" s="6">
        <v>47</v>
      </c>
      <c r="C244" s="5">
        <v>45615.593055555553</v>
      </c>
      <c r="D244" s="5">
        <v>45617.740277777775</v>
      </c>
      <c r="E244" s="7">
        <f t="shared" si="40"/>
        <v>2.1472222222218988</v>
      </c>
      <c r="F244" s="8" t="str">
        <f t="shared" si="43"/>
        <v>ON SLA</v>
      </c>
      <c r="G244" s="9" t="s">
        <v>183</v>
      </c>
      <c r="H244" s="13">
        <v>2</v>
      </c>
      <c r="I244" s="11" t="s">
        <v>243</v>
      </c>
      <c r="J244" s="9" t="s">
        <v>198</v>
      </c>
      <c r="K244" s="9" t="s">
        <v>30</v>
      </c>
      <c r="L244" s="6"/>
    </row>
    <row r="245" spans="1:12" x14ac:dyDescent="0.3">
      <c r="A245" s="5" t="s">
        <v>41</v>
      </c>
      <c r="B245" s="6">
        <v>48</v>
      </c>
      <c r="C245" s="5">
        <v>45621.577777777777</v>
      </c>
      <c r="D245" s="5">
        <v>45622.605555555558</v>
      </c>
      <c r="E245" s="7">
        <f t="shared" si="40"/>
        <v>1.0277777777810115</v>
      </c>
      <c r="F245" s="8" t="str">
        <f t="shared" si="43"/>
        <v>ON SLA</v>
      </c>
      <c r="G245" s="9" t="s">
        <v>183</v>
      </c>
      <c r="H245" s="13">
        <v>2</v>
      </c>
      <c r="I245" s="11" t="s">
        <v>244</v>
      </c>
      <c r="J245" s="9" t="s">
        <v>198</v>
      </c>
      <c r="K245" s="9" t="s">
        <v>30</v>
      </c>
      <c r="L245" s="6"/>
    </row>
    <row r="246" spans="1:12" x14ac:dyDescent="0.3">
      <c r="A246" s="5" t="s">
        <v>41</v>
      </c>
      <c r="B246" s="6">
        <v>48</v>
      </c>
      <c r="C246" s="5">
        <v>45621.628472222219</v>
      </c>
      <c r="D246" s="5">
        <v>45623.509027777778</v>
      </c>
      <c r="E246" s="7">
        <f t="shared" si="40"/>
        <v>1.8805555555591127</v>
      </c>
      <c r="F246" s="8" t="str">
        <f t="shared" si="43"/>
        <v>ON SLA</v>
      </c>
      <c r="G246" s="9" t="s">
        <v>183</v>
      </c>
      <c r="H246" s="13">
        <v>2</v>
      </c>
      <c r="I246" s="11" t="s">
        <v>245</v>
      </c>
      <c r="J246" s="9" t="s">
        <v>198</v>
      </c>
      <c r="K246" s="9" t="s">
        <v>30</v>
      </c>
      <c r="L246" s="6"/>
    </row>
    <row r="247" spans="1:12" x14ac:dyDescent="0.3">
      <c r="A247" s="5" t="s">
        <v>41</v>
      </c>
      <c r="B247" s="6">
        <v>48</v>
      </c>
      <c r="C247" s="5">
        <v>45621.628472222219</v>
      </c>
      <c r="D247" s="5">
        <v>45623.509027777778</v>
      </c>
      <c r="E247" s="7">
        <f t="shared" si="40"/>
        <v>1.8805555555591127</v>
      </c>
      <c r="F247" s="8" t="str">
        <f t="shared" si="43"/>
        <v>ON SLA</v>
      </c>
      <c r="G247" s="9" t="s">
        <v>183</v>
      </c>
      <c r="H247" s="13">
        <v>2</v>
      </c>
      <c r="I247" s="11" t="s">
        <v>243</v>
      </c>
      <c r="J247" s="9" t="s">
        <v>198</v>
      </c>
      <c r="K247" s="9" t="s">
        <v>30</v>
      </c>
      <c r="L247" s="6"/>
    </row>
    <row r="248" spans="1:12" x14ac:dyDescent="0.3">
      <c r="A248" s="5" t="s">
        <v>41</v>
      </c>
      <c r="B248" s="6">
        <v>48</v>
      </c>
      <c r="C248" s="5">
        <v>45621.628472222219</v>
      </c>
      <c r="D248" s="5">
        <v>45623.509027777778</v>
      </c>
      <c r="E248" s="7">
        <f t="shared" si="40"/>
        <v>1.8805555555591127</v>
      </c>
      <c r="F248" s="8" t="str">
        <f t="shared" si="43"/>
        <v>ON SLA</v>
      </c>
      <c r="G248" s="9" t="s">
        <v>183</v>
      </c>
      <c r="H248" s="13">
        <v>2</v>
      </c>
      <c r="I248" s="11" t="s">
        <v>246</v>
      </c>
      <c r="J248" s="9" t="s">
        <v>198</v>
      </c>
      <c r="K248" s="9" t="s">
        <v>30</v>
      </c>
      <c r="L248" s="6"/>
    </row>
    <row r="249" spans="1:12" x14ac:dyDescent="0.3">
      <c r="A249" s="5" t="s">
        <v>41</v>
      </c>
      <c r="B249" s="6">
        <v>48</v>
      </c>
      <c r="C249" s="5">
        <v>45621.628472222219</v>
      </c>
      <c r="D249" s="5">
        <v>45623.509027777778</v>
      </c>
      <c r="E249" s="7">
        <f t="shared" si="40"/>
        <v>1.8805555555591127</v>
      </c>
      <c r="F249" s="8" t="str">
        <f t="shared" si="43"/>
        <v>ON SLA</v>
      </c>
      <c r="G249" s="9" t="s">
        <v>183</v>
      </c>
      <c r="H249" s="13">
        <v>2</v>
      </c>
      <c r="I249" s="11" t="s">
        <v>247</v>
      </c>
      <c r="J249" s="9" t="s">
        <v>198</v>
      </c>
      <c r="K249" s="9" t="s">
        <v>30</v>
      </c>
      <c r="L249" s="6"/>
    </row>
    <row r="250" spans="1:12" x14ac:dyDescent="0.3">
      <c r="A250" s="5" t="s">
        <v>41</v>
      </c>
      <c r="B250" s="6">
        <v>48</v>
      </c>
      <c r="C250" s="5">
        <v>45621.628472222219</v>
      </c>
      <c r="D250" s="5">
        <v>45623.509027777778</v>
      </c>
      <c r="E250" s="7">
        <f t="shared" ref="E250:E263" si="44">D250-C250</f>
        <v>1.8805555555591127</v>
      </c>
      <c r="F250" s="8" t="str">
        <f t="shared" si="43"/>
        <v>ON SLA</v>
      </c>
      <c r="G250" s="9" t="s">
        <v>183</v>
      </c>
      <c r="H250" s="13">
        <v>2</v>
      </c>
      <c r="I250" s="11" t="s">
        <v>248</v>
      </c>
      <c r="J250" s="9" t="s">
        <v>198</v>
      </c>
      <c r="K250" s="9" t="s">
        <v>30</v>
      </c>
      <c r="L250" s="6"/>
    </row>
    <row r="251" spans="1:12" x14ac:dyDescent="0.3">
      <c r="A251" s="5" t="s">
        <v>41</v>
      </c>
      <c r="B251" s="6">
        <v>48</v>
      </c>
      <c r="C251" s="5">
        <v>45621.628472222219</v>
      </c>
      <c r="D251" s="5">
        <v>45623.509027777778</v>
      </c>
      <c r="E251" s="7">
        <f t="shared" si="44"/>
        <v>1.8805555555591127</v>
      </c>
      <c r="F251" s="8" t="str">
        <f t="shared" ref="F251:F263" si="45">IF(E309&lt;3,  "ON SLA", "OFF SAL")</f>
        <v>ON SLA</v>
      </c>
      <c r="G251" s="9" t="s">
        <v>183</v>
      </c>
      <c r="H251" s="13">
        <v>2</v>
      </c>
      <c r="I251" s="11" t="s">
        <v>249</v>
      </c>
      <c r="J251" s="9" t="s">
        <v>198</v>
      </c>
      <c r="K251" s="9" t="s">
        <v>30</v>
      </c>
      <c r="L251" s="6"/>
    </row>
    <row r="252" spans="1:12" x14ac:dyDescent="0.3">
      <c r="A252" s="5" t="s">
        <v>41</v>
      </c>
      <c r="B252" s="6">
        <v>48</v>
      </c>
      <c r="C252" s="5">
        <v>45621.628472222219</v>
      </c>
      <c r="D252" s="5">
        <v>45623.509027777778</v>
      </c>
      <c r="E252" s="7">
        <f t="shared" si="44"/>
        <v>1.8805555555591127</v>
      </c>
      <c r="F252" s="8" t="str">
        <f t="shared" si="45"/>
        <v>ON SLA</v>
      </c>
      <c r="G252" s="9" t="s">
        <v>183</v>
      </c>
      <c r="H252" s="13">
        <v>2</v>
      </c>
      <c r="I252" s="11" t="s">
        <v>250</v>
      </c>
      <c r="J252" s="9" t="s">
        <v>234</v>
      </c>
      <c r="K252" s="9" t="s">
        <v>30</v>
      </c>
      <c r="L252" s="6"/>
    </row>
    <row r="253" spans="1:12" x14ac:dyDescent="0.3">
      <c r="A253" s="5" t="s">
        <v>41</v>
      </c>
      <c r="B253" s="6">
        <v>48</v>
      </c>
      <c r="C253" s="5">
        <v>45621.628472222219</v>
      </c>
      <c r="D253" s="5">
        <v>45623.509027777778</v>
      </c>
      <c r="E253" s="7">
        <f t="shared" si="44"/>
        <v>1.8805555555591127</v>
      </c>
      <c r="F253" s="8" t="str">
        <f t="shared" si="45"/>
        <v>ON SLA</v>
      </c>
      <c r="G253" s="9" t="s">
        <v>183</v>
      </c>
      <c r="H253" s="13">
        <v>2</v>
      </c>
      <c r="I253" s="11" t="s">
        <v>251</v>
      </c>
      <c r="J253" s="9" t="s">
        <v>234</v>
      </c>
      <c r="K253" s="9" t="s">
        <v>30</v>
      </c>
      <c r="L253" s="6"/>
    </row>
    <row r="254" spans="1:12" x14ac:dyDescent="0.3">
      <c r="A254" s="5" t="s">
        <v>41</v>
      </c>
      <c r="B254" s="6">
        <v>48</v>
      </c>
      <c r="C254" s="5">
        <v>45621.628472222219</v>
      </c>
      <c r="D254" s="5">
        <v>45623.509027777778</v>
      </c>
      <c r="E254" s="7">
        <f t="shared" si="44"/>
        <v>1.8805555555591127</v>
      </c>
      <c r="F254" s="8" t="str">
        <f t="shared" si="45"/>
        <v>ON SLA</v>
      </c>
      <c r="G254" s="9" t="s">
        <v>183</v>
      </c>
      <c r="H254" s="13">
        <v>2</v>
      </c>
      <c r="I254" s="11" t="s">
        <v>252</v>
      </c>
      <c r="J254" s="9" t="s">
        <v>234</v>
      </c>
      <c r="K254" s="9" t="s">
        <v>30</v>
      </c>
      <c r="L254" s="6"/>
    </row>
    <row r="255" spans="1:12" x14ac:dyDescent="0.3">
      <c r="A255" s="5" t="s">
        <v>41</v>
      </c>
      <c r="B255" s="6">
        <v>48</v>
      </c>
      <c r="C255" s="5">
        <v>45621.628472222219</v>
      </c>
      <c r="D255" s="5">
        <v>45623.509027777778</v>
      </c>
      <c r="E255" s="7">
        <f t="shared" si="44"/>
        <v>1.8805555555591127</v>
      </c>
      <c r="F255" s="8" t="str">
        <f t="shared" si="45"/>
        <v>ON SLA</v>
      </c>
      <c r="G255" s="9" t="s">
        <v>183</v>
      </c>
      <c r="H255" s="13">
        <v>2</v>
      </c>
      <c r="I255" s="11" t="s">
        <v>253</v>
      </c>
      <c r="J255" s="9" t="s">
        <v>234</v>
      </c>
      <c r="K255" s="9" t="s">
        <v>30</v>
      </c>
      <c r="L255" s="6"/>
    </row>
    <row r="256" spans="1:12" x14ac:dyDescent="0.3">
      <c r="A256" s="5" t="s">
        <v>41</v>
      </c>
      <c r="B256" s="6">
        <v>48</v>
      </c>
      <c r="C256" s="5">
        <v>45621.628472222219</v>
      </c>
      <c r="D256" s="5">
        <v>45623.509027777778</v>
      </c>
      <c r="E256" s="7">
        <f t="shared" si="44"/>
        <v>1.8805555555591127</v>
      </c>
      <c r="F256" s="8" t="str">
        <f t="shared" si="45"/>
        <v>ON SLA</v>
      </c>
      <c r="G256" s="9" t="s">
        <v>183</v>
      </c>
      <c r="H256" s="13">
        <v>2</v>
      </c>
      <c r="I256" s="11" t="s">
        <v>254</v>
      </c>
      <c r="J256" s="9" t="s">
        <v>234</v>
      </c>
      <c r="K256" s="9" t="s">
        <v>30</v>
      </c>
      <c r="L256" s="6"/>
    </row>
    <row r="257" spans="1:12" x14ac:dyDescent="0.3">
      <c r="A257" s="5" t="s">
        <v>41</v>
      </c>
      <c r="B257" s="6">
        <v>48</v>
      </c>
      <c r="C257" s="5">
        <v>45621.628472222219</v>
      </c>
      <c r="D257" s="5">
        <v>45623.509027777778</v>
      </c>
      <c r="E257" s="7">
        <f t="shared" si="44"/>
        <v>1.8805555555591127</v>
      </c>
      <c r="F257" s="8" t="str">
        <f t="shared" si="45"/>
        <v>ON SLA</v>
      </c>
      <c r="G257" s="9" t="s">
        <v>183</v>
      </c>
      <c r="H257" s="13">
        <v>2</v>
      </c>
      <c r="I257" s="11" t="s">
        <v>255</v>
      </c>
      <c r="J257" s="9" t="s">
        <v>234</v>
      </c>
      <c r="K257" s="9" t="s">
        <v>30</v>
      </c>
      <c r="L257" s="6"/>
    </row>
    <row r="258" spans="1:12" x14ac:dyDescent="0.3">
      <c r="A258" s="5" t="s">
        <v>41</v>
      </c>
      <c r="B258" s="6">
        <v>48</v>
      </c>
      <c r="C258" s="5">
        <v>45621.628472222219</v>
      </c>
      <c r="D258" s="5">
        <v>45623.509027777778</v>
      </c>
      <c r="E258" s="7">
        <f t="shared" si="44"/>
        <v>1.8805555555591127</v>
      </c>
      <c r="F258" s="8" t="str">
        <f t="shared" si="45"/>
        <v>ON SLA</v>
      </c>
      <c r="G258" s="9" t="s">
        <v>183</v>
      </c>
      <c r="H258" s="13">
        <v>2</v>
      </c>
      <c r="I258" s="11" t="s">
        <v>256</v>
      </c>
      <c r="J258" s="9" t="s">
        <v>234</v>
      </c>
      <c r="K258" s="9" t="s">
        <v>30</v>
      </c>
      <c r="L258" s="6"/>
    </row>
    <row r="259" spans="1:12" x14ac:dyDescent="0.3">
      <c r="A259" s="5" t="s">
        <v>41</v>
      </c>
      <c r="B259" s="6">
        <v>48</v>
      </c>
      <c r="C259" s="5">
        <v>45621.628472222219</v>
      </c>
      <c r="D259" s="5">
        <v>45623.509027777778</v>
      </c>
      <c r="E259" s="7">
        <f t="shared" si="44"/>
        <v>1.8805555555591127</v>
      </c>
      <c r="F259" s="8" t="str">
        <f t="shared" si="45"/>
        <v>ON SLA</v>
      </c>
      <c r="G259" s="9" t="s">
        <v>183</v>
      </c>
      <c r="H259" s="13">
        <v>2</v>
      </c>
      <c r="I259" s="11" t="s">
        <v>257</v>
      </c>
      <c r="J259" s="9" t="s">
        <v>234</v>
      </c>
      <c r="K259" s="9" t="s">
        <v>30</v>
      </c>
      <c r="L259" s="6"/>
    </row>
    <row r="260" spans="1:12" x14ac:dyDescent="0.3">
      <c r="A260" s="5" t="s">
        <v>41</v>
      </c>
      <c r="B260" s="6">
        <v>48</v>
      </c>
      <c r="C260" s="5">
        <v>45621.628472222219</v>
      </c>
      <c r="D260" s="5">
        <v>45623.509027777778</v>
      </c>
      <c r="E260" s="7">
        <f t="shared" si="44"/>
        <v>1.8805555555591127</v>
      </c>
      <c r="F260" s="8" t="str">
        <f t="shared" si="45"/>
        <v>ON SLA</v>
      </c>
      <c r="G260" s="9" t="s">
        <v>183</v>
      </c>
      <c r="H260" s="13">
        <v>2</v>
      </c>
      <c r="I260" s="11" t="s">
        <v>258</v>
      </c>
      <c r="J260" s="9" t="s">
        <v>234</v>
      </c>
      <c r="K260" s="9" t="s">
        <v>30</v>
      </c>
      <c r="L260" s="6"/>
    </row>
    <row r="261" spans="1:12" x14ac:dyDescent="0.3">
      <c r="A261" s="5" t="s">
        <v>41</v>
      </c>
      <c r="B261" s="6">
        <v>48</v>
      </c>
      <c r="C261" s="5">
        <v>45623.634027777778</v>
      </c>
      <c r="D261" s="5">
        <v>45623.663888888892</v>
      </c>
      <c r="E261" s="7">
        <f t="shared" si="44"/>
        <v>2.9861111113859806E-2</v>
      </c>
      <c r="F261" s="8" t="str">
        <f t="shared" si="45"/>
        <v>ON SLA</v>
      </c>
      <c r="G261" s="9" t="s">
        <v>183</v>
      </c>
      <c r="H261" s="13">
        <v>2</v>
      </c>
      <c r="I261" s="11" t="s">
        <v>259</v>
      </c>
      <c r="J261" s="9" t="s">
        <v>234</v>
      </c>
      <c r="K261" s="9" t="s">
        <v>30</v>
      </c>
      <c r="L261" s="6"/>
    </row>
    <row r="262" spans="1:12" x14ac:dyDescent="0.3">
      <c r="A262" s="5" t="s">
        <v>41</v>
      </c>
      <c r="B262" s="6">
        <v>48</v>
      </c>
      <c r="C262" s="5">
        <v>45623.634722222225</v>
      </c>
      <c r="D262" s="5">
        <v>45623.713888888888</v>
      </c>
      <c r="E262" s="7">
        <f t="shared" si="44"/>
        <v>7.9166666662786156E-2</v>
      </c>
      <c r="F262" s="8" t="str">
        <f t="shared" si="45"/>
        <v>ON SLA</v>
      </c>
      <c r="G262" s="9" t="s">
        <v>183</v>
      </c>
      <c r="H262" s="13">
        <v>2</v>
      </c>
      <c r="I262" s="11" t="s">
        <v>260</v>
      </c>
      <c r="J262" s="9" t="s">
        <v>234</v>
      </c>
      <c r="K262" s="9" t="s">
        <v>30</v>
      </c>
      <c r="L262" s="6"/>
    </row>
    <row r="263" spans="1:12" x14ac:dyDescent="0.3">
      <c r="A263" s="5" t="s">
        <v>28</v>
      </c>
      <c r="B263" s="6">
        <v>40</v>
      </c>
      <c r="C263" s="5">
        <v>45561.383333333331</v>
      </c>
      <c r="D263" s="5">
        <v>45568.551388888889</v>
      </c>
      <c r="E263" s="7">
        <f t="shared" si="44"/>
        <v>7.1680555555576575</v>
      </c>
      <c r="F263" s="8" t="str">
        <f t="shared" si="45"/>
        <v>ON SLA</v>
      </c>
      <c r="G263" s="9" t="s">
        <v>183</v>
      </c>
      <c r="H263" s="13">
        <v>2</v>
      </c>
      <c r="I263" s="11" t="s">
        <v>261</v>
      </c>
      <c r="J263" s="9" t="s">
        <v>198</v>
      </c>
      <c r="K263" s="9" t="s">
        <v>30</v>
      </c>
      <c r="L263" s="6"/>
    </row>
    <row r="264" spans="1:12" x14ac:dyDescent="0.3">
      <c r="A264" s="5" t="s">
        <v>28</v>
      </c>
      <c r="B264" s="6">
        <v>41</v>
      </c>
      <c r="C264" s="5">
        <v>45572.489583333336</v>
      </c>
      <c r="D264" s="5">
        <v>45572.492361111108</v>
      </c>
      <c r="E264" s="7">
        <f t="shared" ref="E264:E282" si="46">D264-C264</f>
        <v>2.7777777722803876E-3</v>
      </c>
      <c r="F264" s="8" t="str">
        <f>IF(E446&lt;3,  "ON SLA", "OFF SLA")</f>
        <v>ON SLA</v>
      </c>
      <c r="G264" s="9" t="s">
        <v>262</v>
      </c>
      <c r="H264" s="14">
        <v>4.1666666666666664E-2</v>
      </c>
      <c r="I264" s="9" t="s">
        <v>263</v>
      </c>
      <c r="J264" s="9" t="s">
        <v>19</v>
      </c>
      <c r="K264" s="9" t="s">
        <v>30</v>
      </c>
      <c r="L264" s="6"/>
    </row>
    <row r="265" spans="1:12" x14ac:dyDescent="0.3">
      <c r="A265" s="5" t="s">
        <v>28</v>
      </c>
      <c r="B265" s="6">
        <v>41</v>
      </c>
      <c r="C265" s="5">
        <v>45573.430555555555</v>
      </c>
      <c r="D265" s="5">
        <v>45573.440972222219</v>
      </c>
      <c r="E265" s="7">
        <f t="shared" si="46"/>
        <v>1.0416666664241347E-2</v>
      </c>
      <c r="F265" s="8" t="str">
        <f t="shared" ref="F265:F268" si="47">IF(E447&lt;3,  "ON SLA", "OFF SLA")</f>
        <v>ON SLA</v>
      </c>
      <c r="G265" s="9" t="s">
        <v>262</v>
      </c>
      <c r="H265" s="14">
        <v>4.1666666666666664E-2</v>
      </c>
      <c r="I265" s="9" t="s">
        <v>264</v>
      </c>
      <c r="J265" s="9" t="s">
        <v>68</v>
      </c>
      <c r="K265" s="9" t="s">
        <v>30</v>
      </c>
      <c r="L265" s="6"/>
    </row>
    <row r="266" spans="1:12" x14ac:dyDescent="0.3">
      <c r="A266" s="5" t="s">
        <v>28</v>
      </c>
      <c r="B266" s="6">
        <v>41</v>
      </c>
      <c r="C266" s="5">
        <v>45574.675000000003</v>
      </c>
      <c r="D266" s="5">
        <v>45574.676388888889</v>
      </c>
      <c r="E266" s="7">
        <f t="shared" si="46"/>
        <v>1.3888888861401938E-3</v>
      </c>
      <c r="F266" s="8" t="str">
        <f t="shared" si="47"/>
        <v>ON SLA</v>
      </c>
      <c r="G266" s="9" t="s">
        <v>262</v>
      </c>
      <c r="H266" s="14">
        <v>4.1666666666666664E-2</v>
      </c>
      <c r="I266" s="9" t="s">
        <v>265</v>
      </c>
      <c r="J266" s="9" t="s">
        <v>19</v>
      </c>
      <c r="K266" s="9" t="s">
        <v>30</v>
      </c>
      <c r="L266" s="6"/>
    </row>
    <row r="267" spans="1:12" x14ac:dyDescent="0.3">
      <c r="A267" s="5" t="s">
        <v>28</v>
      </c>
      <c r="B267" s="6">
        <v>42</v>
      </c>
      <c r="C267" s="5">
        <v>45579.652777777781</v>
      </c>
      <c r="D267" s="5">
        <v>45579.677083333336</v>
      </c>
      <c r="E267" s="7">
        <f t="shared" si="46"/>
        <v>2.4305555554747116E-2</v>
      </c>
      <c r="F267" s="8" t="str">
        <f t="shared" si="47"/>
        <v>ON SLA</v>
      </c>
      <c r="G267" s="9" t="s">
        <v>262</v>
      </c>
      <c r="H267" s="14">
        <v>4.1666666666666664E-2</v>
      </c>
      <c r="I267" s="9" t="s">
        <v>266</v>
      </c>
      <c r="J267" s="9" t="s">
        <v>68</v>
      </c>
      <c r="K267" s="9" t="s">
        <v>30</v>
      </c>
      <c r="L267" s="6"/>
    </row>
    <row r="268" spans="1:12" x14ac:dyDescent="0.3">
      <c r="A268" s="5" t="s">
        <v>28</v>
      </c>
      <c r="B268" s="6">
        <v>42</v>
      </c>
      <c r="C268" s="5">
        <v>45579.724999999999</v>
      </c>
      <c r="D268" s="5">
        <v>45579.741666666669</v>
      </c>
      <c r="E268" s="7">
        <f t="shared" si="46"/>
        <v>1.6666666670062114E-2</v>
      </c>
      <c r="F268" s="8" t="str">
        <f t="shared" si="47"/>
        <v>ON SLA</v>
      </c>
      <c r="G268" s="9" t="s">
        <v>262</v>
      </c>
      <c r="H268" s="14">
        <v>4.1666666666666664E-2</v>
      </c>
      <c r="I268" s="9" t="s">
        <v>267</v>
      </c>
      <c r="J268" s="9" t="s">
        <v>19</v>
      </c>
      <c r="K268" s="9" t="s">
        <v>30</v>
      </c>
      <c r="L268" s="6"/>
    </row>
    <row r="269" spans="1:12" x14ac:dyDescent="0.3">
      <c r="A269" s="5" t="s">
        <v>28</v>
      </c>
      <c r="B269" s="6">
        <v>42</v>
      </c>
      <c r="C269" s="5">
        <v>45579.699305555558</v>
      </c>
      <c r="D269" s="5">
        <v>45579.748611111114</v>
      </c>
      <c r="E269" s="7">
        <f t="shared" si="46"/>
        <v>4.9305555556202307E-2</v>
      </c>
      <c r="F269" s="8" t="str">
        <f>IF(E446&gt;3,  "ON SLA", "OFF SLA")</f>
        <v>OFF SLA</v>
      </c>
      <c r="G269" s="9" t="s">
        <v>262</v>
      </c>
      <c r="H269" s="14">
        <v>4.1666666666666664E-2</v>
      </c>
      <c r="I269" s="9" t="s">
        <v>268</v>
      </c>
      <c r="J269" s="9" t="s">
        <v>68</v>
      </c>
      <c r="K269" s="9" t="s">
        <v>30</v>
      </c>
      <c r="L269" s="6"/>
    </row>
    <row r="270" spans="1:12" x14ac:dyDescent="0.3">
      <c r="A270" s="5" t="s">
        <v>28</v>
      </c>
      <c r="B270" s="6">
        <v>42</v>
      </c>
      <c r="C270" s="5">
        <v>45580.460416666669</v>
      </c>
      <c r="D270" s="5">
        <v>45580.49722222222</v>
      </c>
      <c r="E270" s="7">
        <f t="shared" si="46"/>
        <v>3.6805555551836733E-2</v>
      </c>
      <c r="F270" s="8" t="str">
        <f t="shared" ref="F270:F276" si="48">IF(E452&lt;3,  "ON SLA", "OFF SLA")</f>
        <v>ON SLA</v>
      </c>
      <c r="G270" s="9" t="s">
        <v>262</v>
      </c>
      <c r="H270" s="14">
        <v>4.1666666666666664E-2</v>
      </c>
      <c r="I270" s="9" t="s">
        <v>269</v>
      </c>
      <c r="J270" s="9" t="s">
        <v>17</v>
      </c>
      <c r="K270" s="9" t="s">
        <v>30</v>
      </c>
      <c r="L270" s="6"/>
    </row>
    <row r="271" spans="1:12" x14ac:dyDescent="0.3">
      <c r="A271" s="5" t="s">
        <v>28</v>
      </c>
      <c r="B271" s="6">
        <v>42</v>
      </c>
      <c r="C271" s="5">
        <v>45581.415972222225</v>
      </c>
      <c r="D271" s="5">
        <v>45581.442361111112</v>
      </c>
      <c r="E271" s="7">
        <f t="shared" si="46"/>
        <v>2.6388888887595385E-2</v>
      </c>
      <c r="F271" s="8" t="str">
        <f t="shared" si="48"/>
        <v>ON SLA</v>
      </c>
      <c r="G271" s="9" t="s">
        <v>262</v>
      </c>
      <c r="H271" s="14">
        <v>4.1666666666666664E-2</v>
      </c>
      <c r="I271" s="9" t="s">
        <v>270</v>
      </c>
      <c r="J271" s="9" t="s">
        <v>17</v>
      </c>
      <c r="K271" s="9" t="s">
        <v>30</v>
      </c>
      <c r="L271" s="6"/>
    </row>
    <row r="272" spans="1:12" x14ac:dyDescent="0.3">
      <c r="A272" s="5" t="s">
        <v>28</v>
      </c>
      <c r="B272" s="6">
        <v>42</v>
      </c>
      <c r="C272" s="5">
        <v>45581.529166666667</v>
      </c>
      <c r="D272" s="5">
        <v>45581.566666666666</v>
      </c>
      <c r="E272" s="7">
        <f t="shared" si="46"/>
        <v>3.7499999998544808E-2</v>
      </c>
      <c r="F272" s="8" t="str">
        <f t="shared" si="48"/>
        <v>ON SLA</v>
      </c>
      <c r="G272" s="9" t="s">
        <v>262</v>
      </c>
      <c r="H272" s="14">
        <v>4.1666666666666664E-2</v>
      </c>
      <c r="I272" s="9" t="s">
        <v>80</v>
      </c>
      <c r="J272" s="9" t="s">
        <v>14</v>
      </c>
      <c r="K272" s="9" t="s">
        <v>30</v>
      </c>
      <c r="L272" s="6"/>
    </row>
    <row r="273" spans="1:12" x14ac:dyDescent="0.3">
      <c r="A273" s="5" t="s">
        <v>28</v>
      </c>
      <c r="B273" s="6">
        <v>42</v>
      </c>
      <c r="C273" s="5">
        <v>45581.572916666664</v>
      </c>
      <c r="D273" s="5">
        <v>45581.581250000003</v>
      </c>
      <c r="E273" s="7">
        <f t="shared" si="46"/>
        <v>8.3333333386690356E-3</v>
      </c>
      <c r="F273" s="8" t="str">
        <f t="shared" si="48"/>
        <v>ON SLA</v>
      </c>
      <c r="G273" s="9" t="s">
        <v>262</v>
      </c>
      <c r="H273" s="14">
        <v>4.1666666666666664E-2</v>
      </c>
      <c r="I273" s="9" t="s">
        <v>271</v>
      </c>
      <c r="J273" s="9" t="s">
        <v>17</v>
      </c>
      <c r="K273" s="9" t="s">
        <v>30</v>
      </c>
      <c r="L273" s="6"/>
    </row>
    <row r="274" spans="1:12" x14ac:dyDescent="0.3">
      <c r="A274" s="5" t="s">
        <v>28</v>
      </c>
      <c r="B274" s="6">
        <v>42</v>
      </c>
      <c r="C274" s="5">
        <v>45583.521527777775</v>
      </c>
      <c r="D274" s="5">
        <v>45583.525694444441</v>
      </c>
      <c r="E274" s="7">
        <f t="shared" si="46"/>
        <v>4.166666665696539E-3</v>
      </c>
      <c r="F274" s="8" t="str">
        <f t="shared" si="48"/>
        <v>ON SLA</v>
      </c>
      <c r="G274" s="9" t="s">
        <v>262</v>
      </c>
      <c r="H274" s="14">
        <v>4.1666666666666664E-2</v>
      </c>
      <c r="I274" s="9" t="s">
        <v>272</v>
      </c>
      <c r="J274" s="9" t="s">
        <v>19</v>
      </c>
      <c r="K274" s="9" t="s">
        <v>30</v>
      </c>
      <c r="L274" s="6"/>
    </row>
    <row r="275" spans="1:12" x14ac:dyDescent="0.3">
      <c r="A275" s="5" t="s">
        <v>28</v>
      </c>
      <c r="B275" s="6">
        <v>43</v>
      </c>
      <c r="C275" s="5">
        <v>45587.479166666664</v>
      </c>
      <c r="D275" s="5">
        <v>45587.494444444441</v>
      </c>
      <c r="E275" s="7">
        <f t="shared" si="46"/>
        <v>1.5277777776645962E-2</v>
      </c>
      <c r="F275" s="8" t="str">
        <f t="shared" si="48"/>
        <v>ON SLA</v>
      </c>
      <c r="G275" s="9" t="s">
        <v>262</v>
      </c>
      <c r="H275" s="14">
        <v>4.1666666666666664E-2</v>
      </c>
      <c r="I275" s="9" t="s">
        <v>273</v>
      </c>
      <c r="J275" s="9" t="s">
        <v>17</v>
      </c>
      <c r="K275" s="9" t="s">
        <v>30</v>
      </c>
      <c r="L275" s="6"/>
    </row>
    <row r="276" spans="1:12" x14ac:dyDescent="0.3">
      <c r="A276" s="5" t="s">
        <v>28</v>
      </c>
      <c r="B276" s="6">
        <v>43</v>
      </c>
      <c r="C276" s="5">
        <v>45590.583333333336</v>
      </c>
      <c r="D276" s="5">
        <v>45590.620833333334</v>
      </c>
      <c r="E276" s="7">
        <f t="shared" si="46"/>
        <v>3.7499999998544808E-2</v>
      </c>
      <c r="F276" s="8" t="str">
        <f t="shared" si="48"/>
        <v>ON SLA</v>
      </c>
      <c r="G276" s="9" t="s">
        <v>262</v>
      </c>
      <c r="H276" s="14">
        <v>4.1666666666666664E-2</v>
      </c>
      <c r="I276" s="9" t="s">
        <v>116</v>
      </c>
      <c r="J276" s="9" t="s">
        <v>49</v>
      </c>
      <c r="K276" s="9" t="s">
        <v>30</v>
      </c>
      <c r="L276" s="6"/>
    </row>
    <row r="277" spans="1:12" x14ac:dyDescent="0.3">
      <c r="A277" s="5" t="s">
        <v>28</v>
      </c>
      <c r="B277" s="6">
        <v>43</v>
      </c>
      <c r="C277" s="5">
        <v>45590.626388888886</v>
      </c>
      <c r="D277" s="5">
        <v>45590.736111111109</v>
      </c>
      <c r="E277" s="7">
        <f t="shared" si="46"/>
        <v>0.10972222222335404</v>
      </c>
      <c r="F277" s="8" t="str">
        <f t="shared" ref="F277:F278" si="49">IF(E454&gt;3,  "ON SLA", "OFF SLA")</f>
        <v>OFF SLA</v>
      </c>
      <c r="G277" s="9" t="s">
        <v>262</v>
      </c>
      <c r="H277" s="14">
        <v>4.1666666666666664E-2</v>
      </c>
      <c r="I277" s="9" t="s">
        <v>116</v>
      </c>
      <c r="J277" s="9" t="s">
        <v>49</v>
      </c>
      <c r="K277" s="9" t="s">
        <v>30</v>
      </c>
      <c r="L277" s="6"/>
    </row>
    <row r="278" spans="1:12" x14ac:dyDescent="0.3">
      <c r="A278" s="5" t="s">
        <v>28</v>
      </c>
      <c r="B278" s="6">
        <v>44</v>
      </c>
      <c r="C278" s="5">
        <v>45590.803472222222</v>
      </c>
      <c r="D278" s="5">
        <v>45592.479166666664</v>
      </c>
      <c r="E278" s="7">
        <f t="shared" si="46"/>
        <v>1.6756944444423425</v>
      </c>
      <c r="F278" s="8" t="str">
        <f t="shared" si="49"/>
        <v>OFF SLA</v>
      </c>
      <c r="G278" s="9" t="s">
        <v>262</v>
      </c>
      <c r="H278" s="14">
        <v>4.1666666666666664E-2</v>
      </c>
      <c r="I278" s="9" t="s">
        <v>274</v>
      </c>
      <c r="J278" s="9" t="s">
        <v>14</v>
      </c>
      <c r="K278" s="9" t="s">
        <v>30</v>
      </c>
      <c r="L278" s="6"/>
    </row>
    <row r="279" spans="1:12" x14ac:dyDescent="0.3">
      <c r="A279" s="5" t="s">
        <v>28</v>
      </c>
      <c r="B279" s="6">
        <v>44</v>
      </c>
      <c r="C279" s="5">
        <v>45593.569444444445</v>
      </c>
      <c r="D279" s="5">
        <v>45593.572222222225</v>
      </c>
      <c r="E279" s="7">
        <f t="shared" si="46"/>
        <v>2.7777777795563452E-3</v>
      </c>
      <c r="F279" s="8" t="str">
        <f>IF(E461&lt;3,  "ON SLA", "OFF SLA")</f>
        <v>ON SLA</v>
      </c>
      <c r="G279" s="9" t="s">
        <v>262</v>
      </c>
      <c r="H279" s="14">
        <v>4.1666666666666664E-2</v>
      </c>
      <c r="I279" s="9" t="s">
        <v>275</v>
      </c>
      <c r="J279" s="9" t="s">
        <v>19</v>
      </c>
      <c r="K279" s="9" t="s">
        <v>30</v>
      </c>
      <c r="L279" s="6"/>
    </row>
    <row r="280" spans="1:12" x14ac:dyDescent="0.3">
      <c r="A280" s="5" t="s">
        <v>28</v>
      </c>
      <c r="B280" s="6">
        <v>44</v>
      </c>
      <c r="C280" s="5">
        <v>45593.549305555556</v>
      </c>
      <c r="D280" s="5">
        <v>45593.737500000003</v>
      </c>
      <c r="E280" s="7">
        <f t="shared" si="46"/>
        <v>0.18819444444670808</v>
      </c>
      <c r="F280" s="8" t="str">
        <f>IF(E457&gt;3,  "ON SLA", "OFF SLA")</f>
        <v>OFF SLA</v>
      </c>
      <c r="G280" s="9" t="s">
        <v>262</v>
      </c>
      <c r="H280" s="14">
        <v>4.1666666666666664E-2</v>
      </c>
      <c r="I280" s="9" t="s">
        <v>276</v>
      </c>
      <c r="J280" s="9" t="s">
        <v>38</v>
      </c>
      <c r="K280" s="9" t="s">
        <v>30</v>
      </c>
      <c r="L280" s="6"/>
    </row>
    <row r="281" spans="1:12" x14ac:dyDescent="0.3">
      <c r="A281" s="5" t="s">
        <v>28</v>
      </c>
      <c r="B281" s="6">
        <v>44</v>
      </c>
      <c r="C281" s="5">
        <v>45594.652777777781</v>
      </c>
      <c r="D281" s="5">
        <v>45594.666666666664</v>
      </c>
      <c r="E281" s="7">
        <f t="shared" si="46"/>
        <v>1.3888888883229811E-2</v>
      </c>
      <c r="F281" s="8" t="str">
        <f>IF(E463&lt;3,  "ON SLA", "OFF SLA")</f>
        <v>ON SLA</v>
      </c>
      <c r="G281" s="9" t="s">
        <v>262</v>
      </c>
      <c r="H281" s="14">
        <v>4.1666666666666664E-2</v>
      </c>
      <c r="I281" s="9" t="s">
        <v>277</v>
      </c>
      <c r="J281" s="9" t="s">
        <v>26</v>
      </c>
      <c r="K281" s="9" t="s">
        <v>30</v>
      </c>
      <c r="L281" s="6"/>
    </row>
    <row r="282" spans="1:12" x14ac:dyDescent="0.3">
      <c r="A282" s="5" t="s">
        <v>41</v>
      </c>
      <c r="B282" s="6">
        <v>45</v>
      </c>
      <c r="C282" s="5">
        <v>45602.404861111114</v>
      </c>
      <c r="D282" s="5">
        <v>45602.477083333331</v>
      </c>
      <c r="E282" s="7">
        <f t="shared" si="46"/>
        <v>7.2222222217533272E-2</v>
      </c>
      <c r="F282" s="8" t="str">
        <f>IF(E459&gt;3,  "ON SLA", "OFF SLA")</f>
        <v>OFF SLA</v>
      </c>
      <c r="G282" s="9" t="s">
        <v>262</v>
      </c>
      <c r="H282" s="14">
        <v>4.1666666666666664E-2</v>
      </c>
      <c r="I282" s="11" t="s">
        <v>278</v>
      </c>
      <c r="J282" s="9" t="s">
        <v>14</v>
      </c>
      <c r="K282" s="9" t="s">
        <v>30</v>
      </c>
      <c r="L282" s="6"/>
    </row>
    <row r="283" spans="1:12" x14ac:dyDescent="0.3">
      <c r="A283" s="5" t="str">
        <f t="shared" ref="A283:A297" si="50">TEXT(D283,"mmm")</f>
        <v>Oct</v>
      </c>
      <c r="B283" s="6">
        <f t="shared" ref="B283:B297" si="51">WEEKNUM(D283)</f>
        <v>44</v>
      </c>
      <c r="C283" s="5">
        <v>45595.561111111099</v>
      </c>
      <c r="D283" s="5">
        <v>45595.587500000001</v>
      </c>
      <c r="E283" s="7">
        <f t="shared" ref="E283:E331" si="52">D283-C283</f>
        <v>2.6388888902147301E-2</v>
      </c>
      <c r="F283" s="7" t="str">
        <f>IF(E342&lt;3,  "ON SLA", "OFF SAL")</f>
        <v>ON SLA</v>
      </c>
      <c r="G283" s="9" t="s">
        <v>279</v>
      </c>
      <c r="H283" s="14">
        <v>4.1666666666666664E-2</v>
      </c>
      <c r="I283" s="9" t="s">
        <v>280</v>
      </c>
      <c r="J283" s="9" t="s">
        <v>26</v>
      </c>
      <c r="K283" s="9" t="s">
        <v>15</v>
      </c>
      <c r="L283" s="6"/>
    </row>
    <row r="284" spans="1:12" x14ac:dyDescent="0.3">
      <c r="A284" s="5" t="str">
        <f t="shared" si="50"/>
        <v>Nov</v>
      </c>
      <c r="B284" s="6">
        <f t="shared" si="51"/>
        <v>44</v>
      </c>
      <c r="C284" s="5">
        <v>45597.452083333301</v>
      </c>
      <c r="D284" s="5">
        <v>45597.460416666698</v>
      </c>
      <c r="E284" s="7">
        <f t="shared" si="52"/>
        <v>8.3333333968766965E-3</v>
      </c>
      <c r="F284" s="7" t="str">
        <f t="shared" ref="F284:F292" si="53">IF(E343&lt;3,  "ON SLA", "OFF SAL")</f>
        <v>ON SLA</v>
      </c>
      <c r="G284" s="9" t="s">
        <v>279</v>
      </c>
      <c r="H284" s="14">
        <v>4.1666666666666664E-2</v>
      </c>
      <c r="I284" s="9" t="s">
        <v>281</v>
      </c>
      <c r="J284" s="9" t="s">
        <v>17</v>
      </c>
      <c r="K284" s="9" t="s">
        <v>15</v>
      </c>
      <c r="L284" s="6"/>
    </row>
    <row r="285" spans="1:12" x14ac:dyDescent="0.3">
      <c r="A285" s="5" t="str">
        <f t="shared" si="50"/>
        <v>Nov</v>
      </c>
      <c r="B285" s="6">
        <f t="shared" si="51"/>
        <v>44</v>
      </c>
      <c r="C285" s="5">
        <v>45597.434722222199</v>
      </c>
      <c r="D285" s="5">
        <v>45597.470138888901</v>
      </c>
      <c r="E285" s="7">
        <f t="shared" si="52"/>
        <v>3.5416666702076327E-2</v>
      </c>
      <c r="F285" s="7" t="str">
        <f t="shared" si="53"/>
        <v>ON SLA</v>
      </c>
      <c r="G285" s="9" t="s">
        <v>279</v>
      </c>
      <c r="H285" s="14">
        <v>4.1666666666666664E-2</v>
      </c>
      <c r="I285" s="9" t="s">
        <v>282</v>
      </c>
      <c r="J285" s="9" t="s">
        <v>49</v>
      </c>
      <c r="K285" s="9" t="s">
        <v>15</v>
      </c>
      <c r="L285" s="6"/>
    </row>
    <row r="286" spans="1:12" x14ac:dyDescent="0.3">
      <c r="A286" s="5" t="str">
        <f t="shared" si="50"/>
        <v>Nov</v>
      </c>
      <c r="B286" s="6">
        <f t="shared" si="51"/>
        <v>44</v>
      </c>
      <c r="C286" s="5">
        <v>45597.668055555601</v>
      </c>
      <c r="D286" s="5">
        <v>45597.672222222202</v>
      </c>
      <c r="E286" s="7">
        <f t="shared" si="52"/>
        <v>4.1666666002129205E-3</v>
      </c>
      <c r="F286" s="7" t="str">
        <f t="shared" si="53"/>
        <v>ON SLA</v>
      </c>
      <c r="G286" s="9" t="s">
        <v>279</v>
      </c>
      <c r="H286" s="14">
        <v>4.1666666666666664E-2</v>
      </c>
      <c r="I286" s="9" t="s">
        <v>283</v>
      </c>
      <c r="J286" s="9" t="s">
        <v>284</v>
      </c>
      <c r="K286" s="9" t="s">
        <v>15</v>
      </c>
      <c r="L286" s="6"/>
    </row>
    <row r="287" spans="1:12" x14ac:dyDescent="0.3">
      <c r="A287" s="5" t="str">
        <f t="shared" si="50"/>
        <v>Nov</v>
      </c>
      <c r="B287" s="6">
        <f t="shared" si="51"/>
        <v>45</v>
      </c>
      <c r="C287" s="5">
        <v>45601.493055555598</v>
      </c>
      <c r="D287" s="5">
        <v>45601.507638888899</v>
      </c>
      <c r="E287" s="7">
        <f t="shared" si="52"/>
        <v>1.4583333300834056E-2</v>
      </c>
      <c r="F287" s="7" t="str">
        <f t="shared" si="53"/>
        <v>ON SLA</v>
      </c>
      <c r="G287" s="9" t="s">
        <v>279</v>
      </c>
      <c r="H287" s="14">
        <v>4.1666666666666664E-2</v>
      </c>
      <c r="I287" s="9" t="s">
        <v>285</v>
      </c>
      <c r="J287" s="9" t="s">
        <v>286</v>
      </c>
      <c r="K287" s="9" t="s">
        <v>15</v>
      </c>
      <c r="L287" s="6"/>
    </row>
    <row r="288" spans="1:12" x14ac:dyDescent="0.3">
      <c r="A288" s="5" t="str">
        <f t="shared" si="50"/>
        <v>Nov</v>
      </c>
      <c r="B288" s="6">
        <f t="shared" si="51"/>
        <v>45</v>
      </c>
      <c r="C288" s="5">
        <v>45602.679166666698</v>
      </c>
      <c r="D288" s="5">
        <v>45602.698611111096</v>
      </c>
      <c r="E288" s="7">
        <f t="shared" si="52"/>
        <v>1.9444444398686755E-2</v>
      </c>
      <c r="F288" s="7" t="str">
        <f t="shared" si="53"/>
        <v>ON SLA</v>
      </c>
      <c r="G288" s="9" t="s">
        <v>279</v>
      </c>
      <c r="H288" s="14">
        <v>4.1666666666666664E-2</v>
      </c>
      <c r="I288" s="9" t="s">
        <v>287</v>
      </c>
      <c r="J288" s="9" t="s">
        <v>19</v>
      </c>
      <c r="K288" s="9" t="s">
        <v>15</v>
      </c>
      <c r="L288" s="6"/>
    </row>
    <row r="289" spans="1:12" x14ac:dyDescent="0.3">
      <c r="A289" s="5" t="str">
        <f t="shared" si="50"/>
        <v>Nov</v>
      </c>
      <c r="B289" s="6">
        <f t="shared" si="51"/>
        <v>45</v>
      </c>
      <c r="C289" s="5">
        <v>45602.679861111101</v>
      </c>
      <c r="D289" s="5">
        <v>45602.699305555601</v>
      </c>
      <c r="E289" s="7">
        <f t="shared" si="52"/>
        <v>1.9444444500550162E-2</v>
      </c>
      <c r="F289" s="7" t="str">
        <f t="shared" si="53"/>
        <v>ON SLA</v>
      </c>
      <c r="G289" s="9" t="s">
        <v>279</v>
      </c>
      <c r="H289" s="14">
        <v>4.1666666666666664E-2</v>
      </c>
      <c r="I289" s="9" t="s">
        <v>288</v>
      </c>
      <c r="J289" s="9" t="s">
        <v>23</v>
      </c>
      <c r="K289" s="9" t="s">
        <v>15</v>
      </c>
      <c r="L289" s="6"/>
    </row>
    <row r="290" spans="1:12" x14ac:dyDescent="0.3">
      <c r="A290" s="5" t="str">
        <f t="shared" si="50"/>
        <v>Nov</v>
      </c>
      <c r="B290" s="6">
        <f t="shared" si="51"/>
        <v>46</v>
      </c>
      <c r="C290" s="5">
        <v>45609.736111111102</v>
      </c>
      <c r="D290" s="5">
        <v>45609.745138888902</v>
      </c>
      <c r="E290" s="7">
        <f t="shared" si="52"/>
        <v>9.0277777999290265E-3</v>
      </c>
      <c r="F290" s="7" t="str">
        <f t="shared" si="53"/>
        <v>ON SLA</v>
      </c>
      <c r="G290" s="9" t="s">
        <v>279</v>
      </c>
      <c r="H290" s="14">
        <v>4.1666666666666664E-2</v>
      </c>
      <c r="I290" s="9" t="s">
        <v>289</v>
      </c>
      <c r="J290" s="9" t="s">
        <v>26</v>
      </c>
      <c r="K290" s="9" t="s">
        <v>15</v>
      </c>
      <c r="L290" s="6"/>
    </row>
    <row r="291" spans="1:12" x14ac:dyDescent="0.3">
      <c r="A291" s="5" t="str">
        <f t="shared" si="50"/>
        <v>Nov</v>
      </c>
      <c r="B291" s="6">
        <f t="shared" si="51"/>
        <v>46</v>
      </c>
      <c r="C291" s="5">
        <v>45609.737500000003</v>
      </c>
      <c r="D291" s="5">
        <v>45609.754166666702</v>
      </c>
      <c r="E291" s="7">
        <f t="shared" si="52"/>
        <v>1.6666666699165944E-2</v>
      </c>
      <c r="F291" s="7" t="str">
        <f t="shared" si="53"/>
        <v>ON SLA</v>
      </c>
      <c r="G291" s="9" t="s">
        <v>279</v>
      </c>
      <c r="H291" s="14">
        <v>4.1666666666666664E-2</v>
      </c>
      <c r="I291" s="9" t="s">
        <v>290</v>
      </c>
      <c r="J291" s="9" t="s">
        <v>19</v>
      </c>
      <c r="K291" s="9" t="s">
        <v>15</v>
      </c>
      <c r="L291" s="6"/>
    </row>
    <row r="292" spans="1:12" x14ac:dyDescent="0.3">
      <c r="A292" s="5" t="str">
        <f t="shared" si="50"/>
        <v>Nov</v>
      </c>
      <c r="B292" s="6">
        <f t="shared" si="51"/>
        <v>46</v>
      </c>
      <c r="C292" s="5">
        <v>45609.738888888904</v>
      </c>
      <c r="D292" s="5">
        <v>45609.756944444402</v>
      </c>
      <c r="E292" s="7">
        <f t="shared" si="52"/>
        <v>1.8055555497994646E-2</v>
      </c>
      <c r="F292" s="7" t="str">
        <f t="shared" si="53"/>
        <v>ON SLA</v>
      </c>
      <c r="G292" s="9" t="s">
        <v>279</v>
      </c>
      <c r="H292" s="14">
        <v>4.1666666666666664E-2</v>
      </c>
      <c r="I292" s="9" t="s">
        <v>291</v>
      </c>
      <c r="J292" s="9" t="s">
        <v>23</v>
      </c>
      <c r="K292" s="9" t="s">
        <v>15</v>
      </c>
      <c r="L292" s="6"/>
    </row>
    <row r="293" spans="1:12" x14ac:dyDescent="0.3">
      <c r="A293" s="5" t="str">
        <f t="shared" si="50"/>
        <v>Nov</v>
      </c>
      <c r="B293" s="6">
        <f t="shared" si="51"/>
        <v>47</v>
      </c>
      <c r="C293" s="5">
        <v>45615.566666666702</v>
      </c>
      <c r="D293" s="5">
        <v>45615.611111111102</v>
      </c>
      <c r="E293" s="7">
        <f t="shared" si="52"/>
        <v>4.4444444400141947E-2</v>
      </c>
      <c r="F293" s="8" t="str">
        <f>IF(E293&gt;3,  "ON SLA", "OFF SLA")</f>
        <v>OFF SLA</v>
      </c>
      <c r="G293" s="9" t="s">
        <v>279</v>
      </c>
      <c r="H293" s="14">
        <v>4.1666666666666664E-2</v>
      </c>
      <c r="I293" s="9" t="s">
        <v>292</v>
      </c>
      <c r="J293" s="9" t="s">
        <v>14</v>
      </c>
      <c r="K293" s="9" t="s">
        <v>15</v>
      </c>
      <c r="L293" s="6"/>
    </row>
    <row r="294" spans="1:12" x14ac:dyDescent="0.3">
      <c r="A294" s="5" t="str">
        <f t="shared" si="50"/>
        <v>Nov</v>
      </c>
      <c r="B294" s="6">
        <f t="shared" si="51"/>
        <v>47</v>
      </c>
      <c r="C294" s="5">
        <v>45618.506944444402</v>
      </c>
      <c r="D294" s="5">
        <v>45618.510416666701</v>
      </c>
      <c r="E294" s="7">
        <f t="shared" si="52"/>
        <v>3.472222299023997E-3</v>
      </c>
      <c r="F294" s="7" t="str">
        <f>IF(E353&lt;3,  "ON SLA", "OFF SAL")</f>
        <v>ON SLA</v>
      </c>
      <c r="G294" s="9" t="s">
        <v>279</v>
      </c>
      <c r="H294" s="14">
        <v>4.1666666666666664E-2</v>
      </c>
      <c r="I294" s="9" t="s">
        <v>293</v>
      </c>
      <c r="J294" s="9" t="s">
        <v>19</v>
      </c>
      <c r="K294" s="9" t="s">
        <v>15</v>
      </c>
      <c r="L294" s="6"/>
    </row>
    <row r="295" spans="1:12" x14ac:dyDescent="0.3">
      <c r="A295" s="5" t="str">
        <f t="shared" si="50"/>
        <v>Nov</v>
      </c>
      <c r="B295" s="6">
        <f t="shared" si="51"/>
        <v>48</v>
      </c>
      <c r="C295" s="5">
        <v>45621.4819444444</v>
      </c>
      <c r="D295" s="5">
        <v>45621.552777777797</v>
      </c>
      <c r="E295" s="7">
        <f t="shared" si="52"/>
        <v>7.0833333396876696E-2</v>
      </c>
      <c r="F295" s="8" t="str">
        <f>IF(E295&gt;3,  "ON SLA", "OFF SLA")</f>
        <v>OFF SLA</v>
      </c>
      <c r="G295" s="9" t="s">
        <v>279</v>
      </c>
      <c r="H295" s="14">
        <v>4.1666666666666664E-2</v>
      </c>
      <c r="I295" s="9" t="s">
        <v>294</v>
      </c>
      <c r="J295" s="9" t="s">
        <v>286</v>
      </c>
      <c r="K295" s="9" t="s">
        <v>15</v>
      </c>
      <c r="L295" s="6"/>
    </row>
    <row r="296" spans="1:12" x14ac:dyDescent="0.3">
      <c r="A296" s="5" t="str">
        <f t="shared" si="50"/>
        <v>Nov</v>
      </c>
      <c r="B296" s="6">
        <f t="shared" si="51"/>
        <v>48</v>
      </c>
      <c r="C296" s="5">
        <v>45623.431944444397</v>
      </c>
      <c r="D296" s="5">
        <v>45623.434027777803</v>
      </c>
      <c r="E296" s="7">
        <f t="shared" si="52"/>
        <v>2.0833334056078456E-3</v>
      </c>
      <c r="F296" s="7" t="str">
        <f t="shared" ref="F296" si="54">IF(E355&lt;3,  "ON SLA", "OFF SAL")</f>
        <v>ON SLA</v>
      </c>
      <c r="G296" s="9" t="s">
        <v>279</v>
      </c>
      <c r="H296" s="14">
        <v>4.1666666666666664E-2</v>
      </c>
      <c r="I296" s="9" t="s">
        <v>295</v>
      </c>
      <c r="J296" s="9" t="s">
        <v>17</v>
      </c>
      <c r="K296" s="9" t="s">
        <v>15</v>
      </c>
      <c r="L296" s="6"/>
    </row>
    <row r="297" spans="1:12" x14ac:dyDescent="0.3">
      <c r="A297" s="5" t="str">
        <f t="shared" si="50"/>
        <v>Nov</v>
      </c>
      <c r="B297" s="6">
        <f t="shared" si="51"/>
        <v>48</v>
      </c>
      <c r="C297" s="5">
        <v>45625.422916666699</v>
      </c>
      <c r="D297" s="5">
        <v>45625.425694444399</v>
      </c>
      <c r="E297" s="7">
        <f t="shared" si="52"/>
        <v>2.7777776995208114E-3</v>
      </c>
      <c r="F297" s="8" t="str">
        <f t="shared" ref="F297:F298" si="55">IF(E297&gt;3,  "ON SLA", "OFF SLA")</f>
        <v>OFF SLA</v>
      </c>
      <c r="G297" s="9" t="s">
        <v>279</v>
      </c>
      <c r="H297" s="14">
        <v>4.1666666666666664E-2</v>
      </c>
      <c r="I297" s="9" t="s">
        <v>296</v>
      </c>
      <c r="J297" s="9" t="s">
        <v>23</v>
      </c>
      <c r="K297" s="9" t="s">
        <v>15</v>
      </c>
      <c r="L297" s="6"/>
    </row>
    <row r="298" spans="1:12" x14ac:dyDescent="0.3">
      <c r="A298" s="5" t="s">
        <v>28</v>
      </c>
      <c r="B298" s="6">
        <v>40</v>
      </c>
      <c r="C298" s="5">
        <v>45567.43472222222</v>
      </c>
      <c r="D298" s="5">
        <v>45567.531944444447</v>
      </c>
      <c r="E298" s="7">
        <f t="shared" si="52"/>
        <v>9.7222222226264421E-2</v>
      </c>
      <c r="F298" s="8" t="str">
        <f t="shared" si="55"/>
        <v>OFF SLA</v>
      </c>
      <c r="G298" s="9" t="s">
        <v>279</v>
      </c>
      <c r="H298" s="14">
        <v>4.1666666666666664E-2</v>
      </c>
      <c r="I298" s="9" t="s">
        <v>297</v>
      </c>
      <c r="J298" s="9" t="s">
        <v>38</v>
      </c>
      <c r="K298" s="9" t="s">
        <v>30</v>
      </c>
      <c r="L298" s="6"/>
    </row>
    <row r="299" spans="1:12" x14ac:dyDescent="0.3">
      <c r="A299" s="5" t="s">
        <v>28</v>
      </c>
      <c r="B299" s="6">
        <v>40</v>
      </c>
      <c r="C299" s="5">
        <v>45567.51458333333</v>
      </c>
      <c r="D299" s="5">
        <v>45567.540972222225</v>
      </c>
      <c r="E299" s="7">
        <f t="shared" si="52"/>
        <v>2.6388888894871343E-2</v>
      </c>
      <c r="F299" s="7" t="str">
        <f t="shared" ref="F299:F302" si="56">IF(E358&lt;3,  "ON SLA", "OFF SAL")</f>
        <v>ON SLA</v>
      </c>
      <c r="G299" s="9" t="s">
        <v>279</v>
      </c>
      <c r="H299" s="14">
        <v>4.1666666666666664E-2</v>
      </c>
      <c r="I299" s="9" t="s">
        <v>298</v>
      </c>
      <c r="J299" s="9" t="s">
        <v>19</v>
      </c>
      <c r="K299" s="9" t="s">
        <v>30</v>
      </c>
      <c r="L299" s="6"/>
    </row>
    <row r="300" spans="1:12" x14ac:dyDescent="0.3">
      <c r="A300" s="5" t="s">
        <v>28</v>
      </c>
      <c r="B300" s="6">
        <v>40</v>
      </c>
      <c r="C300" s="5">
        <v>45567.734722222223</v>
      </c>
      <c r="D300" s="5">
        <v>45567.746527777781</v>
      </c>
      <c r="E300" s="7">
        <f t="shared" si="52"/>
        <v>1.1805555557657499E-2</v>
      </c>
      <c r="F300" s="8" t="str">
        <f>IF(E300&gt;3,  "ON SLA", "OFF SLA")</f>
        <v>OFF SLA</v>
      </c>
      <c r="G300" s="9" t="s">
        <v>279</v>
      </c>
      <c r="H300" s="14">
        <v>4.1666666666666664E-2</v>
      </c>
      <c r="I300" s="9" t="s">
        <v>299</v>
      </c>
      <c r="J300" s="9" t="s">
        <v>14</v>
      </c>
      <c r="K300" s="9" t="s">
        <v>30</v>
      </c>
      <c r="L300" s="6"/>
    </row>
    <row r="301" spans="1:12" x14ac:dyDescent="0.3">
      <c r="A301" s="5" t="s">
        <v>28</v>
      </c>
      <c r="B301" s="6">
        <v>40</v>
      </c>
      <c r="C301" s="5">
        <v>45568.450694444444</v>
      </c>
      <c r="D301" s="5">
        <v>45568.461805555555</v>
      </c>
      <c r="E301" s="7">
        <f t="shared" si="52"/>
        <v>1.1111111110949423E-2</v>
      </c>
      <c r="F301" s="7" t="str">
        <f t="shared" si="56"/>
        <v>ON SLA</v>
      </c>
      <c r="G301" s="9" t="s">
        <v>279</v>
      </c>
      <c r="H301" s="14">
        <v>4.1666666666666664E-2</v>
      </c>
      <c r="I301" s="9" t="s">
        <v>300</v>
      </c>
      <c r="J301" s="9" t="s">
        <v>68</v>
      </c>
      <c r="K301" s="9" t="s">
        <v>30</v>
      </c>
      <c r="L301" s="6"/>
    </row>
    <row r="302" spans="1:12" x14ac:dyDescent="0.3">
      <c r="A302" s="5" t="s">
        <v>28</v>
      </c>
      <c r="B302" s="6">
        <v>40</v>
      </c>
      <c r="C302" s="5">
        <v>45568.493750000001</v>
      </c>
      <c r="D302" s="5">
        <v>45568.50277777778</v>
      </c>
      <c r="E302" s="7">
        <f t="shared" si="52"/>
        <v>9.0277777781011537E-3</v>
      </c>
      <c r="F302" s="7" t="str">
        <f t="shared" si="56"/>
        <v>ON SLA</v>
      </c>
      <c r="G302" s="9" t="s">
        <v>279</v>
      </c>
      <c r="H302" s="14">
        <v>4.1666666666666664E-2</v>
      </c>
      <c r="I302" s="9" t="s">
        <v>288</v>
      </c>
      <c r="J302" s="9" t="s">
        <v>23</v>
      </c>
      <c r="K302" s="9" t="s">
        <v>30</v>
      </c>
      <c r="L302" s="6"/>
    </row>
    <row r="303" spans="1:12" x14ac:dyDescent="0.3">
      <c r="A303" s="5" t="s">
        <v>28</v>
      </c>
      <c r="B303" s="6">
        <v>40</v>
      </c>
      <c r="C303" s="5">
        <v>45569.594444444447</v>
      </c>
      <c r="D303" s="5">
        <v>45569.65347222222</v>
      </c>
      <c r="E303" s="7">
        <f t="shared" si="52"/>
        <v>5.9027777773735579E-2</v>
      </c>
      <c r="F303" s="8" t="str">
        <f>IF(E303&gt;3,  "ON SLA", "OFF SLA")</f>
        <v>OFF SLA</v>
      </c>
      <c r="G303" s="9" t="s">
        <v>279</v>
      </c>
      <c r="H303" s="14">
        <v>4.1666666666666664E-2</v>
      </c>
      <c r="I303" s="9" t="s">
        <v>75</v>
      </c>
      <c r="J303" s="9" t="s">
        <v>19</v>
      </c>
      <c r="K303" s="9" t="s">
        <v>30</v>
      </c>
      <c r="L303" s="6"/>
    </row>
    <row r="304" spans="1:12" x14ac:dyDescent="0.3">
      <c r="A304" s="5" t="s">
        <v>28</v>
      </c>
      <c r="B304" s="6">
        <v>41</v>
      </c>
      <c r="C304" s="5">
        <v>45572.684027777781</v>
      </c>
      <c r="D304" s="5">
        <v>45572.701388888891</v>
      </c>
      <c r="E304" s="7">
        <f t="shared" si="52"/>
        <v>1.7361111109494232E-2</v>
      </c>
      <c r="F304" s="7" t="str">
        <f>IF(E363&lt;3,  "ON SLA", "OFF SAL")</f>
        <v>ON SLA</v>
      </c>
      <c r="G304" s="9" t="s">
        <v>279</v>
      </c>
      <c r="H304" s="14">
        <v>4.1666666666666664E-2</v>
      </c>
      <c r="I304" s="9" t="s">
        <v>301</v>
      </c>
      <c r="J304" s="9" t="s">
        <v>17</v>
      </c>
      <c r="K304" s="9" t="s">
        <v>30</v>
      </c>
      <c r="L304" s="6"/>
    </row>
    <row r="305" spans="1:12" x14ac:dyDescent="0.3">
      <c r="A305" s="5" t="s">
        <v>28</v>
      </c>
      <c r="B305" s="6">
        <v>41</v>
      </c>
      <c r="C305" s="5">
        <v>45572.927777777775</v>
      </c>
      <c r="D305" s="5">
        <v>45573.438194444447</v>
      </c>
      <c r="E305" s="7">
        <f t="shared" si="52"/>
        <v>0.51041666667151731</v>
      </c>
      <c r="F305" s="8" t="str">
        <f t="shared" ref="F305:F306" si="57">IF(E305&gt;3,  "ON SLA", "OFF SLA")</f>
        <v>OFF SLA</v>
      </c>
      <c r="G305" s="9" t="s">
        <v>279</v>
      </c>
      <c r="H305" s="14">
        <v>4.1666666666666664E-2</v>
      </c>
      <c r="I305" s="9" t="s">
        <v>302</v>
      </c>
      <c r="J305" s="9" t="s">
        <v>49</v>
      </c>
      <c r="K305" s="9" t="s">
        <v>30</v>
      </c>
      <c r="L305" s="6"/>
    </row>
    <row r="306" spans="1:12" x14ac:dyDescent="0.3">
      <c r="A306" s="5" t="s">
        <v>28</v>
      </c>
      <c r="B306" s="6">
        <v>41</v>
      </c>
      <c r="C306" s="5">
        <v>45573.769444444442</v>
      </c>
      <c r="D306" s="5">
        <v>45574.441666666666</v>
      </c>
      <c r="E306" s="7">
        <f t="shared" si="52"/>
        <v>0.67222222222335404</v>
      </c>
      <c r="F306" s="8" t="str">
        <f t="shared" si="57"/>
        <v>OFF SLA</v>
      </c>
      <c r="G306" s="9" t="s">
        <v>279</v>
      </c>
      <c r="H306" s="14">
        <v>4.1666666666666664E-2</v>
      </c>
      <c r="I306" s="9" t="s">
        <v>303</v>
      </c>
      <c r="J306" s="9" t="s">
        <v>14</v>
      </c>
      <c r="K306" s="9" t="s">
        <v>30</v>
      </c>
      <c r="L306" s="6"/>
    </row>
    <row r="307" spans="1:12" x14ac:dyDescent="0.3">
      <c r="A307" s="5" t="s">
        <v>28</v>
      </c>
      <c r="B307" s="6">
        <v>41</v>
      </c>
      <c r="C307" s="5">
        <v>45575.393055555556</v>
      </c>
      <c r="D307" s="5">
        <v>45575.447916666664</v>
      </c>
      <c r="E307" s="7">
        <f t="shared" si="52"/>
        <v>5.486111110803904E-2</v>
      </c>
      <c r="F307" s="7" t="str">
        <f t="shared" ref="F307" si="58">IF(E356&gt;3,  "ON SLA", "OFF SAL")</f>
        <v>ON SLA</v>
      </c>
      <c r="G307" s="9" t="s">
        <v>279</v>
      </c>
      <c r="H307" s="14">
        <v>4.1666666666666664E-2</v>
      </c>
      <c r="I307" s="9" t="s">
        <v>304</v>
      </c>
      <c r="J307" s="9" t="s">
        <v>49</v>
      </c>
      <c r="K307" s="9" t="s">
        <v>30</v>
      </c>
      <c r="L307" s="6"/>
    </row>
    <row r="308" spans="1:12" x14ac:dyDescent="0.3">
      <c r="A308" s="5" t="s">
        <v>28</v>
      </c>
      <c r="B308" s="6">
        <v>41</v>
      </c>
      <c r="C308" s="5">
        <v>45575.740277777775</v>
      </c>
      <c r="D308" s="5">
        <v>45575.751388888886</v>
      </c>
      <c r="E308" s="7">
        <f t="shared" si="52"/>
        <v>1.1111111110949423E-2</v>
      </c>
      <c r="F308" s="7" t="str">
        <f t="shared" ref="F308:F309" si="59">IF(E367&lt;3,  "ON SLA", "OFF SAL")</f>
        <v>ON SLA</v>
      </c>
      <c r="G308" s="9" t="s">
        <v>279</v>
      </c>
      <c r="H308" s="14">
        <v>4.1666666666666664E-2</v>
      </c>
      <c r="I308" s="9" t="s">
        <v>104</v>
      </c>
      <c r="J308" s="9" t="s">
        <v>19</v>
      </c>
      <c r="K308" s="9" t="s">
        <v>30</v>
      </c>
      <c r="L308" s="6"/>
    </row>
    <row r="309" spans="1:12" x14ac:dyDescent="0.3">
      <c r="A309" s="5" t="s">
        <v>28</v>
      </c>
      <c r="B309" s="6">
        <v>41</v>
      </c>
      <c r="C309" s="5">
        <v>45576.643055555556</v>
      </c>
      <c r="D309" s="5">
        <v>45576.663888888892</v>
      </c>
      <c r="E309" s="7">
        <f t="shared" si="52"/>
        <v>2.0833333335758653E-2</v>
      </c>
      <c r="F309" s="7" t="str">
        <f t="shared" si="59"/>
        <v>ON SLA</v>
      </c>
      <c r="G309" s="9" t="s">
        <v>279</v>
      </c>
      <c r="H309" s="14">
        <v>4.1666666666666664E-2</v>
      </c>
      <c r="I309" s="9" t="s">
        <v>305</v>
      </c>
      <c r="J309" s="9" t="s">
        <v>68</v>
      </c>
      <c r="K309" s="9" t="s">
        <v>30</v>
      </c>
      <c r="L309" s="6"/>
    </row>
    <row r="310" spans="1:12" x14ac:dyDescent="0.3">
      <c r="A310" s="5" t="s">
        <v>28</v>
      </c>
      <c r="B310" s="6">
        <v>41</v>
      </c>
      <c r="C310" s="5">
        <v>45576.895138888889</v>
      </c>
      <c r="D310" s="5">
        <v>45577.602083333331</v>
      </c>
      <c r="E310" s="7">
        <f t="shared" si="52"/>
        <v>0.7069444444423425</v>
      </c>
      <c r="F310" s="7" t="str">
        <f>IF(E359&lt;3,  "ON SLA", "OFF SLA")</f>
        <v>OFF SLA</v>
      </c>
      <c r="G310" s="9" t="s">
        <v>279</v>
      </c>
      <c r="H310" s="14">
        <v>4.1666666666666664E-2</v>
      </c>
      <c r="I310" s="9" t="s">
        <v>306</v>
      </c>
      <c r="J310" s="9" t="s">
        <v>26</v>
      </c>
      <c r="K310" s="9" t="s">
        <v>30</v>
      </c>
      <c r="L310" s="6"/>
    </row>
    <row r="311" spans="1:12" x14ac:dyDescent="0.3">
      <c r="A311" s="5" t="s">
        <v>28</v>
      </c>
      <c r="B311" s="6">
        <v>42</v>
      </c>
      <c r="C311" s="5">
        <v>45578.672222222223</v>
      </c>
      <c r="D311" s="5">
        <v>45578.763888888891</v>
      </c>
      <c r="E311" s="7">
        <f t="shared" si="52"/>
        <v>9.1666666667151731E-2</v>
      </c>
      <c r="F311" s="8" t="str">
        <f>IF(E311&gt;3,  "ON SLA", "OFF SLA")</f>
        <v>OFF SLA</v>
      </c>
      <c r="G311" s="9" t="s">
        <v>279</v>
      </c>
      <c r="H311" s="14">
        <v>4.1666666666666664E-2</v>
      </c>
      <c r="I311" s="9" t="s">
        <v>307</v>
      </c>
      <c r="J311" s="9" t="s">
        <v>49</v>
      </c>
      <c r="K311" s="9" t="s">
        <v>30</v>
      </c>
      <c r="L311" s="6"/>
    </row>
    <row r="312" spans="1:12" x14ac:dyDescent="0.3">
      <c r="A312" s="5" t="s">
        <v>28</v>
      </c>
      <c r="B312" s="6">
        <v>42</v>
      </c>
      <c r="C312" s="5">
        <v>45579.503472222219</v>
      </c>
      <c r="D312" s="5">
        <v>45579.51666666667</v>
      </c>
      <c r="E312" s="7">
        <f t="shared" si="52"/>
        <v>1.319444445107365E-2</v>
      </c>
      <c r="F312" s="7" t="str">
        <f>IF(E371&lt;3,  "ON SLA", "OFF SLA")</f>
        <v>ON SLA</v>
      </c>
      <c r="G312" s="9" t="s">
        <v>279</v>
      </c>
      <c r="H312" s="14">
        <v>4.1666666666666664E-2</v>
      </c>
      <c r="I312" s="9" t="s">
        <v>308</v>
      </c>
      <c r="J312" s="9" t="s">
        <v>38</v>
      </c>
      <c r="K312" s="9" t="s">
        <v>30</v>
      </c>
      <c r="L312" s="6"/>
    </row>
    <row r="313" spans="1:12" x14ac:dyDescent="0.3">
      <c r="A313" s="5" t="s">
        <v>28</v>
      </c>
      <c r="B313" s="6">
        <v>42</v>
      </c>
      <c r="C313" s="5">
        <v>45579.761805555558</v>
      </c>
      <c r="D313" s="5">
        <v>45580.412499999999</v>
      </c>
      <c r="E313" s="7">
        <f t="shared" si="52"/>
        <v>0.65069444444088731</v>
      </c>
      <c r="F313" s="8" t="str">
        <f>IF(E313&gt;3,  "ON SLA", "OFF SLA")</f>
        <v>OFF SLA</v>
      </c>
      <c r="G313" s="9" t="s">
        <v>279</v>
      </c>
      <c r="H313" s="14">
        <v>4.1666666666666664E-2</v>
      </c>
      <c r="I313" s="9" t="s">
        <v>309</v>
      </c>
      <c r="J313" s="9" t="s">
        <v>49</v>
      </c>
      <c r="K313" s="9" t="s">
        <v>30</v>
      </c>
      <c r="L313" s="6"/>
    </row>
    <row r="314" spans="1:12" x14ac:dyDescent="0.3">
      <c r="A314" s="5" t="s">
        <v>28</v>
      </c>
      <c r="B314" s="6">
        <v>42</v>
      </c>
      <c r="C314" s="5">
        <v>45580.513888888891</v>
      </c>
      <c r="D314" s="5">
        <v>45580.518055555556</v>
      </c>
      <c r="E314" s="7">
        <f t="shared" si="52"/>
        <v>4.166666665696539E-3</v>
      </c>
      <c r="F314" s="7" t="str">
        <f t="shared" ref="F314:F316" si="60">IF(E373&lt;3,  "ON SLA", "OFF SAL")</f>
        <v>ON SLA</v>
      </c>
      <c r="G314" s="9" t="s">
        <v>279</v>
      </c>
      <c r="H314" s="14">
        <v>4.1666666666666664E-2</v>
      </c>
      <c r="I314" s="9" t="s">
        <v>310</v>
      </c>
      <c r="J314" s="9" t="s">
        <v>17</v>
      </c>
      <c r="K314" s="9" t="s">
        <v>30</v>
      </c>
      <c r="L314" s="6"/>
    </row>
    <row r="315" spans="1:12" x14ac:dyDescent="0.3">
      <c r="A315" s="5" t="s">
        <v>28</v>
      </c>
      <c r="B315" s="6">
        <v>42</v>
      </c>
      <c r="C315" s="5">
        <v>45580.72152777778</v>
      </c>
      <c r="D315" s="5">
        <v>45580.731944444444</v>
      </c>
      <c r="E315" s="7">
        <f t="shared" si="52"/>
        <v>1.0416666664241347E-2</v>
      </c>
      <c r="F315" s="7" t="str">
        <f t="shared" si="60"/>
        <v>ON SLA</v>
      </c>
      <c r="G315" s="9" t="s">
        <v>279</v>
      </c>
      <c r="H315" s="14">
        <v>4.1666666666666664E-2</v>
      </c>
      <c r="I315" s="9" t="s">
        <v>311</v>
      </c>
      <c r="J315" s="9" t="s">
        <v>49</v>
      </c>
      <c r="K315" s="9" t="s">
        <v>30</v>
      </c>
      <c r="L315" s="6"/>
    </row>
    <row r="316" spans="1:12" x14ac:dyDescent="0.3">
      <c r="A316" s="5" t="s">
        <v>28</v>
      </c>
      <c r="B316" s="6">
        <v>42</v>
      </c>
      <c r="C316" s="5">
        <v>45581.552083333336</v>
      </c>
      <c r="D316" s="5">
        <v>45581.571527777778</v>
      </c>
      <c r="E316" s="7">
        <f t="shared" si="52"/>
        <v>1.9444444442342501E-2</v>
      </c>
      <c r="F316" s="7" t="str">
        <f t="shared" si="60"/>
        <v>ON SLA</v>
      </c>
      <c r="G316" s="9" t="s">
        <v>279</v>
      </c>
      <c r="H316" s="14">
        <v>4.1666666666666664E-2</v>
      </c>
      <c r="I316" s="9" t="s">
        <v>287</v>
      </c>
      <c r="J316" s="9" t="s">
        <v>19</v>
      </c>
      <c r="K316" s="9" t="s">
        <v>30</v>
      </c>
      <c r="L316" s="6"/>
    </row>
    <row r="317" spans="1:12" x14ac:dyDescent="0.3">
      <c r="A317" s="5" t="s">
        <v>28</v>
      </c>
      <c r="B317" s="6">
        <v>42</v>
      </c>
      <c r="C317" s="5">
        <v>45581.605555555558</v>
      </c>
      <c r="D317" s="5">
        <v>45581.700694444444</v>
      </c>
      <c r="E317" s="7">
        <f t="shared" si="52"/>
        <v>9.5138888886140194E-2</v>
      </c>
      <c r="F317" s="8" t="str">
        <f>IF(E317&gt;3,  "ON SLA", "OFF SLA")</f>
        <v>OFF SLA</v>
      </c>
      <c r="G317" s="9" t="s">
        <v>279</v>
      </c>
      <c r="H317" s="14">
        <v>4.1666666666666664E-2</v>
      </c>
      <c r="I317" s="9" t="s">
        <v>312</v>
      </c>
      <c r="J317" s="9" t="s">
        <v>26</v>
      </c>
      <c r="K317" s="9" t="s">
        <v>30</v>
      </c>
      <c r="L317" s="6"/>
    </row>
    <row r="318" spans="1:12" x14ac:dyDescent="0.3">
      <c r="A318" s="5" t="s">
        <v>28</v>
      </c>
      <c r="B318" s="6">
        <v>42</v>
      </c>
      <c r="C318" s="5">
        <v>45582.522916666669</v>
      </c>
      <c r="D318" s="5">
        <v>45582.542361111111</v>
      </c>
      <c r="E318" s="7">
        <f t="shared" si="52"/>
        <v>1.9444444442342501E-2</v>
      </c>
      <c r="F318" s="7" t="str">
        <f>IF(E377&lt;3,  "ON SLA", "OFF SAL")</f>
        <v>ON SLA</v>
      </c>
      <c r="G318" s="9" t="s">
        <v>279</v>
      </c>
      <c r="H318" s="14">
        <v>4.1666666666666664E-2</v>
      </c>
      <c r="I318" s="9" t="s">
        <v>313</v>
      </c>
      <c r="J318" s="9" t="s">
        <v>23</v>
      </c>
      <c r="K318" s="9" t="s">
        <v>30</v>
      </c>
      <c r="L318" s="6"/>
    </row>
    <row r="319" spans="1:12" x14ac:dyDescent="0.3">
      <c r="A319" s="5" t="s">
        <v>28</v>
      </c>
      <c r="B319" s="6">
        <v>42</v>
      </c>
      <c r="C319" s="5">
        <v>45582.88958333333</v>
      </c>
      <c r="D319" s="5">
        <v>45583.45416666667</v>
      </c>
      <c r="E319" s="7">
        <f t="shared" si="52"/>
        <v>0.56458333334012423</v>
      </c>
      <c r="F319" s="8" t="str">
        <f t="shared" ref="F319:F321" si="61">IF(E319&gt;3,  "ON SLA", "OFF SLA")</f>
        <v>OFF SLA</v>
      </c>
      <c r="G319" s="9" t="s">
        <v>279</v>
      </c>
      <c r="H319" s="14">
        <v>4.1666666666666664E-2</v>
      </c>
      <c r="I319" s="9" t="s">
        <v>314</v>
      </c>
      <c r="J319" s="9" t="s">
        <v>23</v>
      </c>
      <c r="K319" s="9" t="s">
        <v>30</v>
      </c>
      <c r="L319" s="6"/>
    </row>
    <row r="320" spans="1:12" x14ac:dyDescent="0.3">
      <c r="A320" s="5" t="s">
        <v>28</v>
      </c>
      <c r="B320" s="6">
        <v>42</v>
      </c>
      <c r="C320" s="5">
        <v>45582.88958333333</v>
      </c>
      <c r="D320" s="5">
        <v>45583.45416666667</v>
      </c>
      <c r="E320" s="7">
        <f t="shared" si="52"/>
        <v>0.56458333334012423</v>
      </c>
      <c r="F320" s="8" t="str">
        <f t="shared" si="61"/>
        <v>OFF SLA</v>
      </c>
      <c r="G320" s="9" t="s">
        <v>279</v>
      </c>
      <c r="H320" s="14">
        <v>4.1666666666666664E-2</v>
      </c>
      <c r="I320" s="9" t="s">
        <v>288</v>
      </c>
      <c r="J320" s="9" t="s">
        <v>23</v>
      </c>
      <c r="K320" s="9" t="s">
        <v>30</v>
      </c>
      <c r="L320" s="6"/>
    </row>
    <row r="321" spans="1:12" x14ac:dyDescent="0.3">
      <c r="A321" s="5" t="s">
        <v>28</v>
      </c>
      <c r="B321" s="6">
        <v>43</v>
      </c>
      <c r="C321" s="5">
        <v>45586.96875</v>
      </c>
      <c r="D321" s="5">
        <v>45587.451388888891</v>
      </c>
      <c r="E321" s="7">
        <f t="shared" si="52"/>
        <v>0.48263888889050577</v>
      </c>
      <c r="F321" s="8" t="str">
        <f t="shared" si="61"/>
        <v>OFF SLA</v>
      </c>
      <c r="G321" s="9" t="s">
        <v>279</v>
      </c>
      <c r="H321" s="14">
        <v>4.1666666666666664E-2</v>
      </c>
      <c r="I321" s="9" t="s">
        <v>298</v>
      </c>
      <c r="J321" s="9" t="s">
        <v>19</v>
      </c>
      <c r="K321" s="9" t="s">
        <v>30</v>
      </c>
      <c r="L321" s="6"/>
    </row>
    <row r="322" spans="1:12" x14ac:dyDescent="0.3">
      <c r="A322" s="5" t="s">
        <v>28</v>
      </c>
      <c r="B322" s="6">
        <v>43</v>
      </c>
      <c r="C322" s="5">
        <v>45587.763888888891</v>
      </c>
      <c r="D322" s="5">
        <v>45587.770138888889</v>
      </c>
      <c r="E322" s="7">
        <f t="shared" si="52"/>
        <v>6.2499999985448085E-3</v>
      </c>
      <c r="F322" s="7" t="str">
        <f>IF(E381&lt;3,  "ON SLA", "OFF SAL")</f>
        <v>ON SLA</v>
      </c>
      <c r="G322" s="9" t="s">
        <v>279</v>
      </c>
      <c r="H322" s="14">
        <v>4.1666666666666664E-2</v>
      </c>
      <c r="I322" s="9" t="s">
        <v>315</v>
      </c>
      <c r="J322" s="9" t="s">
        <v>14</v>
      </c>
      <c r="K322" s="9" t="s">
        <v>30</v>
      </c>
      <c r="L322" s="6"/>
    </row>
    <row r="323" spans="1:12" x14ac:dyDescent="0.3">
      <c r="A323" s="5" t="s">
        <v>28</v>
      </c>
      <c r="B323" s="6">
        <v>43</v>
      </c>
      <c r="C323" s="5">
        <v>45588.680555555555</v>
      </c>
      <c r="D323" s="5">
        <v>45588.777777777781</v>
      </c>
      <c r="E323" s="7">
        <f t="shared" si="52"/>
        <v>9.7222222226264421E-2</v>
      </c>
      <c r="F323" s="8" t="str">
        <f t="shared" ref="F323:F324" si="62">IF(E323&gt;3,  "ON SLA", "OFF SLA")</f>
        <v>OFF SLA</v>
      </c>
      <c r="G323" s="9" t="s">
        <v>279</v>
      </c>
      <c r="H323" s="14">
        <v>4.1666666666666664E-2</v>
      </c>
      <c r="I323" s="9" t="s">
        <v>316</v>
      </c>
      <c r="J323" s="9" t="s">
        <v>19</v>
      </c>
      <c r="K323" s="9" t="s">
        <v>30</v>
      </c>
      <c r="L323" s="6"/>
    </row>
    <row r="324" spans="1:12" x14ac:dyDescent="0.3">
      <c r="A324" s="5" t="s">
        <v>28</v>
      </c>
      <c r="B324" s="6">
        <v>44</v>
      </c>
      <c r="C324" s="5">
        <v>45593.361111111109</v>
      </c>
      <c r="D324" s="5">
        <v>45593.465277777781</v>
      </c>
      <c r="E324" s="7">
        <f t="shared" si="52"/>
        <v>0.10416666667151731</v>
      </c>
      <c r="F324" s="8" t="str">
        <f t="shared" si="62"/>
        <v>OFF SLA</v>
      </c>
      <c r="G324" s="9" t="s">
        <v>279</v>
      </c>
      <c r="H324" s="14">
        <v>4.1666666666666664E-2</v>
      </c>
      <c r="I324" s="9" t="s">
        <v>317</v>
      </c>
      <c r="J324" s="9" t="s">
        <v>38</v>
      </c>
      <c r="K324" s="9" t="s">
        <v>30</v>
      </c>
      <c r="L324" s="6"/>
    </row>
    <row r="325" spans="1:12" x14ac:dyDescent="0.3">
      <c r="A325" s="5" t="s">
        <v>28</v>
      </c>
      <c r="B325" s="6">
        <v>44</v>
      </c>
      <c r="C325" s="5">
        <v>45593.480555555558</v>
      </c>
      <c r="D325" s="5">
        <v>45593.493055555555</v>
      </c>
      <c r="E325" s="7">
        <f t="shared" si="52"/>
        <v>1.2499999997089617E-2</v>
      </c>
      <c r="F325" s="7" t="str">
        <f t="shared" ref="F325:F326" si="63">IF(E384&lt;3,  "ON SLA", "OFF SAL")</f>
        <v>ON SLA</v>
      </c>
      <c r="G325" s="9" t="s">
        <v>279</v>
      </c>
      <c r="H325" s="14">
        <v>4.1666666666666664E-2</v>
      </c>
      <c r="I325" s="9" t="s">
        <v>318</v>
      </c>
      <c r="J325" s="9" t="s">
        <v>17</v>
      </c>
      <c r="K325" s="9" t="s">
        <v>30</v>
      </c>
      <c r="L325" s="6"/>
    </row>
    <row r="326" spans="1:12" x14ac:dyDescent="0.3">
      <c r="A326" s="5" t="s">
        <v>28</v>
      </c>
      <c r="B326" s="6">
        <v>44</v>
      </c>
      <c r="C326" s="5">
        <v>45594.661111111112</v>
      </c>
      <c r="D326" s="5">
        <v>45594.677083333336</v>
      </c>
      <c r="E326" s="7">
        <f t="shared" si="52"/>
        <v>1.5972222223354038E-2</v>
      </c>
      <c r="F326" s="7" t="str">
        <f t="shared" si="63"/>
        <v>ON SLA</v>
      </c>
      <c r="G326" s="9" t="s">
        <v>279</v>
      </c>
      <c r="H326" s="14">
        <v>4.1666666666666664E-2</v>
      </c>
      <c r="I326" s="9" t="s">
        <v>319</v>
      </c>
      <c r="J326" s="9" t="s">
        <v>49</v>
      </c>
      <c r="K326" s="9" t="s">
        <v>30</v>
      </c>
      <c r="L326" s="6"/>
    </row>
    <row r="327" spans="1:12" x14ac:dyDescent="0.3">
      <c r="A327" s="5" t="s">
        <v>28</v>
      </c>
      <c r="B327" s="6">
        <v>44</v>
      </c>
      <c r="C327" s="5">
        <v>45594.788888888892</v>
      </c>
      <c r="D327" s="5">
        <v>45594.944444444445</v>
      </c>
      <c r="E327" s="7">
        <f t="shared" si="52"/>
        <v>0.15555555555329192</v>
      </c>
      <c r="F327" s="8" t="str">
        <f t="shared" ref="F327:F329" si="64">IF(E327&gt;3,  "ON SLA", "OFF SLA")</f>
        <v>OFF SLA</v>
      </c>
      <c r="G327" s="9" t="s">
        <v>279</v>
      </c>
      <c r="H327" s="14">
        <v>4.1666666666666664E-2</v>
      </c>
      <c r="I327" s="11" t="s">
        <v>298</v>
      </c>
      <c r="J327" s="9" t="s">
        <v>19</v>
      </c>
      <c r="K327" s="9" t="s">
        <v>30</v>
      </c>
      <c r="L327" s="6"/>
    </row>
    <row r="328" spans="1:12" x14ac:dyDescent="0.3">
      <c r="A328" s="5" t="s">
        <v>28</v>
      </c>
      <c r="B328" s="6">
        <v>44</v>
      </c>
      <c r="C328" s="5">
        <v>45594.847222222219</v>
      </c>
      <c r="D328" s="5">
        <v>45594.958333333336</v>
      </c>
      <c r="E328" s="7">
        <f t="shared" si="52"/>
        <v>0.11111111111677019</v>
      </c>
      <c r="F328" s="8" t="str">
        <f t="shared" si="64"/>
        <v>OFF SLA</v>
      </c>
      <c r="G328" s="9" t="s">
        <v>279</v>
      </c>
      <c r="H328" s="14">
        <v>4.1666666666666664E-2</v>
      </c>
      <c r="I328" s="11" t="s">
        <v>320</v>
      </c>
      <c r="J328" s="9" t="s">
        <v>49</v>
      </c>
      <c r="K328" s="9" t="s">
        <v>30</v>
      </c>
      <c r="L328" s="6"/>
    </row>
    <row r="329" spans="1:12" x14ac:dyDescent="0.3">
      <c r="A329" s="5" t="s">
        <v>41</v>
      </c>
      <c r="B329" s="6">
        <v>45</v>
      </c>
      <c r="C329" s="5">
        <v>45602.402083333334</v>
      </c>
      <c r="D329" s="5">
        <v>45602.481944444444</v>
      </c>
      <c r="E329" s="7">
        <f t="shared" si="52"/>
        <v>7.9861111109494232E-2</v>
      </c>
      <c r="F329" s="8" t="str">
        <f t="shared" si="64"/>
        <v>OFF SLA</v>
      </c>
      <c r="G329" s="9" t="s">
        <v>279</v>
      </c>
      <c r="H329" s="14">
        <v>4.1666666666666664E-2</v>
      </c>
      <c r="I329" s="11" t="s">
        <v>321</v>
      </c>
      <c r="J329" s="9" t="s">
        <v>17</v>
      </c>
      <c r="K329" s="9" t="s">
        <v>30</v>
      </c>
      <c r="L329" s="6"/>
    </row>
    <row r="330" spans="1:12" x14ac:dyDescent="0.3">
      <c r="A330" s="5" t="s">
        <v>41</v>
      </c>
      <c r="B330" s="6">
        <v>48</v>
      </c>
      <c r="C330" s="5">
        <v>45624.65</v>
      </c>
      <c r="D330" s="5">
        <v>45624.655555555553</v>
      </c>
      <c r="E330" s="7">
        <f t="shared" si="52"/>
        <v>5.5555555518367328E-3</v>
      </c>
      <c r="F330" s="7" t="str">
        <f t="shared" ref="F330" si="65">IF(E389&lt;3,  "ON SLA", "OFF SAL")</f>
        <v>ON SLA</v>
      </c>
      <c r="G330" s="9" t="s">
        <v>279</v>
      </c>
      <c r="H330" s="14">
        <v>4.1666666666666664E-2</v>
      </c>
      <c r="I330" s="11" t="s">
        <v>322</v>
      </c>
      <c r="J330" s="9" t="s">
        <v>14</v>
      </c>
      <c r="K330" s="9" t="s">
        <v>30</v>
      </c>
      <c r="L330" s="6"/>
    </row>
    <row r="331" spans="1:12" x14ac:dyDescent="0.3">
      <c r="A331" s="5" t="s">
        <v>41</v>
      </c>
      <c r="B331" s="6">
        <v>48</v>
      </c>
      <c r="C331" s="5">
        <v>45625.661111111112</v>
      </c>
      <c r="D331" s="5">
        <v>45625.685416666667</v>
      </c>
      <c r="E331" s="7">
        <f t="shared" si="52"/>
        <v>2.4305555554747116E-2</v>
      </c>
      <c r="F331" s="8" t="str">
        <f>IF(E331&lt;3,  "ON SLA", "OFF SLA")</f>
        <v>ON SLA</v>
      </c>
      <c r="G331" s="9" t="s">
        <v>279</v>
      </c>
      <c r="H331" s="14">
        <v>4.1666666666666664E-2</v>
      </c>
      <c r="I331" s="11" t="s">
        <v>323</v>
      </c>
      <c r="J331" s="9" t="s">
        <v>19</v>
      </c>
      <c r="K331" s="9" t="s">
        <v>30</v>
      </c>
      <c r="L331" s="6"/>
    </row>
    <row r="332" spans="1:12" x14ac:dyDescent="0.3">
      <c r="A332" s="5" t="str">
        <f t="shared" ref="A332:A352" si="66">TEXT(D332,"mmm")</f>
        <v>Nov</v>
      </c>
      <c r="B332" s="6">
        <f t="shared" ref="B332:B352" si="67">WEEKNUM(D332)</f>
        <v>45</v>
      </c>
      <c r="C332" s="5">
        <v>45600.4819444444</v>
      </c>
      <c r="D332" s="5">
        <v>45600.515972222202</v>
      </c>
      <c r="E332" s="7">
        <f t="shared" ref="E332:E395" si="68">D332-C332</f>
        <v>3.4027777801384218E-2</v>
      </c>
      <c r="F332" s="8" t="str">
        <f t="shared" ref="F332:F395" si="69">IF(E392&lt;3,  "ON SLA", "OFF SAL")</f>
        <v>ON SLA</v>
      </c>
      <c r="G332" s="9" t="s">
        <v>324</v>
      </c>
      <c r="H332" s="13">
        <v>1</v>
      </c>
      <c r="I332" s="9" t="s">
        <v>325</v>
      </c>
      <c r="J332" s="9" t="s">
        <v>14</v>
      </c>
      <c r="K332" s="9" t="s">
        <v>15</v>
      </c>
      <c r="L332" s="6"/>
    </row>
    <row r="333" spans="1:12" x14ac:dyDescent="0.3">
      <c r="A333" s="5" t="str">
        <f t="shared" si="66"/>
        <v>Nov</v>
      </c>
      <c r="B333" s="6">
        <f t="shared" si="67"/>
        <v>46</v>
      </c>
      <c r="C333" s="5">
        <v>45607.771527777797</v>
      </c>
      <c r="D333" s="5">
        <v>45608.520138888904</v>
      </c>
      <c r="E333" s="7">
        <f t="shared" si="68"/>
        <v>0.74861111110658385</v>
      </c>
      <c r="F333" s="8" t="str">
        <f t="shared" si="69"/>
        <v>ON SLA</v>
      </c>
      <c r="G333" s="9" t="s">
        <v>324</v>
      </c>
      <c r="H333" s="13">
        <v>1</v>
      </c>
      <c r="I333" s="9" t="s">
        <v>326</v>
      </c>
      <c r="J333" s="9" t="s">
        <v>19</v>
      </c>
      <c r="K333" s="9" t="s">
        <v>15</v>
      </c>
      <c r="L333" s="6"/>
    </row>
    <row r="334" spans="1:12" x14ac:dyDescent="0.3">
      <c r="A334" s="5" t="str">
        <f t="shared" si="66"/>
        <v>Nov</v>
      </c>
      <c r="B334" s="6">
        <f t="shared" si="67"/>
        <v>46</v>
      </c>
      <c r="C334" s="5">
        <v>45607.6381944444</v>
      </c>
      <c r="D334" s="5">
        <v>45608.53125</v>
      </c>
      <c r="E334" s="7">
        <f t="shared" si="68"/>
        <v>0.89305555559985805</v>
      </c>
      <c r="F334" s="8" t="str">
        <f t="shared" si="69"/>
        <v>ON SLA</v>
      </c>
      <c r="G334" s="9" t="s">
        <v>324</v>
      </c>
      <c r="H334" s="13">
        <v>1</v>
      </c>
      <c r="I334" s="9" t="s">
        <v>327</v>
      </c>
      <c r="J334" s="9" t="s">
        <v>14</v>
      </c>
      <c r="K334" s="9" t="s">
        <v>15</v>
      </c>
      <c r="L334" s="6"/>
    </row>
    <row r="335" spans="1:12" x14ac:dyDescent="0.3">
      <c r="A335" s="5" t="str">
        <f t="shared" si="66"/>
        <v>Nov</v>
      </c>
      <c r="B335" s="6">
        <f t="shared" si="67"/>
        <v>46</v>
      </c>
      <c r="C335" s="5">
        <v>45608.554166666698</v>
      </c>
      <c r="D335" s="5">
        <v>45608.592361111099</v>
      </c>
      <c r="E335" s="7">
        <f t="shared" si="68"/>
        <v>3.8194444401597138E-2</v>
      </c>
      <c r="F335" s="8" t="str">
        <f t="shared" si="69"/>
        <v>ON SLA</v>
      </c>
      <c r="G335" s="9" t="s">
        <v>324</v>
      </c>
      <c r="H335" s="13">
        <v>1</v>
      </c>
      <c r="I335" s="9" t="s">
        <v>328</v>
      </c>
      <c r="J335" s="9" t="s">
        <v>51</v>
      </c>
      <c r="K335" s="9" t="s">
        <v>15</v>
      </c>
      <c r="L335" s="6"/>
    </row>
    <row r="336" spans="1:12" x14ac:dyDescent="0.3">
      <c r="A336" s="5" t="str">
        <f t="shared" si="66"/>
        <v>Nov</v>
      </c>
      <c r="B336" s="6">
        <f t="shared" si="67"/>
        <v>46</v>
      </c>
      <c r="C336" s="5">
        <v>45609.746527777803</v>
      </c>
      <c r="D336" s="5">
        <v>45609.7680555556</v>
      </c>
      <c r="E336" s="7">
        <f t="shared" si="68"/>
        <v>2.1527777797018643E-2</v>
      </c>
      <c r="F336" s="8" t="str">
        <f t="shared" si="69"/>
        <v>ON SLA</v>
      </c>
      <c r="G336" s="9" t="s">
        <v>324</v>
      </c>
      <c r="H336" s="13">
        <v>1</v>
      </c>
      <c r="I336" s="9" t="s">
        <v>329</v>
      </c>
      <c r="J336" s="9" t="s">
        <v>68</v>
      </c>
      <c r="K336" s="9" t="s">
        <v>15</v>
      </c>
      <c r="L336" s="6"/>
    </row>
    <row r="337" spans="1:12" x14ac:dyDescent="0.3">
      <c r="A337" s="5" t="str">
        <f t="shared" si="66"/>
        <v>Nov</v>
      </c>
      <c r="B337" s="6">
        <f t="shared" si="67"/>
        <v>46</v>
      </c>
      <c r="C337" s="5">
        <v>45608.8215277778</v>
      </c>
      <c r="D337" s="5">
        <v>45609.439583333296</v>
      </c>
      <c r="E337" s="7">
        <f t="shared" si="68"/>
        <v>0.61805555549653945</v>
      </c>
      <c r="F337" s="8" t="str">
        <f>IF(E337&lt;3,  "ON SLA", "OFF SLA")</f>
        <v>ON SLA</v>
      </c>
      <c r="G337" s="9" t="s">
        <v>324</v>
      </c>
      <c r="H337" s="13">
        <v>1</v>
      </c>
      <c r="I337" s="9" t="s">
        <v>330</v>
      </c>
      <c r="J337" s="9" t="s">
        <v>17</v>
      </c>
      <c r="K337" s="9" t="s">
        <v>15</v>
      </c>
      <c r="L337" s="6"/>
    </row>
    <row r="338" spans="1:12" x14ac:dyDescent="0.3">
      <c r="A338" s="5" t="str">
        <f t="shared" si="66"/>
        <v>Nov</v>
      </c>
      <c r="B338" s="6">
        <f t="shared" si="67"/>
        <v>46</v>
      </c>
      <c r="C338" s="5">
        <v>45607.618055555598</v>
      </c>
      <c r="D338" s="5">
        <v>45609.591666666704</v>
      </c>
      <c r="E338" s="7">
        <f t="shared" si="68"/>
        <v>1.9736111111051287</v>
      </c>
      <c r="F338" s="8" t="str">
        <f>IF(E338&lt;3,  "ON SLA", "OFF SLA")</f>
        <v>ON SLA</v>
      </c>
      <c r="G338" s="9" t="s">
        <v>324</v>
      </c>
      <c r="H338" s="13">
        <v>1</v>
      </c>
      <c r="I338" s="9" t="s">
        <v>331</v>
      </c>
      <c r="J338" s="9" t="s">
        <v>49</v>
      </c>
      <c r="K338" s="9" t="s">
        <v>15</v>
      </c>
      <c r="L338" s="6"/>
    </row>
    <row r="339" spans="1:12" x14ac:dyDescent="0.3">
      <c r="A339" s="5" t="str">
        <f t="shared" si="66"/>
        <v>Nov</v>
      </c>
      <c r="B339" s="6">
        <f t="shared" si="67"/>
        <v>46</v>
      </c>
      <c r="C339" s="5">
        <v>45609.661111111098</v>
      </c>
      <c r="D339" s="5">
        <v>45609.681944444397</v>
      </c>
      <c r="E339" s="7">
        <f t="shared" si="68"/>
        <v>2.0833333299378864E-2</v>
      </c>
      <c r="F339" s="8" t="str">
        <f t="shared" si="69"/>
        <v>ON SLA</v>
      </c>
      <c r="G339" s="9" t="s">
        <v>324</v>
      </c>
      <c r="H339" s="13">
        <v>1</v>
      </c>
      <c r="I339" s="9" t="s">
        <v>332</v>
      </c>
      <c r="J339" s="9" t="s">
        <v>68</v>
      </c>
      <c r="K339" s="9" t="s">
        <v>15</v>
      </c>
      <c r="L339" s="6"/>
    </row>
    <row r="340" spans="1:12" x14ac:dyDescent="0.3">
      <c r="A340" s="5" t="str">
        <f t="shared" si="66"/>
        <v>Nov</v>
      </c>
      <c r="B340" s="6">
        <f t="shared" si="67"/>
        <v>46</v>
      </c>
      <c r="C340" s="5">
        <v>45609.746527777803</v>
      </c>
      <c r="D340" s="5">
        <v>45609.7680555556</v>
      </c>
      <c r="E340" s="7">
        <f t="shared" si="68"/>
        <v>2.1527777797018643E-2</v>
      </c>
      <c r="F340" s="8" t="str">
        <f t="shared" si="69"/>
        <v>ON SLA</v>
      </c>
      <c r="G340" s="9" t="s">
        <v>324</v>
      </c>
      <c r="H340" s="13">
        <v>1</v>
      </c>
      <c r="I340" s="9" t="s">
        <v>332</v>
      </c>
      <c r="J340" s="9" t="s">
        <v>68</v>
      </c>
      <c r="K340" s="9" t="s">
        <v>15</v>
      </c>
      <c r="L340" s="6"/>
    </row>
    <row r="341" spans="1:12" x14ac:dyDescent="0.3">
      <c r="A341" s="5" t="str">
        <f t="shared" si="66"/>
        <v>Nov</v>
      </c>
      <c r="B341" s="6">
        <f t="shared" si="67"/>
        <v>47</v>
      </c>
      <c r="C341" s="5">
        <v>45614.596527777801</v>
      </c>
      <c r="D341" s="5">
        <v>45615.495138888902</v>
      </c>
      <c r="E341" s="7">
        <f t="shared" si="68"/>
        <v>0.89861111110076308</v>
      </c>
      <c r="F341" s="8" t="str">
        <f>IF(E341&lt;3,  "ON SLA", "OFF SLA")</f>
        <v>ON SLA</v>
      </c>
      <c r="G341" s="9" t="s">
        <v>324</v>
      </c>
      <c r="H341" s="13">
        <v>1</v>
      </c>
      <c r="I341" s="9" t="s">
        <v>333</v>
      </c>
      <c r="J341" s="9" t="s">
        <v>49</v>
      </c>
      <c r="K341" s="9" t="s">
        <v>15</v>
      </c>
      <c r="L341" s="6"/>
    </row>
    <row r="342" spans="1:12" x14ac:dyDescent="0.3">
      <c r="A342" s="5" t="str">
        <f t="shared" si="66"/>
        <v>Nov</v>
      </c>
      <c r="B342" s="6">
        <f t="shared" si="67"/>
        <v>47</v>
      </c>
      <c r="C342" s="5">
        <v>45614.8347222222</v>
      </c>
      <c r="D342" s="5">
        <v>45615.507638888899</v>
      </c>
      <c r="E342" s="7">
        <f t="shared" si="68"/>
        <v>0.67291666669916594</v>
      </c>
      <c r="F342" s="8" t="str">
        <f t="shared" si="69"/>
        <v>ON SLA</v>
      </c>
      <c r="G342" s="9" t="s">
        <v>324</v>
      </c>
      <c r="H342" s="13">
        <v>1</v>
      </c>
      <c r="I342" s="9" t="s">
        <v>334</v>
      </c>
      <c r="J342" s="9" t="s">
        <v>17</v>
      </c>
      <c r="K342" s="9" t="s">
        <v>15</v>
      </c>
      <c r="L342" s="6"/>
    </row>
    <row r="343" spans="1:12" x14ac:dyDescent="0.3">
      <c r="A343" s="5" t="str">
        <f t="shared" si="66"/>
        <v>Nov</v>
      </c>
      <c r="B343" s="6">
        <f t="shared" si="67"/>
        <v>47</v>
      </c>
      <c r="C343" s="5">
        <v>45614.543055555601</v>
      </c>
      <c r="D343" s="5">
        <v>45615.5090277778</v>
      </c>
      <c r="E343" s="7">
        <f t="shared" si="68"/>
        <v>0.96597222219861578</v>
      </c>
      <c r="F343" s="8" t="str">
        <f t="shared" si="69"/>
        <v>ON SLA</v>
      </c>
      <c r="G343" s="9" t="s">
        <v>324</v>
      </c>
      <c r="H343" s="13">
        <v>1</v>
      </c>
      <c r="I343" s="9" t="s">
        <v>335</v>
      </c>
      <c r="J343" s="9" t="s">
        <v>26</v>
      </c>
      <c r="K343" s="9" t="s">
        <v>15</v>
      </c>
      <c r="L343" s="6"/>
    </row>
    <row r="344" spans="1:12" x14ac:dyDescent="0.3">
      <c r="A344" s="5" t="str">
        <f t="shared" si="66"/>
        <v>Nov</v>
      </c>
      <c r="B344" s="6">
        <f t="shared" si="67"/>
        <v>47</v>
      </c>
      <c r="C344" s="5">
        <v>45614.541666666701</v>
      </c>
      <c r="D344" s="5">
        <v>45615.470138888901</v>
      </c>
      <c r="E344" s="7">
        <f t="shared" si="68"/>
        <v>0.92847222220007097</v>
      </c>
      <c r="F344" s="8" t="str">
        <f t="shared" si="69"/>
        <v>ON SLA</v>
      </c>
      <c r="G344" s="9" t="s">
        <v>324</v>
      </c>
      <c r="H344" s="13">
        <v>1</v>
      </c>
      <c r="I344" s="9" t="s">
        <v>336</v>
      </c>
      <c r="J344" s="9" t="s">
        <v>51</v>
      </c>
      <c r="K344" s="9" t="s">
        <v>15</v>
      </c>
      <c r="L344" s="6"/>
    </row>
    <row r="345" spans="1:12" x14ac:dyDescent="0.3">
      <c r="A345" s="5" t="str">
        <f t="shared" si="66"/>
        <v>Nov</v>
      </c>
      <c r="B345" s="6">
        <f t="shared" si="67"/>
        <v>47</v>
      </c>
      <c r="C345" s="5">
        <v>45617.412499999999</v>
      </c>
      <c r="D345" s="5">
        <v>45617.495833333298</v>
      </c>
      <c r="E345" s="7">
        <f t="shared" si="68"/>
        <v>8.3333333299378864E-2</v>
      </c>
      <c r="F345" s="8" t="str">
        <f t="shared" si="69"/>
        <v>ON SLA</v>
      </c>
      <c r="G345" s="9" t="s">
        <v>324</v>
      </c>
      <c r="H345" s="13">
        <v>1</v>
      </c>
      <c r="I345" s="9" t="s">
        <v>337</v>
      </c>
      <c r="J345" s="9" t="s">
        <v>68</v>
      </c>
      <c r="K345" s="9" t="s">
        <v>15</v>
      </c>
      <c r="L345" s="6"/>
    </row>
    <row r="346" spans="1:12" x14ac:dyDescent="0.3">
      <c r="A346" s="5" t="str">
        <f t="shared" si="66"/>
        <v>Nov</v>
      </c>
      <c r="B346" s="6">
        <f t="shared" si="67"/>
        <v>47</v>
      </c>
      <c r="C346" s="5">
        <v>45615.514039351903</v>
      </c>
      <c r="D346" s="5">
        <v>45615.514583333301</v>
      </c>
      <c r="E346" s="7">
        <f t="shared" si="68"/>
        <v>5.4398139764089137E-4</v>
      </c>
      <c r="F346" s="8" t="str">
        <f t="shared" si="69"/>
        <v>ON SLA</v>
      </c>
      <c r="G346" s="9" t="s">
        <v>324</v>
      </c>
      <c r="H346" s="13">
        <v>1</v>
      </c>
      <c r="I346" s="9" t="s">
        <v>338</v>
      </c>
      <c r="J346" s="9" t="s">
        <v>23</v>
      </c>
      <c r="K346" s="9" t="s">
        <v>15</v>
      </c>
      <c r="L346" s="6"/>
    </row>
    <row r="347" spans="1:12" x14ac:dyDescent="0.3">
      <c r="A347" s="5" t="str">
        <f t="shared" si="66"/>
        <v>Nov</v>
      </c>
      <c r="B347" s="6">
        <f t="shared" si="67"/>
        <v>47</v>
      </c>
      <c r="C347" s="5">
        <v>45614.676388888904</v>
      </c>
      <c r="D347" s="5">
        <v>45616.5180555556</v>
      </c>
      <c r="E347" s="7">
        <f t="shared" si="68"/>
        <v>1.8416666666962556</v>
      </c>
      <c r="F347" s="8" t="str">
        <f t="shared" si="69"/>
        <v>ON SLA</v>
      </c>
      <c r="G347" s="9" t="s">
        <v>324</v>
      </c>
      <c r="H347" s="13">
        <v>1</v>
      </c>
      <c r="I347" s="9" t="s">
        <v>339</v>
      </c>
      <c r="J347" s="9" t="s">
        <v>14</v>
      </c>
      <c r="K347" s="9" t="s">
        <v>15</v>
      </c>
      <c r="L347" s="6"/>
    </row>
    <row r="348" spans="1:12" x14ac:dyDescent="0.3">
      <c r="A348" s="5" t="str">
        <f t="shared" si="66"/>
        <v>Nov</v>
      </c>
      <c r="B348" s="6">
        <f t="shared" si="67"/>
        <v>48</v>
      </c>
      <c r="C348" s="5">
        <v>45621.467361111099</v>
      </c>
      <c r="D348" s="5">
        <v>45621.7006944444</v>
      </c>
      <c r="E348" s="7">
        <f t="shared" si="68"/>
        <v>0.23333333330083406</v>
      </c>
      <c r="F348" s="8" t="str">
        <f t="shared" si="69"/>
        <v>ON SLA</v>
      </c>
      <c r="G348" s="9" t="s">
        <v>324</v>
      </c>
      <c r="H348" s="13">
        <v>1</v>
      </c>
      <c r="I348" s="9" t="s">
        <v>340</v>
      </c>
      <c r="J348" s="9" t="s">
        <v>26</v>
      </c>
      <c r="K348" s="9" t="s">
        <v>15</v>
      </c>
      <c r="L348" s="6"/>
    </row>
    <row r="349" spans="1:12" x14ac:dyDescent="0.3">
      <c r="A349" s="5" t="str">
        <f t="shared" si="66"/>
        <v>Nov</v>
      </c>
      <c r="B349" s="6">
        <f t="shared" si="67"/>
        <v>48</v>
      </c>
      <c r="C349" s="5">
        <v>45621.654166666704</v>
      </c>
      <c r="D349" s="5">
        <v>45621.716666666704</v>
      </c>
      <c r="E349" s="7">
        <f t="shared" si="68"/>
        <v>6.25E-2</v>
      </c>
      <c r="F349" s="8" t="str">
        <f t="shared" si="69"/>
        <v>ON SLA</v>
      </c>
      <c r="G349" s="9" t="s">
        <v>324</v>
      </c>
      <c r="H349" s="13">
        <v>1</v>
      </c>
      <c r="I349" s="9" t="s">
        <v>341</v>
      </c>
      <c r="J349" s="9" t="s">
        <v>14</v>
      </c>
      <c r="K349" s="9" t="s">
        <v>15</v>
      </c>
      <c r="L349" s="6"/>
    </row>
    <row r="350" spans="1:12" x14ac:dyDescent="0.3">
      <c r="A350" s="5" t="str">
        <f t="shared" si="66"/>
        <v>Nov</v>
      </c>
      <c r="B350" s="6">
        <f t="shared" si="67"/>
        <v>48</v>
      </c>
      <c r="C350" s="5">
        <v>45622.422222222202</v>
      </c>
      <c r="D350" s="5">
        <v>45622.6027777778</v>
      </c>
      <c r="E350" s="7">
        <f t="shared" si="68"/>
        <v>0.18055555559840286</v>
      </c>
      <c r="F350" s="8" t="str">
        <f t="shared" si="69"/>
        <v>ON SLA</v>
      </c>
      <c r="G350" s="9" t="s">
        <v>324</v>
      </c>
      <c r="H350" s="13">
        <v>1</v>
      </c>
      <c r="I350" s="9" t="s">
        <v>342</v>
      </c>
      <c r="J350" s="9" t="s">
        <v>19</v>
      </c>
      <c r="K350" s="9" t="s">
        <v>15</v>
      </c>
      <c r="L350" s="6"/>
    </row>
    <row r="351" spans="1:12" x14ac:dyDescent="0.3">
      <c r="A351" s="5" t="str">
        <f t="shared" si="66"/>
        <v>Nov</v>
      </c>
      <c r="B351" s="6">
        <f t="shared" si="67"/>
        <v>48</v>
      </c>
      <c r="C351" s="5">
        <v>45622.663194444402</v>
      </c>
      <c r="D351" s="5">
        <v>45622.745833333298</v>
      </c>
      <c r="E351" s="7">
        <f t="shared" si="68"/>
        <v>8.2638888896326534E-2</v>
      </c>
      <c r="F351" s="8" t="str">
        <f t="shared" si="69"/>
        <v>ON SLA</v>
      </c>
      <c r="G351" s="9" t="s">
        <v>324</v>
      </c>
      <c r="H351" s="13">
        <v>1</v>
      </c>
      <c r="I351" s="9" t="s">
        <v>343</v>
      </c>
      <c r="J351" s="9" t="s">
        <v>17</v>
      </c>
      <c r="K351" s="9" t="s">
        <v>15</v>
      </c>
      <c r="L351" s="6"/>
    </row>
    <row r="352" spans="1:12" x14ac:dyDescent="0.3">
      <c r="A352" s="5" t="str">
        <f t="shared" si="66"/>
        <v>Nov</v>
      </c>
      <c r="B352" s="6">
        <f t="shared" si="67"/>
        <v>48</v>
      </c>
      <c r="C352" s="5">
        <v>45623.647916666698</v>
      </c>
      <c r="D352" s="5">
        <v>45623.731249999997</v>
      </c>
      <c r="E352" s="7">
        <f t="shared" si="68"/>
        <v>8.3333333299378864E-2</v>
      </c>
      <c r="F352" s="8" t="str">
        <f t="shared" si="69"/>
        <v>ON SLA</v>
      </c>
      <c r="G352" s="9" t="s">
        <v>324</v>
      </c>
      <c r="H352" s="13">
        <v>1</v>
      </c>
      <c r="I352" s="9" t="s">
        <v>344</v>
      </c>
      <c r="J352" s="9" t="s">
        <v>68</v>
      </c>
      <c r="K352" s="9" t="s">
        <v>15</v>
      </c>
      <c r="L352" s="6"/>
    </row>
    <row r="353" spans="1:12" x14ac:dyDescent="0.3">
      <c r="A353" s="5" t="s">
        <v>28</v>
      </c>
      <c r="B353" s="6">
        <v>40</v>
      </c>
      <c r="C353" s="5">
        <v>45566.59375</v>
      </c>
      <c r="D353" s="5">
        <v>45567.6875</v>
      </c>
      <c r="E353" s="7">
        <f t="shared" si="68"/>
        <v>1.09375</v>
      </c>
      <c r="F353" s="8" t="str">
        <f t="shared" si="69"/>
        <v>ON SLA</v>
      </c>
      <c r="G353" s="9" t="s">
        <v>324</v>
      </c>
      <c r="H353" s="13">
        <v>1</v>
      </c>
      <c r="I353" s="9" t="s">
        <v>345</v>
      </c>
      <c r="J353" s="9" t="s">
        <v>49</v>
      </c>
      <c r="K353" s="9" t="s">
        <v>30</v>
      </c>
      <c r="L353" s="6"/>
    </row>
    <row r="354" spans="1:12" x14ac:dyDescent="0.3">
      <c r="A354" s="5" t="s">
        <v>28</v>
      </c>
      <c r="B354" s="6">
        <v>40</v>
      </c>
      <c r="C354" s="5">
        <v>45566.621527777781</v>
      </c>
      <c r="D354" s="5">
        <v>45566.621527777781</v>
      </c>
      <c r="E354" s="7">
        <f t="shared" si="68"/>
        <v>0</v>
      </c>
      <c r="F354" s="8" t="str">
        <f t="shared" si="69"/>
        <v>ON SLA</v>
      </c>
      <c r="G354" s="9" t="s">
        <v>324</v>
      </c>
      <c r="H354" s="13">
        <v>1</v>
      </c>
      <c r="I354" s="9" t="s">
        <v>346</v>
      </c>
      <c r="J354" s="9" t="s">
        <v>14</v>
      </c>
      <c r="K354" s="9" t="s">
        <v>30</v>
      </c>
      <c r="L354" s="6"/>
    </row>
    <row r="355" spans="1:12" x14ac:dyDescent="0.3">
      <c r="A355" s="5" t="s">
        <v>28</v>
      </c>
      <c r="B355" s="6">
        <v>40</v>
      </c>
      <c r="C355" s="5">
        <v>45566.459027777775</v>
      </c>
      <c r="D355" s="5">
        <v>45567.679861111108</v>
      </c>
      <c r="E355" s="7">
        <f t="shared" si="68"/>
        <v>1.2208333333328483</v>
      </c>
      <c r="F355" s="8" t="str">
        <f t="shared" si="69"/>
        <v>ON SLA</v>
      </c>
      <c r="G355" s="9" t="s">
        <v>324</v>
      </c>
      <c r="H355" s="13">
        <v>1</v>
      </c>
      <c r="I355" s="9" t="s">
        <v>347</v>
      </c>
      <c r="J355" s="9" t="s">
        <v>23</v>
      </c>
      <c r="K355" s="9" t="s">
        <v>30</v>
      </c>
      <c r="L355" s="6"/>
    </row>
    <row r="356" spans="1:12" x14ac:dyDescent="0.3">
      <c r="A356" s="5" t="s">
        <v>28</v>
      </c>
      <c r="B356" s="6">
        <v>41</v>
      </c>
      <c r="C356" s="5">
        <v>45566.45416666667</v>
      </c>
      <c r="D356" s="5">
        <v>45572.71597222222</v>
      </c>
      <c r="E356" s="7">
        <f t="shared" si="68"/>
        <v>6.2618055555503815</v>
      </c>
      <c r="F356" s="8" t="str">
        <f t="shared" si="69"/>
        <v>ON SLA</v>
      </c>
      <c r="G356" s="9" t="s">
        <v>324</v>
      </c>
      <c r="H356" s="13">
        <v>1</v>
      </c>
      <c r="I356" s="9" t="s">
        <v>348</v>
      </c>
      <c r="J356" s="9" t="s">
        <v>68</v>
      </c>
      <c r="K356" s="9" t="s">
        <v>30</v>
      </c>
      <c r="L356" s="6"/>
    </row>
    <row r="357" spans="1:12" x14ac:dyDescent="0.3">
      <c r="A357" s="5" t="s">
        <v>28</v>
      </c>
      <c r="B357" s="6">
        <v>40</v>
      </c>
      <c r="C357" s="5">
        <v>45568.553472222222</v>
      </c>
      <c r="D357" s="5">
        <v>45568.756249999999</v>
      </c>
      <c r="E357" s="7">
        <f t="shared" si="68"/>
        <v>0.20277777777664596</v>
      </c>
      <c r="F357" s="8" t="str">
        <f t="shared" si="69"/>
        <v>ON SLA</v>
      </c>
      <c r="G357" s="9" t="s">
        <v>324</v>
      </c>
      <c r="H357" s="13">
        <v>1</v>
      </c>
      <c r="I357" s="9" t="s">
        <v>349</v>
      </c>
      <c r="J357" s="9" t="s">
        <v>38</v>
      </c>
      <c r="K357" s="9" t="s">
        <v>30</v>
      </c>
      <c r="L357" s="6"/>
    </row>
    <row r="358" spans="1:12" x14ac:dyDescent="0.3">
      <c r="A358" s="5" t="s">
        <v>28</v>
      </c>
      <c r="B358" s="6">
        <v>40</v>
      </c>
      <c r="C358" s="5">
        <v>45567.504861111112</v>
      </c>
      <c r="D358" s="5">
        <v>45568.711805555555</v>
      </c>
      <c r="E358" s="7">
        <f t="shared" si="68"/>
        <v>1.2069444444423425</v>
      </c>
      <c r="F358" s="8" t="str">
        <f t="shared" si="69"/>
        <v>ON SLA</v>
      </c>
      <c r="G358" s="9" t="s">
        <v>324</v>
      </c>
      <c r="H358" s="13">
        <v>1</v>
      </c>
      <c r="I358" s="9" t="s">
        <v>350</v>
      </c>
      <c r="J358" s="9" t="s">
        <v>17</v>
      </c>
      <c r="K358" s="9" t="s">
        <v>30</v>
      </c>
      <c r="L358" s="6"/>
    </row>
    <row r="359" spans="1:12" x14ac:dyDescent="0.3">
      <c r="A359" s="5" t="s">
        <v>28</v>
      </c>
      <c r="B359" s="6">
        <v>41</v>
      </c>
      <c r="C359" s="5">
        <v>45566.459027777775</v>
      </c>
      <c r="D359" s="5">
        <v>45572.478472222225</v>
      </c>
      <c r="E359" s="7">
        <f t="shared" si="68"/>
        <v>6.0194444444496185</v>
      </c>
      <c r="F359" s="8" t="str">
        <f t="shared" si="69"/>
        <v>ON SLA</v>
      </c>
      <c r="G359" s="9" t="s">
        <v>324</v>
      </c>
      <c r="H359" s="13">
        <v>1</v>
      </c>
      <c r="I359" s="9" t="s">
        <v>351</v>
      </c>
      <c r="J359" s="9" t="s">
        <v>26</v>
      </c>
      <c r="K359" s="9" t="s">
        <v>30</v>
      </c>
      <c r="L359" s="6"/>
    </row>
    <row r="360" spans="1:12" x14ac:dyDescent="0.3">
      <c r="A360" s="5" t="s">
        <v>28</v>
      </c>
      <c r="B360" s="6">
        <v>40</v>
      </c>
      <c r="C360" s="5">
        <v>45567.445138888892</v>
      </c>
      <c r="D360" s="5">
        <v>45567.703472222223</v>
      </c>
      <c r="E360" s="7">
        <f t="shared" si="68"/>
        <v>0.25833333333139308</v>
      </c>
      <c r="F360" s="8" t="str">
        <f t="shared" si="69"/>
        <v>ON SLA</v>
      </c>
      <c r="G360" s="9" t="s">
        <v>324</v>
      </c>
      <c r="H360" s="13">
        <v>1</v>
      </c>
      <c r="I360" s="9" t="s">
        <v>352</v>
      </c>
      <c r="J360" s="9" t="s">
        <v>19</v>
      </c>
      <c r="K360" s="9" t="s">
        <v>30</v>
      </c>
      <c r="L360" s="6"/>
    </row>
    <row r="361" spans="1:12" x14ac:dyDescent="0.3">
      <c r="A361" s="5" t="s">
        <v>28</v>
      </c>
      <c r="B361" s="6">
        <v>41</v>
      </c>
      <c r="C361" s="5">
        <v>45573.38958333333</v>
      </c>
      <c r="D361" s="5">
        <v>45573.711111111108</v>
      </c>
      <c r="E361" s="7">
        <f t="shared" si="68"/>
        <v>0.32152777777810115</v>
      </c>
      <c r="F361" s="8" t="str">
        <f t="shared" si="69"/>
        <v>ON SLA</v>
      </c>
      <c r="G361" s="9" t="s">
        <v>324</v>
      </c>
      <c r="H361" s="13">
        <v>1</v>
      </c>
      <c r="I361" s="9" t="s">
        <v>353</v>
      </c>
      <c r="J361" s="9" t="s">
        <v>14</v>
      </c>
      <c r="K361" s="9" t="s">
        <v>30</v>
      </c>
      <c r="L361" s="6"/>
    </row>
    <row r="362" spans="1:12" x14ac:dyDescent="0.3">
      <c r="A362" s="5" t="s">
        <v>28</v>
      </c>
      <c r="B362" s="6">
        <v>41</v>
      </c>
      <c r="C362" s="5">
        <v>45572.665972222225</v>
      </c>
      <c r="D362" s="5">
        <v>45572.75277777778</v>
      </c>
      <c r="E362" s="7">
        <f t="shared" si="68"/>
        <v>8.6805555554747116E-2</v>
      </c>
      <c r="F362" s="8" t="str">
        <f t="shared" si="69"/>
        <v>ON SLA</v>
      </c>
      <c r="G362" s="9" t="s">
        <v>324</v>
      </c>
      <c r="H362" s="13">
        <v>1</v>
      </c>
      <c r="I362" s="9" t="s">
        <v>354</v>
      </c>
      <c r="J362" s="9" t="s">
        <v>23</v>
      </c>
      <c r="K362" s="9" t="s">
        <v>30</v>
      </c>
      <c r="L362" s="6"/>
    </row>
    <row r="363" spans="1:12" x14ac:dyDescent="0.3">
      <c r="A363" s="5" t="s">
        <v>28</v>
      </c>
      <c r="B363" s="6">
        <v>41</v>
      </c>
      <c r="C363" s="5">
        <v>45572.536805555559</v>
      </c>
      <c r="D363" s="5">
        <v>45574.649305555555</v>
      </c>
      <c r="E363" s="7">
        <f t="shared" si="68"/>
        <v>2.1124999999956344</v>
      </c>
      <c r="F363" s="8" t="str">
        <f t="shared" si="69"/>
        <v>ON SLA</v>
      </c>
      <c r="G363" s="9" t="s">
        <v>324</v>
      </c>
      <c r="H363" s="13">
        <v>1</v>
      </c>
      <c r="I363" s="9" t="s">
        <v>355</v>
      </c>
      <c r="J363" s="9" t="s">
        <v>68</v>
      </c>
      <c r="K363" s="9" t="s">
        <v>30</v>
      </c>
      <c r="L363" s="6"/>
    </row>
    <row r="364" spans="1:12" x14ac:dyDescent="0.3">
      <c r="A364" s="5" t="s">
        <v>28</v>
      </c>
      <c r="B364" s="6">
        <v>41</v>
      </c>
      <c r="C364" s="5">
        <v>45572.497916666667</v>
      </c>
      <c r="D364" s="5">
        <v>45572.731944444444</v>
      </c>
      <c r="E364" s="7">
        <f t="shared" si="68"/>
        <v>0.23402777777664596</v>
      </c>
      <c r="F364" s="8" t="str">
        <f t="shared" si="69"/>
        <v>ON SLA</v>
      </c>
      <c r="G364" s="9" t="s">
        <v>324</v>
      </c>
      <c r="H364" s="13">
        <v>1</v>
      </c>
      <c r="I364" s="9" t="s">
        <v>356</v>
      </c>
      <c r="J364" s="9" t="s">
        <v>38</v>
      </c>
      <c r="K364" s="9" t="s">
        <v>30</v>
      </c>
      <c r="L364" s="6"/>
    </row>
    <row r="365" spans="1:12" x14ac:dyDescent="0.3">
      <c r="A365" s="5" t="s">
        <v>28</v>
      </c>
      <c r="B365" s="6">
        <v>41</v>
      </c>
      <c r="C365" s="5">
        <v>45573.385416666664</v>
      </c>
      <c r="D365" s="5">
        <v>45573.729861111111</v>
      </c>
      <c r="E365" s="7">
        <f t="shared" si="68"/>
        <v>0.34444444444670808</v>
      </c>
      <c r="F365" s="8" t="str">
        <f t="shared" si="69"/>
        <v>ON SLA</v>
      </c>
      <c r="G365" s="9" t="s">
        <v>324</v>
      </c>
      <c r="H365" s="13">
        <v>1</v>
      </c>
      <c r="I365" s="9" t="s">
        <v>357</v>
      </c>
      <c r="J365" s="9" t="s">
        <v>17</v>
      </c>
      <c r="K365" s="9" t="s">
        <v>30</v>
      </c>
      <c r="L365" s="6"/>
    </row>
    <row r="366" spans="1:12" x14ac:dyDescent="0.3">
      <c r="A366" s="5" t="s">
        <v>28</v>
      </c>
      <c r="B366" s="6">
        <v>41</v>
      </c>
      <c r="C366" s="5">
        <v>45572.593055555553</v>
      </c>
      <c r="D366" s="5">
        <v>45572.741666666669</v>
      </c>
      <c r="E366" s="7">
        <f t="shared" si="68"/>
        <v>0.148611111115315</v>
      </c>
      <c r="F366" s="8" t="str">
        <f t="shared" si="69"/>
        <v>ON SLA</v>
      </c>
      <c r="G366" s="9" t="s">
        <v>324</v>
      </c>
      <c r="H366" s="13">
        <v>1</v>
      </c>
      <c r="I366" s="9" t="s">
        <v>358</v>
      </c>
      <c r="J366" s="9" t="s">
        <v>26</v>
      </c>
      <c r="K366" s="9" t="s">
        <v>30</v>
      </c>
      <c r="L366" s="6"/>
    </row>
    <row r="367" spans="1:12" x14ac:dyDescent="0.3">
      <c r="A367" s="5" t="s">
        <v>28</v>
      </c>
      <c r="B367" s="6">
        <v>41</v>
      </c>
      <c r="C367" s="5">
        <v>45573.626388888886</v>
      </c>
      <c r="D367" s="5">
        <v>45576.506944444445</v>
      </c>
      <c r="E367" s="7">
        <f t="shared" si="68"/>
        <v>2.8805555555591127</v>
      </c>
      <c r="F367" s="8" t="str">
        <f t="shared" si="69"/>
        <v>ON SLA</v>
      </c>
      <c r="G367" s="9" t="s">
        <v>324</v>
      </c>
      <c r="H367" s="13">
        <v>1</v>
      </c>
      <c r="I367" s="9" t="s">
        <v>359</v>
      </c>
      <c r="J367" s="9" t="s">
        <v>19</v>
      </c>
      <c r="K367" s="9" t="s">
        <v>30</v>
      </c>
      <c r="L367" s="6"/>
    </row>
    <row r="368" spans="1:12" x14ac:dyDescent="0.3">
      <c r="A368" s="5" t="s">
        <v>28</v>
      </c>
      <c r="B368" s="6">
        <v>41</v>
      </c>
      <c r="C368" s="5">
        <v>45572.630555555559</v>
      </c>
      <c r="D368" s="5">
        <v>45572.746527777781</v>
      </c>
      <c r="E368" s="7">
        <f t="shared" si="68"/>
        <v>0.11597222222189885</v>
      </c>
      <c r="F368" s="8" t="str">
        <f t="shared" si="69"/>
        <v>ON SLA</v>
      </c>
      <c r="G368" s="9" t="s">
        <v>324</v>
      </c>
      <c r="H368" s="13">
        <v>1</v>
      </c>
      <c r="I368" s="9" t="s">
        <v>360</v>
      </c>
      <c r="J368" s="9" t="s">
        <v>49</v>
      </c>
      <c r="K368" s="9" t="s">
        <v>30</v>
      </c>
      <c r="L368" s="6"/>
    </row>
    <row r="369" spans="1:12" x14ac:dyDescent="0.3">
      <c r="A369" s="5" t="s">
        <v>28</v>
      </c>
      <c r="B369" s="6">
        <v>42</v>
      </c>
      <c r="C369" s="5">
        <v>45579.655555555553</v>
      </c>
      <c r="D369" s="5">
        <v>45580.644444444442</v>
      </c>
      <c r="E369" s="7">
        <f t="shared" si="68"/>
        <v>0.98888888888905058</v>
      </c>
      <c r="F369" s="8" t="str">
        <f t="shared" si="69"/>
        <v>ON SLA</v>
      </c>
      <c r="G369" s="9" t="s">
        <v>324</v>
      </c>
      <c r="H369" s="13">
        <v>1</v>
      </c>
      <c r="I369" s="9" t="s">
        <v>361</v>
      </c>
      <c r="J369" s="9" t="s">
        <v>14</v>
      </c>
      <c r="K369" s="9" t="s">
        <v>30</v>
      </c>
      <c r="L369" s="6"/>
    </row>
    <row r="370" spans="1:12" x14ac:dyDescent="0.3">
      <c r="A370" s="5" t="s">
        <v>28</v>
      </c>
      <c r="B370" s="6">
        <v>42</v>
      </c>
      <c r="C370" s="5">
        <v>45580.572916666664</v>
      </c>
      <c r="D370" s="5">
        <v>45580.657638888886</v>
      </c>
      <c r="E370" s="7">
        <f t="shared" si="68"/>
        <v>8.4722222221898846E-2</v>
      </c>
      <c r="F370" s="8" t="str">
        <f t="shared" si="69"/>
        <v>ON SLA</v>
      </c>
      <c r="G370" s="9" t="s">
        <v>324</v>
      </c>
      <c r="H370" s="13">
        <v>1</v>
      </c>
      <c r="I370" s="9" t="s">
        <v>362</v>
      </c>
      <c r="J370" s="9" t="s">
        <v>23</v>
      </c>
      <c r="K370" s="9" t="s">
        <v>30</v>
      </c>
      <c r="L370" s="6"/>
    </row>
    <row r="371" spans="1:12" x14ac:dyDescent="0.3">
      <c r="A371" s="5" t="s">
        <v>28</v>
      </c>
      <c r="B371" s="6">
        <v>42</v>
      </c>
      <c r="C371" s="5">
        <v>45580.423611111109</v>
      </c>
      <c r="D371" s="5">
        <v>45581.93472222222</v>
      </c>
      <c r="E371" s="7">
        <f t="shared" si="68"/>
        <v>1.5111111111109494</v>
      </c>
      <c r="F371" s="8" t="str">
        <f t="shared" si="69"/>
        <v>ON SLA</v>
      </c>
      <c r="G371" s="9" t="s">
        <v>324</v>
      </c>
      <c r="H371" s="13">
        <v>1</v>
      </c>
      <c r="I371" s="9" t="s">
        <v>363</v>
      </c>
      <c r="J371" s="9" t="s">
        <v>38</v>
      </c>
      <c r="K371" s="9" t="s">
        <v>30</v>
      </c>
      <c r="L371" s="6"/>
    </row>
    <row r="372" spans="1:12" x14ac:dyDescent="0.3">
      <c r="A372" s="5" t="s">
        <v>28</v>
      </c>
      <c r="B372" s="6">
        <v>42</v>
      </c>
      <c r="C372" s="5">
        <v>45579.995138888888</v>
      </c>
      <c r="D372" s="5">
        <v>45581.950694444444</v>
      </c>
      <c r="E372" s="7">
        <f t="shared" si="68"/>
        <v>1.9555555555562023</v>
      </c>
      <c r="F372" s="8" t="str">
        <f t="shared" si="69"/>
        <v>ON SLA</v>
      </c>
      <c r="G372" s="9" t="s">
        <v>324</v>
      </c>
      <c r="H372" s="13">
        <v>1</v>
      </c>
      <c r="I372" s="9" t="s">
        <v>364</v>
      </c>
      <c r="J372" s="9" t="s">
        <v>17</v>
      </c>
      <c r="K372" s="9" t="s">
        <v>30</v>
      </c>
      <c r="L372" s="6"/>
    </row>
    <row r="373" spans="1:12" x14ac:dyDescent="0.3">
      <c r="A373" s="5" t="s">
        <v>28</v>
      </c>
      <c r="B373" s="6">
        <v>42</v>
      </c>
      <c r="C373" s="5">
        <v>45580.458333333336</v>
      </c>
      <c r="D373" s="5">
        <v>45580.649305555555</v>
      </c>
      <c r="E373" s="7">
        <f t="shared" si="68"/>
        <v>0.19097222221898846</v>
      </c>
      <c r="F373" s="8" t="str">
        <f t="shared" si="69"/>
        <v>ON SLA</v>
      </c>
      <c r="G373" s="9" t="s">
        <v>324</v>
      </c>
      <c r="H373" s="13">
        <v>1</v>
      </c>
      <c r="I373" s="9" t="s">
        <v>365</v>
      </c>
      <c r="J373" s="9" t="s">
        <v>26</v>
      </c>
      <c r="K373" s="9" t="s">
        <v>30</v>
      </c>
      <c r="L373" s="6"/>
    </row>
    <row r="374" spans="1:12" x14ac:dyDescent="0.3">
      <c r="A374" s="5" t="s">
        <v>28</v>
      </c>
      <c r="B374" s="6">
        <v>42</v>
      </c>
      <c r="C374" s="5">
        <v>45580.508333333331</v>
      </c>
      <c r="D374" s="5">
        <v>45581.467361111114</v>
      </c>
      <c r="E374" s="7">
        <f t="shared" si="68"/>
        <v>0.95902777778246673</v>
      </c>
      <c r="F374" s="8" t="str">
        <f>IF(E434&lt;3,  "ON SLA", "OFF SAL")</f>
        <v>ON SLA</v>
      </c>
      <c r="G374" s="9" t="s">
        <v>324</v>
      </c>
      <c r="H374" s="13">
        <v>1</v>
      </c>
      <c r="I374" s="9" t="s">
        <v>366</v>
      </c>
      <c r="J374" s="9" t="s">
        <v>19</v>
      </c>
      <c r="K374" s="9" t="s">
        <v>30</v>
      </c>
      <c r="L374" s="6"/>
    </row>
    <row r="375" spans="1:12" x14ac:dyDescent="0.3">
      <c r="A375" s="5" t="s">
        <v>28</v>
      </c>
      <c r="B375" s="6">
        <v>42</v>
      </c>
      <c r="C375" s="5">
        <v>45579.6</v>
      </c>
      <c r="D375" s="5">
        <v>45580.663194444445</v>
      </c>
      <c r="E375" s="7">
        <f t="shared" si="68"/>
        <v>1.0631944444467081</v>
      </c>
      <c r="F375" s="8" t="str">
        <f t="shared" si="69"/>
        <v>ON SLA</v>
      </c>
      <c r="G375" s="9" t="s">
        <v>324</v>
      </c>
      <c r="H375" s="13">
        <v>1</v>
      </c>
      <c r="I375" s="9" t="s">
        <v>367</v>
      </c>
      <c r="J375" s="9" t="s">
        <v>49</v>
      </c>
      <c r="K375" s="9" t="s">
        <v>30</v>
      </c>
      <c r="L375" s="6"/>
    </row>
    <row r="376" spans="1:12" x14ac:dyDescent="0.3">
      <c r="A376" s="5" t="s">
        <v>28</v>
      </c>
      <c r="B376" s="6">
        <v>43</v>
      </c>
      <c r="C376" s="5">
        <v>45586.749305555553</v>
      </c>
      <c r="D376" s="5">
        <v>45587.431944444441</v>
      </c>
      <c r="E376" s="7">
        <f t="shared" si="68"/>
        <v>0.68263888888759539</v>
      </c>
      <c r="F376" s="8" t="str">
        <f t="shared" si="69"/>
        <v>ON SLA</v>
      </c>
      <c r="G376" s="9" t="s">
        <v>324</v>
      </c>
      <c r="H376" s="13">
        <v>1</v>
      </c>
      <c r="I376" s="9" t="s">
        <v>368</v>
      </c>
      <c r="J376" s="9" t="s">
        <v>68</v>
      </c>
      <c r="K376" s="9" t="s">
        <v>30</v>
      </c>
      <c r="L376" s="6"/>
    </row>
    <row r="377" spans="1:12" x14ac:dyDescent="0.3">
      <c r="A377" s="5" t="s">
        <v>28</v>
      </c>
      <c r="B377" s="6">
        <v>43</v>
      </c>
      <c r="C377" s="5">
        <v>45587.620138888888</v>
      </c>
      <c r="D377" s="5">
        <v>45587.652083333334</v>
      </c>
      <c r="E377" s="7">
        <f t="shared" si="68"/>
        <v>3.1944444446708076E-2</v>
      </c>
      <c r="F377" s="8" t="str">
        <f t="shared" si="69"/>
        <v>ON SLA</v>
      </c>
      <c r="G377" s="9" t="s">
        <v>324</v>
      </c>
      <c r="H377" s="13">
        <v>1</v>
      </c>
      <c r="I377" s="9" t="s">
        <v>369</v>
      </c>
      <c r="J377" s="9" t="s">
        <v>14</v>
      </c>
      <c r="K377" s="9" t="s">
        <v>30</v>
      </c>
      <c r="L377" s="6"/>
    </row>
    <row r="378" spans="1:12" x14ac:dyDescent="0.3">
      <c r="A378" s="5" t="s">
        <v>28</v>
      </c>
      <c r="B378" s="6">
        <v>43</v>
      </c>
      <c r="C378" s="5">
        <v>45587.561111111114</v>
      </c>
      <c r="D378" s="5">
        <v>45587.572222222225</v>
      </c>
      <c r="E378" s="7">
        <f t="shared" si="68"/>
        <v>1.1111111110949423E-2</v>
      </c>
      <c r="F378" s="8" t="str">
        <f t="shared" si="69"/>
        <v>ON SLA</v>
      </c>
      <c r="G378" s="9" t="s">
        <v>324</v>
      </c>
      <c r="H378" s="13">
        <v>1</v>
      </c>
      <c r="I378" s="9" t="s">
        <v>370</v>
      </c>
      <c r="J378" s="9" t="s">
        <v>19</v>
      </c>
      <c r="K378" s="9" t="s">
        <v>30</v>
      </c>
      <c r="L378" s="6"/>
    </row>
    <row r="379" spans="1:12" x14ac:dyDescent="0.3">
      <c r="A379" s="5" t="s">
        <v>28</v>
      </c>
      <c r="B379" s="6">
        <v>43</v>
      </c>
      <c r="C379" s="5">
        <v>45588.495138888888</v>
      </c>
      <c r="D379" s="5">
        <v>45588.506249999999</v>
      </c>
      <c r="E379" s="7">
        <f t="shared" si="68"/>
        <v>1.1111111110949423E-2</v>
      </c>
      <c r="F379" s="8" t="str">
        <f t="shared" si="69"/>
        <v>ON SLA</v>
      </c>
      <c r="G379" s="9" t="s">
        <v>324</v>
      </c>
      <c r="H379" s="13">
        <v>1</v>
      </c>
      <c r="I379" s="9" t="s">
        <v>371</v>
      </c>
      <c r="J379" s="9" t="s">
        <v>38</v>
      </c>
      <c r="K379" s="9" t="s">
        <v>30</v>
      </c>
      <c r="L379" s="6"/>
    </row>
    <row r="380" spans="1:12" x14ac:dyDescent="0.3">
      <c r="A380" s="5" t="s">
        <v>28</v>
      </c>
      <c r="B380" s="6">
        <v>43</v>
      </c>
      <c r="C380" s="5">
        <v>45586.668055555558</v>
      </c>
      <c r="D380" s="5">
        <v>45587.568749999999</v>
      </c>
      <c r="E380" s="7">
        <f t="shared" si="68"/>
        <v>0.90069444444088731</v>
      </c>
      <c r="F380" s="8" t="str">
        <f t="shared" si="69"/>
        <v>ON SLA</v>
      </c>
      <c r="G380" s="9" t="s">
        <v>324</v>
      </c>
      <c r="H380" s="13">
        <v>1</v>
      </c>
      <c r="I380" s="9" t="s">
        <v>372</v>
      </c>
      <c r="J380" s="9" t="s">
        <v>26</v>
      </c>
      <c r="K380" s="9" t="s">
        <v>30</v>
      </c>
      <c r="L380" s="6"/>
    </row>
    <row r="381" spans="1:12" x14ac:dyDescent="0.3">
      <c r="A381" s="5" t="s">
        <v>28</v>
      </c>
      <c r="B381" s="6">
        <v>43</v>
      </c>
      <c r="C381" s="5">
        <v>45587.561111111114</v>
      </c>
      <c r="D381" s="5">
        <v>45587.572222222225</v>
      </c>
      <c r="E381" s="7">
        <f t="shared" si="68"/>
        <v>1.1111111110949423E-2</v>
      </c>
      <c r="F381" s="8" t="str">
        <f t="shared" si="69"/>
        <v>ON SLA</v>
      </c>
      <c r="G381" s="9" t="s">
        <v>324</v>
      </c>
      <c r="H381" s="13">
        <v>1</v>
      </c>
      <c r="I381" s="9" t="s">
        <v>370</v>
      </c>
      <c r="J381" s="9" t="s">
        <v>19</v>
      </c>
      <c r="K381" s="9" t="s">
        <v>30</v>
      </c>
      <c r="L381" s="6"/>
    </row>
    <row r="382" spans="1:12" x14ac:dyDescent="0.3">
      <c r="A382" s="5" t="s">
        <v>28</v>
      </c>
      <c r="B382" s="6">
        <v>43</v>
      </c>
      <c r="C382" s="5">
        <v>45586.495138888888</v>
      </c>
      <c r="D382" s="5">
        <v>45587.57708333333</v>
      </c>
      <c r="E382" s="7">
        <f t="shared" si="68"/>
        <v>1.0819444444423425</v>
      </c>
      <c r="F382" s="8" t="str">
        <f t="shared" si="69"/>
        <v>ON SLA</v>
      </c>
      <c r="G382" s="9" t="s">
        <v>324</v>
      </c>
      <c r="H382" s="13">
        <v>1</v>
      </c>
      <c r="I382" s="9" t="s">
        <v>370</v>
      </c>
      <c r="J382" s="9" t="s">
        <v>19</v>
      </c>
      <c r="K382" s="9" t="s">
        <v>30</v>
      </c>
      <c r="L382" s="6"/>
    </row>
    <row r="383" spans="1:12" x14ac:dyDescent="0.3">
      <c r="A383" s="5" t="s">
        <v>28</v>
      </c>
      <c r="B383" s="6">
        <v>43</v>
      </c>
      <c r="C383" s="5">
        <v>45586.50277777778</v>
      </c>
      <c r="D383" s="5">
        <v>45587.643055555556</v>
      </c>
      <c r="E383" s="7">
        <f t="shared" si="68"/>
        <v>1.140277777776646</v>
      </c>
      <c r="F383" s="8" t="str">
        <f t="shared" si="69"/>
        <v>ON SLA</v>
      </c>
      <c r="G383" s="9" t="s">
        <v>324</v>
      </c>
      <c r="H383" s="13">
        <v>1</v>
      </c>
      <c r="I383" s="9" t="s">
        <v>373</v>
      </c>
      <c r="J383" s="9" t="s">
        <v>49</v>
      </c>
      <c r="K383" s="9" t="s">
        <v>30</v>
      </c>
      <c r="L383" s="6"/>
    </row>
    <row r="384" spans="1:12" x14ac:dyDescent="0.3">
      <c r="A384" s="5" t="s">
        <v>28</v>
      </c>
      <c r="B384" s="6">
        <v>43</v>
      </c>
      <c r="C384" s="5">
        <v>45586.541666666664</v>
      </c>
      <c r="D384" s="5">
        <v>45587.645138888889</v>
      </c>
      <c r="E384" s="7">
        <f t="shared" si="68"/>
        <v>1.1034722222248092</v>
      </c>
      <c r="F384" s="8" t="str">
        <f t="shared" si="69"/>
        <v>ON SLA</v>
      </c>
      <c r="G384" s="9" t="s">
        <v>324</v>
      </c>
      <c r="H384" s="13">
        <v>1</v>
      </c>
      <c r="I384" s="9" t="s">
        <v>374</v>
      </c>
      <c r="J384" s="9" t="s">
        <v>68</v>
      </c>
      <c r="K384" s="9" t="s">
        <v>30</v>
      </c>
      <c r="L384" s="6"/>
    </row>
    <row r="385" spans="1:12" x14ac:dyDescent="0.3">
      <c r="A385" s="5" t="s">
        <v>28</v>
      </c>
      <c r="B385" s="6">
        <v>43</v>
      </c>
      <c r="C385" s="5">
        <v>45587.620138888888</v>
      </c>
      <c r="D385" s="5">
        <v>45587.652083333334</v>
      </c>
      <c r="E385" s="7">
        <f t="shared" si="68"/>
        <v>3.1944444446708076E-2</v>
      </c>
      <c r="F385" s="8" t="str">
        <f t="shared" si="69"/>
        <v>ON SLA</v>
      </c>
      <c r="G385" s="9" t="s">
        <v>324</v>
      </c>
      <c r="H385" s="13">
        <v>1</v>
      </c>
      <c r="I385" s="9" t="s">
        <v>369</v>
      </c>
      <c r="J385" s="9" t="s">
        <v>14</v>
      </c>
      <c r="K385" s="9" t="s">
        <v>30</v>
      </c>
      <c r="L385" s="6"/>
    </row>
    <row r="386" spans="1:12" x14ac:dyDescent="0.3">
      <c r="A386" s="5" t="s">
        <v>41</v>
      </c>
      <c r="B386" s="6">
        <v>44</v>
      </c>
      <c r="C386" s="5">
        <v>45593.517361111109</v>
      </c>
      <c r="D386" s="5">
        <v>45597.371527777781</v>
      </c>
      <c r="E386" s="7">
        <f t="shared" si="68"/>
        <v>3.8541666666715173</v>
      </c>
      <c r="F386" s="8" t="str">
        <f t="shared" si="69"/>
        <v>ON SLA</v>
      </c>
      <c r="G386" s="9" t="s">
        <v>324</v>
      </c>
      <c r="H386" s="13">
        <v>1</v>
      </c>
      <c r="I386" s="9" t="s">
        <v>375</v>
      </c>
      <c r="J386" s="9" t="s">
        <v>49</v>
      </c>
      <c r="K386" s="9" t="s">
        <v>30</v>
      </c>
      <c r="L386" s="6"/>
    </row>
    <row r="387" spans="1:12" x14ac:dyDescent="0.3">
      <c r="A387" s="5" t="s">
        <v>28</v>
      </c>
      <c r="B387" s="6">
        <v>44</v>
      </c>
      <c r="C387" s="5">
        <v>45593.527083333334</v>
      </c>
      <c r="D387" s="5">
        <v>45595.852083333331</v>
      </c>
      <c r="E387" s="7">
        <f t="shared" si="68"/>
        <v>2.3249999999970896</v>
      </c>
      <c r="F387" s="8" t="str">
        <f t="shared" si="69"/>
        <v>ON SLA</v>
      </c>
      <c r="G387" s="9" t="s">
        <v>324</v>
      </c>
      <c r="H387" s="13">
        <v>1</v>
      </c>
      <c r="I387" s="9" t="s">
        <v>376</v>
      </c>
      <c r="J387" s="9" t="s">
        <v>19</v>
      </c>
      <c r="K387" s="9" t="s">
        <v>30</v>
      </c>
      <c r="L387" s="6"/>
    </row>
    <row r="388" spans="1:12" x14ac:dyDescent="0.3">
      <c r="A388" s="5" t="s">
        <v>28</v>
      </c>
      <c r="B388" s="6">
        <v>44</v>
      </c>
      <c r="C388" s="5">
        <v>45593.527777777781</v>
      </c>
      <c r="D388" s="5">
        <v>45593.652777777781</v>
      </c>
      <c r="E388" s="7">
        <f t="shared" si="68"/>
        <v>0.125</v>
      </c>
      <c r="F388" s="8" t="str">
        <f t="shared" si="69"/>
        <v>ON SLA</v>
      </c>
      <c r="G388" s="9" t="s">
        <v>324</v>
      </c>
      <c r="H388" s="13">
        <v>1</v>
      </c>
      <c r="I388" s="9" t="s">
        <v>377</v>
      </c>
      <c r="J388" s="9" t="s">
        <v>17</v>
      </c>
      <c r="K388" s="9" t="s">
        <v>30</v>
      </c>
      <c r="L388" s="6"/>
    </row>
    <row r="389" spans="1:12" x14ac:dyDescent="0.3">
      <c r="A389" s="5" t="s">
        <v>28</v>
      </c>
      <c r="B389" s="6">
        <v>44</v>
      </c>
      <c r="C389" s="5">
        <v>45593.529861111114</v>
      </c>
      <c r="D389" s="5">
        <v>45593.536111111112</v>
      </c>
      <c r="E389" s="7">
        <f t="shared" si="68"/>
        <v>6.2499999985448085E-3</v>
      </c>
      <c r="F389" s="8" t="str">
        <f>IF(E449&lt;3,  "ON SLA", "OFF SAL")</f>
        <v>ON SLA</v>
      </c>
      <c r="G389" s="9" t="s">
        <v>324</v>
      </c>
      <c r="H389" s="13">
        <v>1</v>
      </c>
      <c r="I389" s="9" t="s">
        <v>378</v>
      </c>
      <c r="J389" s="9" t="s">
        <v>38</v>
      </c>
      <c r="K389" s="9" t="s">
        <v>30</v>
      </c>
      <c r="L389" s="6"/>
    </row>
    <row r="390" spans="1:12" x14ac:dyDescent="0.3">
      <c r="A390" s="5" t="s">
        <v>41</v>
      </c>
      <c r="B390" s="6">
        <v>45</v>
      </c>
      <c r="C390" s="5">
        <v>45593.53125</v>
      </c>
      <c r="D390" s="5">
        <v>45600.409722222219</v>
      </c>
      <c r="E390" s="7">
        <f t="shared" si="68"/>
        <v>6.8784722222189885</v>
      </c>
      <c r="F390" s="8" t="str">
        <f t="shared" si="69"/>
        <v>ON SLA</v>
      </c>
      <c r="G390" s="9" t="s">
        <v>324</v>
      </c>
      <c r="H390" s="13">
        <v>1</v>
      </c>
      <c r="I390" s="9" t="s">
        <v>379</v>
      </c>
      <c r="J390" s="9" t="s">
        <v>68</v>
      </c>
      <c r="K390" s="9" t="s">
        <v>30</v>
      </c>
      <c r="L390" s="6"/>
    </row>
    <row r="391" spans="1:12" x14ac:dyDescent="0.3">
      <c r="A391" s="5" t="s">
        <v>28</v>
      </c>
      <c r="B391" s="6">
        <v>44</v>
      </c>
      <c r="C391" s="5">
        <v>45593.53402777778</v>
      </c>
      <c r="D391" s="5">
        <v>45593.69027777778</v>
      </c>
      <c r="E391" s="7">
        <f t="shared" si="68"/>
        <v>0.15625</v>
      </c>
      <c r="F391" s="8" t="str">
        <f t="shared" si="69"/>
        <v>ON SLA</v>
      </c>
      <c r="G391" s="9" t="s">
        <v>324</v>
      </c>
      <c r="H391" s="13">
        <v>1</v>
      </c>
      <c r="I391" s="9" t="s">
        <v>380</v>
      </c>
      <c r="J391" s="9" t="s">
        <v>23</v>
      </c>
      <c r="K391" s="9" t="s">
        <v>30</v>
      </c>
      <c r="L391" s="6"/>
    </row>
    <row r="392" spans="1:12" x14ac:dyDescent="0.3">
      <c r="A392" s="5" t="s">
        <v>28</v>
      </c>
      <c r="B392" s="6">
        <v>44</v>
      </c>
      <c r="C392" s="5">
        <v>45593.53402777778</v>
      </c>
      <c r="D392" s="5">
        <v>45594.684027777781</v>
      </c>
      <c r="E392" s="7">
        <f t="shared" si="68"/>
        <v>1.1500000000014552</v>
      </c>
      <c r="F392" s="8" t="str">
        <f t="shared" si="69"/>
        <v>ON SLA</v>
      </c>
      <c r="G392" s="9" t="s">
        <v>324</v>
      </c>
      <c r="H392" s="13">
        <v>1</v>
      </c>
      <c r="I392" s="9" t="s">
        <v>325</v>
      </c>
      <c r="J392" s="9" t="s">
        <v>14</v>
      </c>
      <c r="K392" s="9" t="s">
        <v>30</v>
      </c>
      <c r="L392" s="6"/>
    </row>
    <row r="393" spans="1:12" x14ac:dyDescent="0.3">
      <c r="A393" s="5" t="s">
        <v>28</v>
      </c>
      <c r="B393" s="6">
        <v>44</v>
      </c>
      <c r="C393" s="5">
        <v>45593.529861111114</v>
      </c>
      <c r="D393" s="5">
        <v>45593.536111111112</v>
      </c>
      <c r="E393" s="7">
        <f t="shared" si="68"/>
        <v>6.2499999985448085E-3</v>
      </c>
      <c r="F393" s="8" t="str">
        <f t="shared" si="69"/>
        <v>ON SLA</v>
      </c>
      <c r="G393" s="9" t="s">
        <v>324</v>
      </c>
      <c r="H393" s="13">
        <v>1</v>
      </c>
      <c r="I393" s="9" t="s">
        <v>378</v>
      </c>
      <c r="J393" s="9" t="s">
        <v>38</v>
      </c>
      <c r="K393" s="9" t="s">
        <v>30</v>
      </c>
      <c r="L393" s="6"/>
    </row>
    <row r="394" spans="1:12" x14ac:dyDescent="0.3">
      <c r="A394" s="5" t="s">
        <v>41</v>
      </c>
      <c r="B394" s="6">
        <v>45</v>
      </c>
      <c r="C394" s="5">
        <v>45600.582638888889</v>
      </c>
      <c r="D394" s="5">
        <v>45601.59652777778</v>
      </c>
      <c r="E394" s="7">
        <f t="shared" si="68"/>
        <v>1.0138888888905058</v>
      </c>
      <c r="F394" s="8" t="str">
        <f t="shared" si="69"/>
        <v>ON SLA</v>
      </c>
      <c r="G394" s="9" t="s">
        <v>324</v>
      </c>
      <c r="H394" s="13">
        <v>1</v>
      </c>
      <c r="I394" s="11" t="s">
        <v>381</v>
      </c>
      <c r="J394" s="9" t="s">
        <v>19</v>
      </c>
      <c r="K394" s="9" t="s">
        <v>30</v>
      </c>
      <c r="L394" s="6"/>
    </row>
    <row r="395" spans="1:12" x14ac:dyDescent="0.3">
      <c r="A395" s="5" t="s">
        <v>41</v>
      </c>
      <c r="B395" s="6">
        <v>45</v>
      </c>
      <c r="C395" s="5">
        <v>45597.611805555556</v>
      </c>
      <c r="D395" s="5">
        <v>45599.645138888889</v>
      </c>
      <c r="E395" s="7">
        <f t="shared" si="68"/>
        <v>2.0333333333328483</v>
      </c>
      <c r="F395" s="8" t="str">
        <f t="shared" si="69"/>
        <v>ON SLA</v>
      </c>
      <c r="G395" s="9" t="s">
        <v>324</v>
      </c>
      <c r="H395" s="13">
        <v>1</v>
      </c>
      <c r="I395" s="11" t="s">
        <v>382</v>
      </c>
      <c r="J395" s="9" t="s">
        <v>26</v>
      </c>
      <c r="K395" s="9" t="s">
        <v>30</v>
      </c>
      <c r="L395" s="6"/>
    </row>
    <row r="396" spans="1:12" x14ac:dyDescent="0.3">
      <c r="A396" s="5" t="s">
        <v>41</v>
      </c>
      <c r="B396" s="6">
        <v>45</v>
      </c>
      <c r="C396" s="5">
        <v>45597.371527777781</v>
      </c>
      <c r="D396" s="5">
        <v>45599.654861111114</v>
      </c>
      <c r="E396" s="7">
        <f t="shared" ref="E396:E410" si="70">D396-C396</f>
        <v>2.2833333333328483</v>
      </c>
      <c r="F396" s="8" t="str">
        <f t="shared" ref="F396:F410" si="71">IF(E456&lt;3,  "ON SLA", "OFF SAL")</f>
        <v>ON SLA</v>
      </c>
      <c r="G396" s="9" t="s">
        <v>324</v>
      </c>
      <c r="H396" s="13">
        <v>1</v>
      </c>
      <c r="I396" s="11" t="s">
        <v>375</v>
      </c>
      <c r="J396" s="9" t="s">
        <v>49</v>
      </c>
      <c r="K396" s="9" t="s">
        <v>30</v>
      </c>
      <c r="L396" s="6"/>
    </row>
    <row r="397" spans="1:12" x14ac:dyDescent="0.3">
      <c r="A397" s="5" t="s">
        <v>41</v>
      </c>
      <c r="B397" s="6">
        <v>45</v>
      </c>
      <c r="C397" s="5">
        <v>45593.69027777778</v>
      </c>
      <c r="D397" s="5">
        <v>45599.660416666666</v>
      </c>
      <c r="E397" s="7">
        <f t="shared" si="70"/>
        <v>5.9701388888861402</v>
      </c>
      <c r="F397" s="8" t="str">
        <f t="shared" si="71"/>
        <v>ON SLA</v>
      </c>
      <c r="G397" s="9" t="s">
        <v>324</v>
      </c>
      <c r="H397" s="13">
        <v>1</v>
      </c>
      <c r="I397" s="11" t="s">
        <v>380</v>
      </c>
      <c r="J397" s="9" t="s">
        <v>23</v>
      </c>
      <c r="K397" s="9" t="s">
        <v>30</v>
      </c>
      <c r="L397" s="6"/>
    </row>
    <row r="398" spans="1:12" x14ac:dyDescent="0.3">
      <c r="A398" s="5" t="s">
        <v>41</v>
      </c>
      <c r="B398" s="6">
        <v>45</v>
      </c>
      <c r="C398" s="5">
        <v>45593.536111111112</v>
      </c>
      <c r="D398" s="5">
        <v>45599.663194444445</v>
      </c>
      <c r="E398" s="7">
        <f t="shared" si="70"/>
        <v>6.1270833333328483</v>
      </c>
      <c r="F398" s="8" t="str">
        <f t="shared" si="71"/>
        <v>ON SLA</v>
      </c>
      <c r="G398" s="9" t="s">
        <v>324</v>
      </c>
      <c r="H398" s="13">
        <v>1</v>
      </c>
      <c r="I398" s="11" t="s">
        <v>378</v>
      </c>
      <c r="J398" s="9" t="s">
        <v>38</v>
      </c>
      <c r="K398" s="9" t="s">
        <v>30</v>
      </c>
      <c r="L398" s="6"/>
    </row>
    <row r="399" spans="1:12" x14ac:dyDescent="0.3">
      <c r="A399" s="5" t="s">
        <v>41</v>
      </c>
      <c r="B399" s="6">
        <v>45</v>
      </c>
      <c r="C399" s="5">
        <v>45600.481944444444</v>
      </c>
      <c r="D399" s="5">
        <v>45600.515972222223</v>
      </c>
      <c r="E399" s="7">
        <f t="shared" si="70"/>
        <v>3.4027777779556345E-2</v>
      </c>
      <c r="F399" s="8" t="str">
        <f t="shared" si="71"/>
        <v>ON SLA</v>
      </c>
      <c r="G399" s="9" t="s">
        <v>324</v>
      </c>
      <c r="H399" s="13">
        <v>1</v>
      </c>
      <c r="I399" s="11" t="s">
        <v>325</v>
      </c>
      <c r="J399" s="9" t="s">
        <v>14</v>
      </c>
      <c r="K399" s="9" t="s">
        <v>30</v>
      </c>
      <c r="L399" s="6"/>
    </row>
    <row r="400" spans="1:12" x14ac:dyDescent="0.3">
      <c r="A400" s="5" t="s">
        <v>41</v>
      </c>
      <c r="B400" s="6">
        <v>45</v>
      </c>
      <c r="C400" s="5">
        <v>45600.582638888889</v>
      </c>
      <c r="D400" s="5">
        <v>45601.59652777778</v>
      </c>
      <c r="E400" s="7">
        <f t="shared" si="70"/>
        <v>1.0138888888905058</v>
      </c>
      <c r="F400" s="8" t="str">
        <f t="shared" si="71"/>
        <v>ON SLA</v>
      </c>
      <c r="G400" s="9" t="s">
        <v>324</v>
      </c>
      <c r="H400" s="13">
        <v>1</v>
      </c>
      <c r="I400" s="11" t="s">
        <v>381</v>
      </c>
      <c r="J400" s="9" t="s">
        <v>19</v>
      </c>
      <c r="K400" s="9" t="s">
        <v>30</v>
      </c>
      <c r="L400" s="6"/>
    </row>
    <row r="401" spans="1:12" x14ac:dyDescent="0.3">
      <c r="A401" s="5" t="s">
        <v>41</v>
      </c>
      <c r="B401" s="6">
        <v>45</v>
      </c>
      <c r="C401" s="5">
        <v>45593.53125</v>
      </c>
      <c r="D401" s="5">
        <v>45603.597222222219</v>
      </c>
      <c r="E401" s="7">
        <f t="shared" si="70"/>
        <v>10.065972222218988</v>
      </c>
      <c r="F401" s="8" t="str">
        <f t="shared" si="71"/>
        <v>ON SLA</v>
      </c>
      <c r="G401" s="9" t="s">
        <v>324</v>
      </c>
      <c r="H401" s="13">
        <v>1</v>
      </c>
      <c r="I401" s="11" t="s">
        <v>379</v>
      </c>
      <c r="J401" s="9" t="s">
        <v>68</v>
      </c>
      <c r="K401" s="9" t="s">
        <v>30</v>
      </c>
      <c r="L401" s="6"/>
    </row>
    <row r="402" spans="1:12" x14ac:dyDescent="0.3">
      <c r="A402" s="5" t="s">
        <v>41</v>
      </c>
      <c r="B402" s="6">
        <v>45</v>
      </c>
      <c r="C402" s="5">
        <v>45602.697916666664</v>
      </c>
      <c r="D402" s="5">
        <v>45603.615972222222</v>
      </c>
      <c r="E402" s="7">
        <f t="shared" si="70"/>
        <v>0.9180555555576575</v>
      </c>
      <c r="F402" s="8" t="str">
        <f t="shared" si="71"/>
        <v>ON SLA</v>
      </c>
      <c r="G402" s="9" t="s">
        <v>324</v>
      </c>
      <c r="H402" s="13">
        <v>1</v>
      </c>
      <c r="I402" s="11" t="s">
        <v>377</v>
      </c>
      <c r="J402" s="9" t="s">
        <v>17</v>
      </c>
      <c r="K402" s="9" t="s">
        <v>30</v>
      </c>
      <c r="L402" s="6"/>
    </row>
    <row r="403" spans="1:12" x14ac:dyDescent="0.3">
      <c r="A403" s="5" t="s">
        <v>41</v>
      </c>
      <c r="B403" s="6">
        <v>46</v>
      </c>
      <c r="C403" s="5">
        <v>45607.51666666667</v>
      </c>
      <c r="D403" s="5">
        <v>45609.591666666667</v>
      </c>
      <c r="E403" s="7">
        <f t="shared" si="70"/>
        <v>2.0749999999970896</v>
      </c>
      <c r="F403" s="8" t="str">
        <f t="shared" si="71"/>
        <v>ON SLA</v>
      </c>
      <c r="G403" s="9" t="s">
        <v>324</v>
      </c>
      <c r="H403" s="13">
        <v>1</v>
      </c>
      <c r="I403" s="11" t="s">
        <v>383</v>
      </c>
      <c r="J403" s="9" t="s">
        <v>49</v>
      </c>
      <c r="K403" s="9" t="s">
        <v>30</v>
      </c>
      <c r="L403" s="6"/>
    </row>
    <row r="404" spans="1:12" x14ac:dyDescent="0.3">
      <c r="A404" s="5" t="s">
        <v>41</v>
      </c>
      <c r="B404" s="6">
        <v>46</v>
      </c>
      <c r="C404" s="5">
        <v>45607.518055555556</v>
      </c>
      <c r="D404" s="5">
        <v>45608.520138888889</v>
      </c>
      <c r="E404" s="7">
        <f t="shared" si="70"/>
        <v>1.0020833333328483</v>
      </c>
      <c r="F404" s="8" t="str">
        <f>IF(E464&lt;3,  "ON SLA", "OFF SAL")</f>
        <v>ON SLA</v>
      </c>
      <c r="G404" s="9" t="s">
        <v>324</v>
      </c>
      <c r="H404" s="13">
        <v>1</v>
      </c>
      <c r="I404" s="11" t="s">
        <v>384</v>
      </c>
      <c r="J404" s="9" t="s">
        <v>19</v>
      </c>
      <c r="K404" s="9" t="s">
        <v>30</v>
      </c>
      <c r="L404" s="6"/>
    </row>
    <row r="405" spans="1:12" x14ac:dyDescent="0.3">
      <c r="A405" s="5" t="s">
        <v>41</v>
      </c>
      <c r="B405" s="6">
        <v>46</v>
      </c>
      <c r="C405" s="5">
        <v>45607.518750000003</v>
      </c>
      <c r="D405" s="5">
        <v>45609.439583333333</v>
      </c>
      <c r="E405" s="7">
        <f t="shared" si="70"/>
        <v>1.9208333333299379</v>
      </c>
      <c r="F405" s="8" t="str">
        <f t="shared" si="71"/>
        <v>ON SLA</v>
      </c>
      <c r="G405" s="9" t="s">
        <v>324</v>
      </c>
      <c r="H405" s="13">
        <v>1</v>
      </c>
      <c r="I405" s="11" t="s">
        <v>385</v>
      </c>
      <c r="J405" s="9" t="s">
        <v>17</v>
      </c>
      <c r="K405" s="9" t="s">
        <v>30</v>
      </c>
      <c r="L405" s="6"/>
    </row>
    <row r="406" spans="1:12" x14ac:dyDescent="0.3">
      <c r="A406" s="5" t="s">
        <v>41</v>
      </c>
      <c r="B406" s="6">
        <v>46</v>
      </c>
      <c r="C406" s="5">
        <v>45607.518750000003</v>
      </c>
      <c r="D406" s="5">
        <v>45607.640972222223</v>
      </c>
      <c r="E406" s="7">
        <f t="shared" si="70"/>
        <v>0.12222222222044365</v>
      </c>
      <c r="F406" s="8" t="str">
        <f t="shared" si="71"/>
        <v>ON SLA</v>
      </c>
      <c r="G406" s="9" t="s">
        <v>324</v>
      </c>
      <c r="H406" s="13">
        <v>1</v>
      </c>
      <c r="I406" s="11" t="s">
        <v>386</v>
      </c>
      <c r="J406" s="9" t="s">
        <v>26</v>
      </c>
      <c r="K406" s="9" t="s">
        <v>30</v>
      </c>
      <c r="L406" s="6"/>
    </row>
    <row r="407" spans="1:12" x14ac:dyDescent="0.3">
      <c r="A407" s="5" t="s">
        <v>41</v>
      </c>
      <c r="B407" s="6">
        <v>46</v>
      </c>
      <c r="C407" s="5">
        <v>45607.519444444442</v>
      </c>
      <c r="D407" s="5">
        <v>45608.592361111114</v>
      </c>
      <c r="E407" s="7">
        <f t="shared" si="70"/>
        <v>1.0729166666715173</v>
      </c>
      <c r="F407" s="8" t="str">
        <f t="shared" si="71"/>
        <v>ON SLA</v>
      </c>
      <c r="G407" s="9" t="s">
        <v>324</v>
      </c>
      <c r="H407" s="13">
        <v>1</v>
      </c>
      <c r="I407" s="11" t="s">
        <v>387</v>
      </c>
      <c r="J407" s="9" t="s">
        <v>38</v>
      </c>
      <c r="K407" s="9" t="s">
        <v>30</v>
      </c>
      <c r="L407" s="6"/>
    </row>
    <row r="408" spans="1:12" x14ac:dyDescent="0.3">
      <c r="A408" s="5" t="s">
        <v>41</v>
      </c>
      <c r="B408" s="6">
        <v>46</v>
      </c>
      <c r="C408" s="5">
        <v>45609.536805555559</v>
      </c>
      <c r="D408" s="5">
        <v>45609.746527777781</v>
      </c>
      <c r="E408" s="7">
        <f t="shared" si="70"/>
        <v>0.20972222222189885</v>
      </c>
      <c r="F408" s="8" t="str">
        <f t="shared" si="71"/>
        <v>ON SLA</v>
      </c>
      <c r="G408" s="9" t="s">
        <v>324</v>
      </c>
      <c r="H408" s="13">
        <v>1</v>
      </c>
      <c r="I408" s="11" t="s">
        <v>388</v>
      </c>
      <c r="J408" s="9" t="s">
        <v>68</v>
      </c>
      <c r="K408" s="9" t="s">
        <v>30</v>
      </c>
      <c r="L408" s="6"/>
    </row>
    <row r="409" spans="1:12" x14ac:dyDescent="0.3">
      <c r="A409" s="5" t="s">
        <v>41</v>
      </c>
      <c r="B409" s="6">
        <v>46</v>
      </c>
      <c r="C409" s="5">
        <v>45607.520833333336</v>
      </c>
      <c r="D409" s="5">
        <v>45607.745833333334</v>
      </c>
      <c r="E409" s="7">
        <f t="shared" si="70"/>
        <v>0.22499999999854481</v>
      </c>
      <c r="F409" s="8" t="str">
        <f t="shared" si="71"/>
        <v>ON SLA</v>
      </c>
      <c r="G409" s="9" t="s">
        <v>324</v>
      </c>
      <c r="H409" s="13">
        <v>1</v>
      </c>
      <c r="I409" s="11" t="s">
        <v>389</v>
      </c>
      <c r="J409" s="9" t="s">
        <v>23</v>
      </c>
      <c r="K409" s="9" t="s">
        <v>30</v>
      </c>
      <c r="L409" s="6"/>
    </row>
    <row r="410" spans="1:12" x14ac:dyDescent="0.3">
      <c r="A410" s="5" t="s">
        <v>41</v>
      </c>
      <c r="B410" s="6">
        <v>46</v>
      </c>
      <c r="C410" s="5">
        <v>45607.521527777775</v>
      </c>
      <c r="D410" s="5">
        <v>45608.53125</v>
      </c>
      <c r="E410" s="7">
        <f t="shared" si="70"/>
        <v>1.0097222222248092</v>
      </c>
      <c r="F410" s="8" t="str">
        <f t="shared" si="71"/>
        <v>ON SLA</v>
      </c>
      <c r="G410" s="9" t="s">
        <v>324</v>
      </c>
      <c r="H410" s="13">
        <v>1</v>
      </c>
      <c r="I410" s="11" t="s">
        <v>390</v>
      </c>
      <c r="J410" s="9" t="s">
        <v>14</v>
      </c>
      <c r="K410" s="9" t="s">
        <v>30</v>
      </c>
      <c r="L410" s="6"/>
    </row>
  </sheetData>
  <autoFilter ref="A1:L410" xr:uid="{9B462ECF-1934-44D6-8BDC-494779C66D4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D1BA-83C1-472C-85EC-D858E357561F}">
  <dimension ref="A1:M150"/>
  <sheetViews>
    <sheetView workbookViewId="0">
      <selection activeCell="N9" sqref="N9"/>
    </sheetView>
  </sheetViews>
  <sheetFormatPr defaultRowHeight="14.4" x14ac:dyDescent="0.3"/>
  <sheetData>
    <row r="1" spans="1:13" x14ac:dyDescent="0.3">
      <c r="A1" s="56" t="s">
        <v>423</v>
      </c>
      <c r="B1" s="56" t="s">
        <v>424</v>
      </c>
      <c r="C1" s="56" t="s">
        <v>425</v>
      </c>
      <c r="D1" s="56" t="s">
        <v>426</v>
      </c>
      <c r="E1" s="56" t="s">
        <v>427</v>
      </c>
      <c r="F1" s="56" t="s">
        <v>428</v>
      </c>
      <c r="G1" s="56" t="s">
        <v>429</v>
      </c>
      <c r="H1" s="56" t="s">
        <v>430</v>
      </c>
      <c r="I1" s="56" t="s">
        <v>4</v>
      </c>
      <c r="J1" s="56" t="s">
        <v>431</v>
      </c>
      <c r="K1" s="56" t="s">
        <v>432</v>
      </c>
      <c r="L1" s="56" t="s">
        <v>433</v>
      </c>
      <c r="M1" s="56" t="s">
        <v>434</v>
      </c>
    </row>
    <row r="2" spans="1:13" x14ac:dyDescent="0.3">
      <c r="A2" s="57" t="s">
        <v>435</v>
      </c>
      <c r="B2" s="57">
        <v>2025</v>
      </c>
      <c r="C2" s="57">
        <v>50</v>
      </c>
      <c r="D2" s="57" t="s">
        <v>436</v>
      </c>
      <c r="E2" s="57">
        <v>2</v>
      </c>
      <c r="F2" s="57">
        <v>1</v>
      </c>
      <c r="G2" s="58">
        <v>45635.733333333301</v>
      </c>
      <c r="H2" s="58">
        <v>45635.748611111099</v>
      </c>
      <c r="I2" s="59">
        <v>1.5277777798473835E-2</v>
      </c>
      <c r="J2" s="59" t="s">
        <v>437</v>
      </c>
      <c r="K2" s="60" t="s">
        <v>438</v>
      </c>
      <c r="L2" s="61" t="s">
        <v>14</v>
      </c>
      <c r="M2" s="61" t="s">
        <v>439</v>
      </c>
    </row>
    <row r="3" spans="1:13" x14ac:dyDescent="0.3">
      <c r="A3" s="62" t="s">
        <v>435</v>
      </c>
      <c r="B3" s="62">
        <v>2025</v>
      </c>
      <c r="C3" s="62">
        <v>52</v>
      </c>
      <c r="D3" s="62" t="s">
        <v>440</v>
      </c>
      <c r="E3" s="62">
        <v>4</v>
      </c>
      <c r="F3" s="62">
        <v>1</v>
      </c>
      <c r="G3" s="63">
        <v>45650.620833333334</v>
      </c>
      <c r="H3" s="63">
        <v>45650.634027777778</v>
      </c>
      <c r="I3" s="64">
        <v>1.3194444443797693E-2</v>
      </c>
      <c r="J3" s="64" t="s">
        <v>437</v>
      </c>
      <c r="K3" s="19" t="s">
        <v>438</v>
      </c>
      <c r="L3" s="65" t="s">
        <v>68</v>
      </c>
      <c r="M3" s="65" t="s">
        <v>17</v>
      </c>
    </row>
    <row r="4" spans="1:13" x14ac:dyDescent="0.3">
      <c r="A4" s="62" t="s">
        <v>435</v>
      </c>
      <c r="B4" s="62">
        <v>2025</v>
      </c>
      <c r="C4" s="62">
        <v>50</v>
      </c>
      <c r="D4" s="62" t="s">
        <v>436</v>
      </c>
      <c r="E4" s="62">
        <v>2</v>
      </c>
      <c r="F4" s="62">
        <v>1</v>
      </c>
      <c r="G4" s="63">
        <v>45635.733333333301</v>
      </c>
      <c r="H4" s="63">
        <v>45635.943749999999</v>
      </c>
      <c r="I4" s="66">
        <v>0.21041666669771075</v>
      </c>
      <c r="J4" s="64" t="s">
        <v>437</v>
      </c>
      <c r="K4" s="19" t="s">
        <v>441</v>
      </c>
      <c r="L4" s="65" t="s">
        <v>14</v>
      </c>
      <c r="M4" s="65" t="s">
        <v>439</v>
      </c>
    </row>
    <row r="5" spans="1:13" x14ac:dyDescent="0.3">
      <c r="A5" s="62" t="s">
        <v>435</v>
      </c>
      <c r="B5" s="62">
        <v>2025</v>
      </c>
      <c r="C5" s="62">
        <v>52</v>
      </c>
      <c r="D5" s="62" t="s">
        <v>440</v>
      </c>
      <c r="E5" s="62">
        <v>4</v>
      </c>
      <c r="F5" s="62">
        <v>1</v>
      </c>
      <c r="G5" s="63">
        <v>45650.620833333334</v>
      </c>
      <c r="H5" s="63">
        <v>45650.691666666666</v>
      </c>
      <c r="I5" s="67">
        <v>7.0833333331393078E-2</v>
      </c>
      <c r="J5" s="64" t="s">
        <v>437</v>
      </c>
      <c r="K5" s="19" t="s">
        <v>441</v>
      </c>
      <c r="L5" s="65" t="s">
        <v>442</v>
      </c>
      <c r="M5" s="65" t="s">
        <v>17</v>
      </c>
    </row>
    <row r="6" spans="1:13" x14ac:dyDescent="0.3">
      <c r="A6" s="62" t="s">
        <v>435</v>
      </c>
      <c r="B6" s="62">
        <v>2025</v>
      </c>
      <c r="C6" s="62">
        <v>50</v>
      </c>
      <c r="D6" s="62" t="s">
        <v>436</v>
      </c>
      <c r="E6" s="62">
        <v>2</v>
      </c>
      <c r="F6" s="62">
        <v>1</v>
      </c>
      <c r="G6" s="63">
        <v>45636.527083333298</v>
      </c>
      <c r="H6" s="63">
        <v>45636.5402777778</v>
      </c>
      <c r="I6" s="64">
        <v>1.3194444502005354E-2</v>
      </c>
      <c r="J6" s="64" t="s">
        <v>437</v>
      </c>
      <c r="K6" s="19" t="s">
        <v>443</v>
      </c>
      <c r="L6" s="65" t="s">
        <v>17</v>
      </c>
      <c r="M6" s="65" t="s">
        <v>286</v>
      </c>
    </row>
    <row r="7" spans="1:13" x14ac:dyDescent="0.3">
      <c r="A7" s="62" t="s">
        <v>435</v>
      </c>
      <c r="B7" s="62">
        <v>2025</v>
      </c>
      <c r="C7" s="62">
        <v>52</v>
      </c>
      <c r="D7" s="62" t="s">
        <v>440</v>
      </c>
      <c r="E7" s="62">
        <v>4</v>
      </c>
      <c r="F7" s="62">
        <v>1</v>
      </c>
      <c r="G7" s="63">
        <v>45649.463194444441</v>
      </c>
      <c r="H7" s="63">
        <v>45649.498611111114</v>
      </c>
      <c r="I7" s="64">
        <v>3.5416666672972497E-2</v>
      </c>
      <c r="J7" s="64" t="s">
        <v>437</v>
      </c>
      <c r="K7" s="19" t="s">
        <v>443</v>
      </c>
      <c r="L7" s="65" t="s">
        <v>17</v>
      </c>
      <c r="M7" s="65" t="s">
        <v>286</v>
      </c>
    </row>
    <row r="8" spans="1:13" x14ac:dyDescent="0.3">
      <c r="A8" s="62" t="s">
        <v>435</v>
      </c>
      <c r="B8" s="62">
        <v>2025</v>
      </c>
      <c r="C8" s="62">
        <v>53</v>
      </c>
      <c r="D8" s="62" t="s">
        <v>444</v>
      </c>
      <c r="E8" s="62">
        <v>5</v>
      </c>
      <c r="F8" s="62">
        <v>1</v>
      </c>
      <c r="G8" s="63">
        <v>45656.48333333333</v>
      </c>
      <c r="H8" s="63">
        <v>45656.48541666667</v>
      </c>
      <c r="I8" s="64">
        <v>2.0833333401242271E-3</v>
      </c>
      <c r="J8" s="64" t="s">
        <v>437</v>
      </c>
      <c r="K8" s="19" t="s">
        <v>443</v>
      </c>
      <c r="L8" s="65" t="s">
        <v>17</v>
      </c>
      <c r="M8" s="65" t="s">
        <v>286</v>
      </c>
    </row>
    <row r="9" spans="1:13" x14ac:dyDescent="0.3">
      <c r="A9" s="62" t="s">
        <v>435</v>
      </c>
      <c r="B9" s="62">
        <v>2025</v>
      </c>
      <c r="C9" s="62">
        <v>53</v>
      </c>
      <c r="D9" s="62" t="s">
        <v>444</v>
      </c>
      <c r="E9" s="62">
        <v>5</v>
      </c>
      <c r="F9" s="62">
        <v>1</v>
      </c>
      <c r="G9" s="63">
        <v>45657.51458333333</v>
      </c>
      <c r="H9" s="68">
        <v>45657.521527777775</v>
      </c>
      <c r="I9" s="64">
        <v>6.9444444452528842E-3</v>
      </c>
      <c r="J9" s="64" t="s">
        <v>437</v>
      </c>
      <c r="K9" s="19" t="s">
        <v>443</v>
      </c>
      <c r="L9" s="65" t="s">
        <v>17</v>
      </c>
      <c r="M9" s="65" t="s">
        <v>286</v>
      </c>
    </row>
    <row r="10" spans="1:13" x14ac:dyDescent="0.3">
      <c r="A10" s="62" t="s">
        <v>435</v>
      </c>
      <c r="B10" s="62">
        <v>2025</v>
      </c>
      <c r="C10" s="62">
        <v>50</v>
      </c>
      <c r="D10" s="62" t="s">
        <v>436</v>
      </c>
      <c r="E10" s="62">
        <v>2</v>
      </c>
      <c r="F10" s="62">
        <v>1</v>
      </c>
      <c r="G10" s="63">
        <v>45636.490277777797</v>
      </c>
      <c r="H10" s="63">
        <v>45636.506249999999</v>
      </c>
      <c r="I10" s="64">
        <v>1.5972222201526165E-2</v>
      </c>
      <c r="J10" s="64" t="s">
        <v>437</v>
      </c>
      <c r="K10" s="19" t="s">
        <v>445</v>
      </c>
      <c r="L10" s="69" t="s">
        <v>446</v>
      </c>
      <c r="M10" s="65"/>
    </row>
    <row r="11" spans="1:13" x14ac:dyDescent="0.3">
      <c r="A11" s="62" t="s">
        <v>435</v>
      </c>
      <c r="B11" s="62">
        <v>2025</v>
      </c>
      <c r="C11" s="62">
        <v>52</v>
      </c>
      <c r="D11" s="62" t="s">
        <v>440</v>
      </c>
      <c r="E11" s="62">
        <v>4</v>
      </c>
      <c r="F11" s="62">
        <v>1</v>
      </c>
      <c r="G11" s="63">
        <v>45650.62222222222</v>
      </c>
      <c r="H11" s="63">
        <v>45650.65</v>
      </c>
      <c r="I11" s="64">
        <v>2.7777777781011537E-2</v>
      </c>
      <c r="J11" s="64" t="s">
        <v>437</v>
      </c>
      <c r="K11" s="19" t="s">
        <v>445</v>
      </c>
      <c r="L11" s="65" t="s">
        <v>17</v>
      </c>
      <c r="M11" s="65"/>
    </row>
    <row r="12" spans="1:13" x14ac:dyDescent="0.3">
      <c r="A12" s="62" t="s">
        <v>435</v>
      </c>
      <c r="B12" s="62">
        <v>2025</v>
      </c>
      <c r="C12" s="62">
        <v>53</v>
      </c>
      <c r="D12" s="62" t="s">
        <v>444</v>
      </c>
      <c r="E12" s="62">
        <v>5</v>
      </c>
      <c r="F12" s="62">
        <v>1</v>
      </c>
      <c r="G12" s="63">
        <v>45656.701388888891</v>
      </c>
      <c r="H12" s="63">
        <v>45656.70416666667</v>
      </c>
      <c r="I12" s="64">
        <v>2.7777777795563452E-3</v>
      </c>
      <c r="J12" s="64" t="s">
        <v>437</v>
      </c>
      <c r="K12" s="19" t="s">
        <v>445</v>
      </c>
      <c r="L12" s="65" t="s">
        <v>17</v>
      </c>
      <c r="M12" s="65"/>
    </row>
    <row r="13" spans="1:13" x14ac:dyDescent="0.3">
      <c r="A13" s="62" t="s">
        <v>435</v>
      </c>
      <c r="B13" s="62">
        <v>2025</v>
      </c>
      <c r="C13" s="62">
        <v>53</v>
      </c>
      <c r="D13" s="62" t="s">
        <v>444</v>
      </c>
      <c r="E13" s="62">
        <v>5</v>
      </c>
      <c r="F13" s="62">
        <v>1</v>
      </c>
      <c r="G13" s="63">
        <v>45656.701388888891</v>
      </c>
      <c r="H13" s="63">
        <v>45656.70416666667</v>
      </c>
      <c r="I13" s="64">
        <v>2.7777777795563452E-3</v>
      </c>
      <c r="J13" s="64" t="s">
        <v>437</v>
      </c>
      <c r="K13" s="19" t="s">
        <v>445</v>
      </c>
      <c r="L13" s="65" t="s">
        <v>17</v>
      </c>
      <c r="M13" s="65"/>
    </row>
    <row r="14" spans="1:13" x14ac:dyDescent="0.3">
      <c r="A14" s="57" t="s">
        <v>435</v>
      </c>
      <c r="B14" s="57">
        <v>2025</v>
      </c>
      <c r="C14" s="57">
        <v>53</v>
      </c>
      <c r="D14" s="57" t="s">
        <v>444</v>
      </c>
      <c r="E14" s="57">
        <v>5</v>
      </c>
      <c r="F14" s="57">
        <v>1</v>
      </c>
      <c r="G14" s="58">
        <v>45657.413194444445</v>
      </c>
      <c r="H14" s="58">
        <v>45657.425694444442</v>
      </c>
      <c r="I14" s="59">
        <v>1.2499999997089617E-2</v>
      </c>
      <c r="J14" s="59" t="s">
        <v>437</v>
      </c>
      <c r="K14" s="60" t="s">
        <v>445</v>
      </c>
      <c r="L14" s="61" t="s">
        <v>17</v>
      </c>
      <c r="M14" s="61"/>
    </row>
    <row r="15" spans="1:13" x14ac:dyDescent="0.3">
      <c r="A15" s="62" t="s">
        <v>435</v>
      </c>
      <c r="B15" s="62">
        <v>2025</v>
      </c>
      <c r="C15" s="62">
        <v>53</v>
      </c>
      <c r="D15" s="62" t="s">
        <v>444</v>
      </c>
      <c r="E15" s="62">
        <v>5</v>
      </c>
      <c r="F15" s="62">
        <v>1</v>
      </c>
      <c r="G15" s="63">
        <v>45657.413194444445</v>
      </c>
      <c r="H15" s="63">
        <v>45657.425694444442</v>
      </c>
      <c r="I15" s="64">
        <v>1.2499999997089617E-2</v>
      </c>
      <c r="J15" s="64" t="s">
        <v>437</v>
      </c>
      <c r="K15" s="19" t="s">
        <v>445</v>
      </c>
      <c r="L15" s="65" t="s">
        <v>17</v>
      </c>
      <c r="M15" s="65"/>
    </row>
    <row r="16" spans="1:13" x14ac:dyDescent="0.3">
      <c r="A16" s="62" t="s">
        <v>435</v>
      </c>
      <c r="B16" s="62">
        <v>2025</v>
      </c>
      <c r="C16" s="62">
        <v>53</v>
      </c>
      <c r="D16" s="62" t="s">
        <v>444</v>
      </c>
      <c r="E16" s="62">
        <v>5</v>
      </c>
      <c r="F16" s="62">
        <v>1</v>
      </c>
      <c r="G16" s="63">
        <v>45657.717361111114</v>
      </c>
      <c r="H16" s="63">
        <v>45657.727083333331</v>
      </c>
      <c r="I16" s="64">
        <v>9.7222222175332718E-3</v>
      </c>
      <c r="J16" s="64" t="s">
        <v>437</v>
      </c>
      <c r="K16" s="19" t="s">
        <v>445</v>
      </c>
      <c r="L16" s="65" t="s">
        <v>446</v>
      </c>
      <c r="M16" s="65"/>
    </row>
    <row r="17" spans="1:13" x14ac:dyDescent="0.3">
      <c r="A17" s="62" t="s">
        <v>435</v>
      </c>
      <c r="B17" s="62">
        <v>2025</v>
      </c>
      <c r="C17" s="62">
        <v>53</v>
      </c>
      <c r="D17" s="62" t="s">
        <v>444</v>
      </c>
      <c r="E17" s="62">
        <v>5</v>
      </c>
      <c r="F17" s="62">
        <v>1</v>
      </c>
      <c r="G17" s="63">
        <v>45657.718055555553</v>
      </c>
      <c r="H17" s="63">
        <v>45657.731944444444</v>
      </c>
      <c r="I17" s="64">
        <v>1.3888888890505768E-2</v>
      </c>
      <c r="J17" s="64" t="s">
        <v>437</v>
      </c>
      <c r="K17" s="19" t="s">
        <v>445</v>
      </c>
      <c r="L17" s="65" t="s">
        <v>446</v>
      </c>
      <c r="M17" s="65"/>
    </row>
    <row r="18" spans="1:13" x14ac:dyDescent="0.3">
      <c r="A18" s="62" t="s">
        <v>435</v>
      </c>
      <c r="B18" s="62">
        <v>2025</v>
      </c>
      <c r="C18" s="62">
        <v>49</v>
      </c>
      <c r="D18" s="62" t="s">
        <v>447</v>
      </c>
      <c r="E18" s="62">
        <v>1</v>
      </c>
      <c r="F18" s="62">
        <v>1</v>
      </c>
      <c r="G18" s="63">
        <v>45627.5222222222</v>
      </c>
      <c r="H18" s="63">
        <v>45627.720833333296</v>
      </c>
      <c r="I18" s="70">
        <v>0.19861111109639751</v>
      </c>
      <c r="J18" s="64" t="s">
        <v>437</v>
      </c>
      <c r="K18" s="19" t="s">
        <v>448</v>
      </c>
      <c r="L18" s="65" t="s">
        <v>23</v>
      </c>
      <c r="M18" s="65"/>
    </row>
    <row r="19" spans="1:13" x14ac:dyDescent="0.3">
      <c r="A19" s="62" t="s">
        <v>435</v>
      </c>
      <c r="B19" s="62">
        <v>2025</v>
      </c>
      <c r="C19" s="62">
        <v>49</v>
      </c>
      <c r="D19" s="62" t="s">
        <v>447</v>
      </c>
      <c r="E19" s="62">
        <v>1</v>
      </c>
      <c r="F19" s="62">
        <v>1</v>
      </c>
      <c r="G19" s="63">
        <v>45628.525694444397</v>
      </c>
      <c r="H19" s="63">
        <v>45628.566666666702</v>
      </c>
      <c r="I19" s="64">
        <v>4.0972222304844763E-2</v>
      </c>
      <c r="J19" s="64" t="s">
        <v>437</v>
      </c>
      <c r="K19" s="19" t="s">
        <v>448</v>
      </c>
      <c r="L19" s="65" t="s">
        <v>49</v>
      </c>
      <c r="M19" s="65"/>
    </row>
    <row r="20" spans="1:13" x14ac:dyDescent="0.3">
      <c r="A20" s="62" t="s">
        <v>435</v>
      </c>
      <c r="B20" s="62">
        <v>2025</v>
      </c>
      <c r="C20" s="62">
        <v>49</v>
      </c>
      <c r="D20" s="62" t="s">
        <v>447</v>
      </c>
      <c r="E20" s="62">
        <v>1</v>
      </c>
      <c r="F20" s="62">
        <v>1</v>
      </c>
      <c r="G20" s="63">
        <v>45628.525694444397</v>
      </c>
      <c r="H20" s="63">
        <v>45628.566666666702</v>
      </c>
      <c r="I20" s="64">
        <v>4.0972222304844763E-2</v>
      </c>
      <c r="J20" s="64" t="s">
        <v>437</v>
      </c>
      <c r="K20" s="19" t="s">
        <v>448</v>
      </c>
      <c r="L20" s="65" t="s">
        <v>49</v>
      </c>
      <c r="M20" s="65"/>
    </row>
    <row r="21" spans="1:13" x14ac:dyDescent="0.3">
      <c r="A21" s="62" t="s">
        <v>435</v>
      </c>
      <c r="B21" s="62">
        <v>2025</v>
      </c>
      <c r="C21" s="62">
        <v>49</v>
      </c>
      <c r="D21" s="62" t="s">
        <v>447</v>
      </c>
      <c r="E21" s="62">
        <v>1</v>
      </c>
      <c r="F21" s="62">
        <v>1</v>
      </c>
      <c r="G21" s="63">
        <v>45628.367361111101</v>
      </c>
      <c r="H21" s="63">
        <v>45628.766666666699</v>
      </c>
      <c r="I21" s="64">
        <v>0.39930555559840286</v>
      </c>
      <c r="J21" s="64" t="s">
        <v>437</v>
      </c>
      <c r="K21" s="19" t="s">
        <v>448</v>
      </c>
      <c r="L21" s="65" t="s">
        <v>68</v>
      </c>
      <c r="M21" s="65"/>
    </row>
    <row r="22" spans="1:13" x14ac:dyDescent="0.3">
      <c r="A22" s="57" t="s">
        <v>435</v>
      </c>
      <c r="B22" s="57">
        <v>2025</v>
      </c>
      <c r="C22" s="57">
        <v>49</v>
      </c>
      <c r="D22" s="57" t="s">
        <v>447</v>
      </c>
      <c r="E22" s="57">
        <v>1</v>
      </c>
      <c r="F22" s="57">
        <v>1</v>
      </c>
      <c r="G22" s="58">
        <v>45628.367361111101</v>
      </c>
      <c r="H22" s="58">
        <v>45628.766666666699</v>
      </c>
      <c r="I22" s="59">
        <v>0.39930555559840286</v>
      </c>
      <c r="J22" s="59" t="s">
        <v>437</v>
      </c>
      <c r="K22" s="60" t="s">
        <v>448</v>
      </c>
      <c r="L22" s="61" t="s">
        <v>68</v>
      </c>
      <c r="M22" s="61"/>
    </row>
    <row r="23" spans="1:13" x14ac:dyDescent="0.3">
      <c r="A23" s="62" t="s">
        <v>435</v>
      </c>
      <c r="B23" s="62">
        <v>2025</v>
      </c>
      <c r="C23" s="62">
        <v>49</v>
      </c>
      <c r="D23" s="62" t="s">
        <v>447</v>
      </c>
      <c r="E23" s="62">
        <v>1</v>
      </c>
      <c r="F23" s="62">
        <v>1</v>
      </c>
      <c r="G23" s="63">
        <v>45628.367361111101</v>
      </c>
      <c r="H23" s="63">
        <v>45628.766666666699</v>
      </c>
      <c r="I23" s="64">
        <v>0.39930555559840286</v>
      </c>
      <c r="J23" s="64" t="s">
        <v>437</v>
      </c>
      <c r="K23" s="19" t="s">
        <v>448</v>
      </c>
      <c r="L23" s="65" t="s">
        <v>68</v>
      </c>
      <c r="M23" s="65"/>
    </row>
    <row r="24" spans="1:13" x14ac:dyDescent="0.3">
      <c r="A24" s="62" t="s">
        <v>435</v>
      </c>
      <c r="B24" s="62">
        <v>2025</v>
      </c>
      <c r="C24" s="62">
        <v>49</v>
      </c>
      <c r="D24" s="62" t="s">
        <v>447</v>
      </c>
      <c r="E24" s="62">
        <v>1</v>
      </c>
      <c r="F24" s="62">
        <v>1</v>
      </c>
      <c r="G24" s="63">
        <v>45628.367361111101</v>
      </c>
      <c r="H24" s="63">
        <v>45628.766666666699</v>
      </c>
      <c r="I24" s="64">
        <v>0.39930555559840286</v>
      </c>
      <c r="J24" s="64" t="s">
        <v>437</v>
      </c>
      <c r="K24" s="19" t="s">
        <v>448</v>
      </c>
      <c r="L24" s="65" t="s">
        <v>68</v>
      </c>
      <c r="M24" s="65"/>
    </row>
    <row r="25" spans="1:13" x14ac:dyDescent="0.3">
      <c r="A25" s="62" t="s">
        <v>435</v>
      </c>
      <c r="B25" s="62">
        <v>2025</v>
      </c>
      <c r="C25" s="62">
        <v>49</v>
      </c>
      <c r="D25" s="62" t="s">
        <v>447</v>
      </c>
      <c r="E25" s="62">
        <v>1</v>
      </c>
      <c r="F25" s="62">
        <v>1</v>
      </c>
      <c r="G25" s="63">
        <v>45628.367361111101</v>
      </c>
      <c r="H25" s="63">
        <v>45628.766666666699</v>
      </c>
      <c r="I25" s="64">
        <v>0.39930555559840286</v>
      </c>
      <c r="J25" s="64" t="s">
        <v>437</v>
      </c>
      <c r="K25" s="19" t="s">
        <v>448</v>
      </c>
      <c r="L25" s="65" t="s">
        <v>68</v>
      </c>
      <c r="M25" s="65"/>
    </row>
    <row r="26" spans="1:13" x14ac:dyDescent="0.3">
      <c r="A26" s="62" t="s">
        <v>435</v>
      </c>
      <c r="B26" s="62">
        <v>2025</v>
      </c>
      <c r="C26" s="62">
        <v>50</v>
      </c>
      <c r="D26" s="62" t="s">
        <v>436</v>
      </c>
      <c r="E26" s="62">
        <v>2</v>
      </c>
      <c r="F26" s="62">
        <v>1</v>
      </c>
      <c r="G26" s="63">
        <v>45637.6381944444</v>
      </c>
      <c r="H26" s="63">
        <v>45637.65625</v>
      </c>
      <c r="I26" s="64">
        <v>1.8055555599858053E-2</v>
      </c>
      <c r="J26" s="64" t="s">
        <v>437</v>
      </c>
      <c r="K26" s="19" t="s">
        <v>448</v>
      </c>
      <c r="L26" s="65" t="s">
        <v>17</v>
      </c>
      <c r="M26" s="65"/>
    </row>
    <row r="27" spans="1:13" x14ac:dyDescent="0.3">
      <c r="A27" s="62" t="s">
        <v>435</v>
      </c>
      <c r="B27" s="62">
        <v>2025</v>
      </c>
      <c r="C27" s="62">
        <v>50</v>
      </c>
      <c r="D27" s="62" t="s">
        <v>436</v>
      </c>
      <c r="E27" s="62">
        <v>2</v>
      </c>
      <c r="F27" s="62">
        <v>1</v>
      </c>
      <c r="G27" s="63">
        <v>45639.717361111099</v>
      </c>
      <c r="H27" s="63">
        <v>45639.806250000001</v>
      </c>
      <c r="I27" s="64">
        <v>8.8888888902147301E-2</v>
      </c>
      <c r="J27" s="64" t="s">
        <v>437</v>
      </c>
      <c r="K27" s="19" t="s">
        <v>448</v>
      </c>
      <c r="L27" s="65" t="s">
        <v>14</v>
      </c>
      <c r="M27" s="65"/>
    </row>
    <row r="28" spans="1:13" x14ac:dyDescent="0.3">
      <c r="A28" s="62" t="s">
        <v>435</v>
      </c>
      <c r="B28" s="62">
        <v>2025</v>
      </c>
      <c r="C28" s="62">
        <v>51</v>
      </c>
      <c r="D28" s="62" t="s">
        <v>449</v>
      </c>
      <c r="E28" s="62">
        <v>3</v>
      </c>
      <c r="F28" s="62">
        <v>1</v>
      </c>
      <c r="G28" s="63">
        <v>45642.45</v>
      </c>
      <c r="H28" s="63">
        <v>45642.489583333299</v>
      </c>
      <c r="I28" s="64">
        <v>3.9583333302289248E-2</v>
      </c>
      <c r="J28" s="64" t="s">
        <v>437</v>
      </c>
      <c r="K28" s="19" t="s">
        <v>448</v>
      </c>
      <c r="L28" s="65" t="s">
        <v>17</v>
      </c>
      <c r="M28" s="65"/>
    </row>
    <row r="29" spans="1:13" x14ac:dyDescent="0.3">
      <c r="A29" s="62" t="s">
        <v>435</v>
      </c>
      <c r="B29" s="62">
        <v>2025</v>
      </c>
      <c r="C29" s="62">
        <v>51</v>
      </c>
      <c r="D29" s="62" t="s">
        <v>449</v>
      </c>
      <c r="E29" s="62">
        <v>3</v>
      </c>
      <c r="F29" s="62">
        <v>1</v>
      </c>
      <c r="G29" s="63">
        <v>45642.505555555603</v>
      </c>
      <c r="H29" s="63">
        <v>45642.521527777797</v>
      </c>
      <c r="I29" s="64">
        <v>1.5972222194250207E-2</v>
      </c>
      <c r="J29" s="64" t="s">
        <v>437</v>
      </c>
      <c r="K29" s="19" t="s">
        <v>448</v>
      </c>
      <c r="L29" s="65" t="s">
        <v>17</v>
      </c>
      <c r="M29" s="65"/>
    </row>
    <row r="30" spans="1:13" x14ac:dyDescent="0.3">
      <c r="A30" s="62" t="s">
        <v>435</v>
      </c>
      <c r="B30" s="62">
        <v>2025</v>
      </c>
      <c r="C30" s="62">
        <v>51</v>
      </c>
      <c r="D30" s="62" t="s">
        <v>449</v>
      </c>
      <c r="E30" s="62">
        <v>3</v>
      </c>
      <c r="F30" s="62">
        <v>1</v>
      </c>
      <c r="G30" s="63">
        <v>45642.505555555603</v>
      </c>
      <c r="H30" s="63">
        <v>45642.521527777797</v>
      </c>
      <c r="I30" s="64">
        <v>1.5972222194250207E-2</v>
      </c>
      <c r="J30" s="64" t="s">
        <v>437</v>
      </c>
      <c r="K30" s="19" t="s">
        <v>448</v>
      </c>
      <c r="L30" s="65" t="s">
        <v>17</v>
      </c>
      <c r="M30" s="65"/>
    </row>
    <row r="31" spans="1:13" x14ac:dyDescent="0.3">
      <c r="A31" s="57" t="s">
        <v>435</v>
      </c>
      <c r="B31" s="57">
        <v>2025</v>
      </c>
      <c r="C31" s="57">
        <v>51</v>
      </c>
      <c r="D31" s="57" t="s">
        <v>449</v>
      </c>
      <c r="E31" s="57">
        <v>3</v>
      </c>
      <c r="F31" s="57">
        <v>1</v>
      </c>
      <c r="G31" s="58">
        <v>45642.505555555603</v>
      </c>
      <c r="H31" s="58">
        <v>45642.521527777797</v>
      </c>
      <c r="I31" s="59">
        <v>1.5972222194250207E-2</v>
      </c>
      <c r="J31" s="59" t="s">
        <v>437</v>
      </c>
      <c r="K31" s="60" t="s">
        <v>448</v>
      </c>
      <c r="L31" s="61" t="s">
        <v>17</v>
      </c>
      <c r="M31" s="61"/>
    </row>
    <row r="32" spans="1:13" x14ac:dyDescent="0.3">
      <c r="A32" s="62" t="s">
        <v>435</v>
      </c>
      <c r="B32" s="62">
        <v>2025</v>
      </c>
      <c r="C32" s="62">
        <v>51</v>
      </c>
      <c r="D32" s="62" t="s">
        <v>449</v>
      </c>
      <c r="E32" s="62">
        <v>3</v>
      </c>
      <c r="F32" s="62">
        <v>1</v>
      </c>
      <c r="G32" s="63">
        <v>45642.552777777797</v>
      </c>
      <c r="H32" s="63">
        <v>45642.564583333296</v>
      </c>
      <c r="I32" s="64">
        <v>1.1805555499449838E-2</v>
      </c>
      <c r="J32" s="64" t="s">
        <v>437</v>
      </c>
      <c r="K32" s="19" t="s">
        <v>448</v>
      </c>
      <c r="L32" s="65" t="s">
        <v>14</v>
      </c>
      <c r="M32" s="65"/>
    </row>
    <row r="33" spans="1:13" x14ac:dyDescent="0.3">
      <c r="A33" s="62" t="s">
        <v>435</v>
      </c>
      <c r="B33" s="62">
        <v>2025</v>
      </c>
      <c r="C33" s="62">
        <v>51</v>
      </c>
      <c r="D33" s="62" t="s">
        <v>449</v>
      </c>
      <c r="E33" s="62">
        <v>3</v>
      </c>
      <c r="F33" s="62">
        <v>1</v>
      </c>
      <c r="G33" s="63">
        <v>45642.625</v>
      </c>
      <c r="H33" s="63">
        <v>45642.633333333302</v>
      </c>
      <c r="I33" s="64">
        <v>8.3333333022892475E-3</v>
      </c>
      <c r="J33" s="64" t="s">
        <v>437</v>
      </c>
      <c r="K33" s="19" t="s">
        <v>448</v>
      </c>
      <c r="L33" s="65" t="s">
        <v>17</v>
      </c>
      <c r="M33" s="65"/>
    </row>
    <row r="34" spans="1:13" x14ac:dyDescent="0.3">
      <c r="A34" s="62" t="s">
        <v>435</v>
      </c>
      <c r="B34" s="62">
        <v>2025</v>
      </c>
      <c r="C34" s="62">
        <v>51</v>
      </c>
      <c r="D34" s="62" t="s">
        <v>449</v>
      </c>
      <c r="E34" s="62">
        <v>3</v>
      </c>
      <c r="F34" s="62">
        <v>1</v>
      </c>
      <c r="G34" s="63">
        <v>45642.668749999997</v>
      </c>
      <c r="H34" s="63">
        <v>45642.690277777801</v>
      </c>
      <c r="I34" s="64">
        <v>2.1527777804294601E-2</v>
      </c>
      <c r="J34" s="64" t="s">
        <v>437</v>
      </c>
      <c r="K34" s="19" t="s">
        <v>448</v>
      </c>
      <c r="L34" s="65" t="s">
        <v>23</v>
      </c>
      <c r="M34" s="65"/>
    </row>
    <row r="35" spans="1:13" x14ac:dyDescent="0.3">
      <c r="A35" s="62" t="s">
        <v>435</v>
      </c>
      <c r="B35" s="62">
        <v>2025</v>
      </c>
      <c r="C35" s="62">
        <v>51</v>
      </c>
      <c r="D35" s="62" t="s">
        <v>449</v>
      </c>
      <c r="E35" s="62">
        <v>3</v>
      </c>
      <c r="F35" s="62">
        <v>1</v>
      </c>
      <c r="G35" s="63">
        <v>45643.443749999999</v>
      </c>
      <c r="H35" s="63">
        <v>45643.45208333333</v>
      </c>
      <c r="I35" s="64">
        <v>8.333333331393078E-3</v>
      </c>
      <c r="J35" s="64" t="s">
        <v>437</v>
      </c>
      <c r="K35" s="19" t="s">
        <v>448</v>
      </c>
      <c r="L35" s="65" t="s">
        <v>26</v>
      </c>
      <c r="M35" s="65"/>
    </row>
    <row r="36" spans="1:13" x14ac:dyDescent="0.3">
      <c r="A36" s="62" t="s">
        <v>435</v>
      </c>
      <c r="B36" s="62">
        <v>2025</v>
      </c>
      <c r="C36" s="62">
        <v>51</v>
      </c>
      <c r="D36" s="62" t="s">
        <v>449</v>
      </c>
      <c r="E36" s="62">
        <v>3</v>
      </c>
      <c r="F36" s="62">
        <v>1</v>
      </c>
      <c r="G36" s="63">
        <v>45643.443749999999</v>
      </c>
      <c r="H36" s="63">
        <v>45643.45208333333</v>
      </c>
      <c r="I36" s="64">
        <v>8.333333331393078E-3</v>
      </c>
      <c r="J36" s="64" t="s">
        <v>437</v>
      </c>
      <c r="K36" s="19" t="s">
        <v>448</v>
      </c>
      <c r="L36" s="65" t="s">
        <v>26</v>
      </c>
      <c r="M36" s="65"/>
    </row>
    <row r="37" spans="1:13" x14ac:dyDescent="0.3">
      <c r="A37" s="62" t="s">
        <v>435</v>
      </c>
      <c r="B37" s="62">
        <v>2025</v>
      </c>
      <c r="C37" s="62">
        <v>51</v>
      </c>
      <c r="D37" s="62" t="s">
        <v>449</v>
      </c>
      <c r="E37" s="62">
        <v>3</v>
      </c>
      <c r="F37" s="62">
        <v>1</v>
      </c>
      <c r="G37" s="63">
        <v>45643.452777777777</v>
      </c>
      <c r="H37" s="63">
        <v>45643.456944444442</v>
      </c>
      <c r="I37" s="64">
        <v>4.166666665696539E-3</v>
      </c>
      <c r="J37" s="64" t="s">
        <v>437</v>
      </c>
      <c r="K37" s="19" t="s">
        <v>448</v>
      </c>
      <c r="L37" s="65" t="s">
        <v>26</v>
      </c>
      <c r="M37" s="65"/>
    </row>
    <row r="38" spans="1:13" x14ac:dyDescent="0.3">
      <c r="A38" s="62" t="s">
        <v>435</v>
      </c>
      <c r="B38" s="62">
        <v>2025</v>
      </c>
      <c r="C38" s="62">
        <v>51</v>
      </c>
      <c r="D38" s="62" t="s">
        <v>449</v>
      </c>
      <c r="E38" s="62">
        <v>3</v>
      </c>
      <c r="F38" s="62">
        <v>1</v>
      </c>
      <c r="G38" s="63">
        <v>45643.472222222219</v>
      </c>
      <c r="H38" s="63">
        <v>45643.494444444441</v>
      </c>
      <c r="I38" s="64">
        <v>2.2222222221898846E-2</v>
      </c>
      <c r="J38" s="64" t="s">
        <v>437</v>
      </c>
      <c r="K38" s="19" t="s">
        <v>448</v>
      </c>
      <c r="L38" s="65" t="s">
        <v>17</v>
      </c>
      <c r="M38" s="65"/>
    </row>
    <row r="39" spans="1:13" x14ac:dyDescent="0.3">
      <c r="A39" s="62" t="s">
        <v>435</v>
      </c>
      <c r="B39" s="62">
        <v>2025</v>
      </c>
      <c r="C39" s="62">
        <v>51</v>
      </c>
      <c r="D39" s="62" t="s">
        <v>449</v>
      </c>
      <c r="E39" s="62">
        <v>3</v>
      </c>
      <c r="F39" s="62">
        <v>1</v>
      </c>
      <c r="G39" s="63">
        <v>45643.472222222219</v>
      </c>
      <c r="H39" s="63">
        <v>45643.494444444441</v>
      </c>
      <c r="I39" s="64">
        <v>2.2222222221898846E-2</v>
      </c>
      <c r="J39" s="64" t="s">
        <v>437</v>
      </c>
      <c r="K39" s="19" t="s">
        <v>448</v>
      </c>
      <c r="L39" s="65" t="s">
        <v>17</v>
      </c>
      <c r="M39" s="65"/>
    </row>
    <row r="40" spans="1:13" x14ac:dyDescent="0.3">
      <c r="A40" s="62" t="s">
        <v>435</v>
      </c>
      <c r="B40" s="62">
        <v>2025</v>
      </c>
      <c r="C40" s="62">
        <v>51</v>
      </c>
      <c r="D40" s="62" t="s">
        <v>449</v>
      </c>
      <c r="E40" s="62">
        <v>3</v>
      </c>
      <c r="F40" s="62">
        <v>1</v>
      </c>
      <c r="G40" s="63">
        <v>45644.4375</v>
      </c>
      <c r="H40" s="63">
        <v>45644.473611111112</v>
      </c>
      <c r="I40" s="64">
        <v>3.6111111112404615E-2</v>
      </c>
      <c r="J40" s="64" t="s">
        <v>437</v>
      </c>
      <c r="K40" s="19" t="s">
        <v>448</v>
      </c>
      <c r="L40" s="65" t="s">
        <v>17</v>
      </c>
      <c r="M40" s="65"/>
    </row>
    <row r="41" spans="1:13" x14ac:dyDescent="0.3">
      <c r="A41" s="62" t="s">
        <v>435</v>
      </c>
      <c r="B41" s="62">
        <v>2025</v>
      </c>
      <c r="C41" s="62">
        <v>51</v>
      </c>
      <c r="D41" s="62" t="s">
        <v>449</v>
      </c>
      <c r="E41" s="62">
        <v>3</v>
      </c>
      <c r="F41" s="62">
        <v>1</v>
      </c>
      <c r="G41" s="63">
        <v>45644.4375</v>
      </c>
      <c r="H41" s="63">
        <v>45644.473611111112</v>
      </c>
      <c r="I41" s="64">
        <v>3.6111111112404615E-2</v>
      </c>
      <c r="J41" s="64" t="s">
        <v>437</v>
      </c>
      <c r="K41" s="19" t="s">
        <v>448</v>
      </c>
      <c r="L41" s="65" t="s">
        <v>17</v>
      </c>
      <c r="M41" s="65"/>
    </row>
    <row r="42" spans="1:13" x14ac:dyDescent="0.3">
      <c r="A42" s="62" t="s">
        <v>435</v>
      </c>
      <c r="B42" s="62">
        <v>2025</v>
      </c>
      <c r="C42" s="62">
        <v>51</v>
      </c>
      <c r="D42" s="62" t="s">
        <v>449</v>
      </c>
      <c r="E42" s="62">
        <v>3</v>
      </c>
      <c r="F42" s="62">
        <v>1</v>
      </c>
      <c r="G42" s="63">
        <v>45644.497916666667</v>
      </c>
      <c r="H42" s="63">
        <v>45644.50277777778</v>
      </c>
      <c r="I42" s="64">
        <v>4.8611111124046147E-3</v>
      </c>
      <c r="J42" s="64" t="s">
        <v>437</v>
      </c>
      <c r="K42" s="19" t="s">
        <v>448</v>
      </c>
      <c r="L42" s="65" t="s">
        <v>51</v>
      </c>
      <c r="M42" s="65"/>
    </row>
    <row r="43" spans="1:13" x14ac:dyDescent="0.3">
      <c r="A43" s="62" t="s">
        <v>435</v>
      </c>
      <c r="B43" s="62">
        <v>2025</v>
      </c>
      <c r="C43" s="62">
        <v>51</v>
      </c>
      <c r="D43" s="62" t="s">
        <v>449</v>
      </c>
      <c r="E43" s="62">
        <v>3</v>
      </c>
      <c r="F43" s="62">
        <v>1</v>
      </c>
      <c r="G43" s="63">
        <v>45645.597222222219</v>
      </c>
      <c r="H43" s="63">
        <v>45645.630555555559</v>
      </c>
      <c r="I43" s="64">
        <v>3.3333333340124227E-2</v>
      </c>
      <c r="J43" s="64" t="s">
        <v>437</v>
      </c>
      <c r="K43" s="19" t="s">
        <v>448</v>
      </c>
      <c r="L43" s="65" t="s">
        <v>14</v>
      </c>
      <c r="M43" s="65"/>
    </row>
    <row r="44" spans="1:13" x14ac:dyDescent="0.3">
      <c r="A44" s="62" t="s">
        <v>435</v>
      </c>
      <c r="B44" s="62">
        <v>2025</v>
      </c>
      <c r="C44" s="62">
        <v>51</v>
      </c>
      <c r="D44" s="62" t="s">
        <v>449</v>
      </c>
      <c r="E44" s="62">
        <v>3</v>
      </c>
      <c r="F44" s="62">
        <v>1</v>
      </c>
      <c r="G44" s="63">
        <v>45645.740277777775</v>
      </c>
      <c r="H44" s="63">
        <v>45645.748611111114</v>
      </c>
      <c r="I44" s="64">
        <v>8.3333333386690356E-3</v>
      </c>
      <c r="J44" s="64" t="s">
        <v>437</v>
      </c>
      <c r="K44" s="19" t="s">
        <v>448</v>
      </c>
      <c r="L44" s="65" t="s">
        <v>26</v>
      </c>
      <c r="M44" s="65"/>
    </row>
    <row r="45" spans="1:13" x14ac:dyDescent="0.3">
      <c r="A45" s="62" t="s">
        <v>435</v>
      </c>
      <c r="B45" s="62">
        <v>2025</v>
      </c>
      <c r="C45" s="62">
        <v>51</v>
      </c>
      <c r="D45" s="62" t="s">
        <v>449</v>
      </c>
      <c r="E45" s="62">
        <v>3</v>
      </c>
      <c r="F45" s="62">
        <v>1</v>
      </c>
      <c r="G45" s="63">
        <v>45646.479861111111</v>
      </c>
      <c r="H45" s="63">
        <v>45646.508333333331</v>
      </c>
      <c r="I45" s="64">
        <v>2.8472222220443655E-2</v>
      </c>
      <c r="J45" s="64" t="s">
        <v>437</v>
      </c>
      <c r="K45" s="19" t="s">
        <v>448</v>
      </c>
      <c r="L45" s="65" t="s">
        <v>17</v>
      </c>
      <c r="M45" s="65"/>
    </row>
    <row r="46" spans="1:13" x14ac:dyDescent="0.3">
      <c r="A46" s="62" t="s">
        <v>435</v>
      </c>
      <c r="B46" s="62">
        <v>2025</v>
      </c>
      <c r="C46" s="62">
        <v>51</v>
      </c>
      <c r="D46" s="62" t="s">
        <v>449</v>
      </c>
      <c r="E46" s="62">
        <v>3</v>
      </c>
      <c r="F46" s="62">
        <v>1</v>
      </c>
      <c r="G46" s="63">
        <v>45646.64166666667</v>
      </c>
      <c r="H46" s="63">
        <v>45646.680555555555</v>
      </c>
      <c r="I46" s="64">
        <v>3.8888888884685002E-2</v>
      </c>
      <c r="J46" s="64" t="s">
        <v>437</v>
      </c>
      <c r="K46" s="19" t="s">
        <v>448</v>
      </c>
      <c r="L46" s="65" t="s">
        <v>17</v>
      </c>
      <c r="M46" s="65"/>
    </row>
    <row r="47" spans="1:13" x14ac:dyDescent="0.3">
      <c r="A47" s="62" t="s">
        <v>435</v>
      </c>
      <c r="B47" s="62">
        <v>2025</v>
      </c>
      <c r="C47" s="62">
        <v>51</v>
      </c>
      <c r="D47" s="62" t="s">
        <v>449</v>
      </c>
      <c r="E47" s="62">
        <v>3</v>
      </c>
      <c r="F47" s="62">
        <v>1</v>
      </c>
      <c r="G47" s="63">
        <v>45646.643750000003</v>
      </c>
      <c r="H47" s="63">
        <v>45646.684027777781</v>
      </c>
      <c r="I47" s="64">
        <v>4.0277777778101154E-2</v>
      </c>
      <c r="J47" s="64" t="s">
        <v>437</v>
      </c>
      <c r="K47" s="19" t="s">
        <v>448</v>
      </c>
      <c r="L47" s="65" t="s">
        <v>17</v>
      </c>
      <c r="M47" s="65"/>
    </row>
    <row r="48" spans="1:13" x14ac:dyDescent="0.3">
      <c r="A48" s="62" t="s">
        <v>435</v>
      </c>
      <c r="B48" s="62">
        <v>2025</v>
      </c>
      <c r="C48" s="62">
        <v>51</v>
      </c>
      <c r="D48" s="62" t="s">
        <v>449</v>
      </c>
      <c r="E48" s="62">
        <v>3</v>
      </c>
      <c r="F48" s="62">
        <v>1</v>
      </c>
      <c r="G48" s="63">
        <v>45647.587500000001</v>
      </c>
      <c r="H48" s="63">
        <v>45647.844444444447</v>
      </c>
      <c r="I48" s="71">
        <v>0.25694444444525288</v>
      </c>
      <c r="J48" s="64" t="s">
        <v>437</v>
      </c>
      <c r="K48" s="19" t="s">
        <v>448</v>
      </c>
      <c r="L48" s="65" t="s">
        <v>19</v>
      </c>
      <c r="M48" s="65"/>
    </row>
    <row r="49" spans="1:13" x14ac:dyDescent="0.3">
      <c r="A49" s="62" t="s">
        <v>435</v>
      </c>
      <c r="B49" s="62">
        <v>2025</v>
      </c>
      <c r="C49" s="62">
        <v>52</v>
      </c>
      <c r="D49" s="62" t="s">
        <v>440</v>
      </c>
      <c r="E49" s="62">
        <v>4</v>
      </c>
      <c r="F49" s="62">
        <v>1</v>
      </c>
      <c r="G49" s="63">
        <v>45648.423611111109</v>
      </c>
      <c r="H49" s="63">
        <v>45648.504861111112</v>
      </c>
      <c r="I49" s="71">
        <v>8.1250000002910383E-2</v>
      </c>
      <c r="J49" s="64" t="s">
        <v>437</v>
      </c>
      <c r="K49" s="19" t="s">
        <v>448</v>
      </c>
      <c r="L49" s="65" t="s">
        <v>51</v>
      </c>
      <c r="M49" s="65"/>
    </row>
    <row r="50" spans="1:13" x14ac:dyDescent="0.3">
      <c r="A50" s="62" t="s">
        <v>435</v>
      </c>
      <c r="B50" s="62">
        <v>2025</v>
      </c>
      <c r="C50" s="62">
        <v>52</v>
      </c>
      <c r="D50" s="62" t="s">
        <v>440</v>
      </c>
      <c r="E50" s="62">
        <v>4</v>
      </c>
      <c r="F50" s="62">
        <v>1</v>
      </c>
      <c r="G50" s="63">
        <v>45650.504166666666</v>
      </c>
      <c r="H50" s="63">
        <v>45650.538888888892</v>
      </c>
      <c r="I50" s="71">
        <v>3.4722222226264421E-2</v>
      </c>
      <c r="J50" s="64" t="s">
        <v>437</v>
      </c>
      <c r="K50" s="19" t="s">
        <v>448</v>
      </c>
      <c r="L50" s="65" t="s">
        <v>14</v>
      </c>
      <c r="M50" s="65"/>
    </row>
    <row r="51" spans="1:13" x14ac:dyDescent="0.3">
      <c r="A51" s="62" t="s">
        <v>435</v>
      </c>
      <c r="B51" s="62">
        <v>2025</v>
      </c>
      <c r="C51" s="62">
        <v>53</v>
      </c>
      <c r="D51" s="62" t="s">
        <v>444</v>
      </c>
      <c r="E51" s="62">
        <v>5</v>
      </c>
      <c r="F51" s="62">
        <v>1</v>
      </c>
      <c r="G51" s="63">
        <v>45656.410416666666</v>
      </c>
      <c r="H51" s="63">
        <v>45656.416666666664</v>
      </c>
      <c r="I51" s="64">
        <v>6.2499999985448085E-3</v>
      </c>
      <c r="J51" s="64" t="s">
        <v>437</v>
      </c>
      <c r="K51" s="19" t="s">
        <v>448</v>
      </c>
      <c r="L51" s="72" t="s">
        <v>17</v>
      </c>
      <c r="M51" s="65"/>
    </row>
    <row r="52" spans="1:13" x14ac:dyDescent="0.3">
      <c r="A52" s="62" t="s">
        <v>435</v>
      </c>
      <c r="B52" s="62">
        <v>2025</v>
      </c>
      <c r="C52" s="62">
        <v>53</v>
      </c>
      <c r="D52" s="62" t="s">
        <v>444</v>
      </c>
      <c r="E52" s="62">
        <v>5</v>
      </c>
      <c r="F52" s="62">
        <v>1</v>
      </c>
      <c r="G52" s="63">
        <v>45656.63958333333</v>
      </c>
      <c r="H52" s="63">
        <v>45656.642361111109</v>
      </c>
      <c r="I52" s="64">
        <v>2.7777777795563452E-3</v>
      </c>
      <c r="J52" s="64" t="s">
        <v>437</v>
      </c>
      <c r="K52" s="19" t="s">
        <v>448</v>
      </c>
      <c r="L52" s="72" t="s">
        <v>17</v>
      </c>
      <c r="M52" s="65"/>
    </row>
    <row r="53" spans="1:13" x14ac:dyDescent="0.3">
      <c r="A53" s="62" t="s">
        <v>435</v>
      </c>
      <c r="B53" s="62">
        <v>2025</v>
      </c>
      <c r="C53" s="62">
        <v>53</v>
      </c>
      <c r="D53" s="62" t="s">
        <v>444</v>
      </c>
      <c r="E53" s="62">
        <v>5</v>
      </c>
      <c r="F53" s="62">
        <v>1</v>
      </c>
      <c r="G53" s="63">
        <v>45657.387499999997</v>
      </c>
      <c r="H53" s="63">
        <v>45657.413194444445</v>
      </c>
      <c r="I53" s="64">
        <v>2.5694444448163267E-2</v>
      </c>
      <c r="J53" s="64" t="s">
        <v>437</v>
      </c>
      <c r="K53" s="19" t="s">
        <v>448</v>
      </c>
      <c r="L53" s="65" t="s">
        <v>14</v>
      </c>
      <c r="M53" s="65"/>
    </row>
    <row r="54" spans="1:13" x14ac:dyDescent="0.3">
      <c r="A54" s="62" t="s">
        <v>435</v>
      </c>
      <c r="B54" s="62">
        <v>2025</v>
      </c>
      <c r="C54" s="62">
        <v>53</v>
      </c>
      <c r="D54" s="62" t="s">
        <v>444</v>
      </c>
      <c r="E54" s="62">
        <v>5</v>
      </c>
      <c r="F54" s="62">
        <v>1</v>
      </c>
      <c r="G54" s="63">
        <v>45657.430555555555</v>
      </c>
      <c r="H54" s="63">
        <v>45657.448611111111</v>
      </c>
      <c r="I54" s="64">
        <v>1.8055555556202307E-2</v>
      </c>
      <c r="J54" s="64" t="s">
        <v>437</v>
      </c>
      <c r="K54" s="19" t="s">
        <v>448</v>
      </c>
      <c r="L54" s="72" t="s">
        <v>17</v>
      </c>
      <c r="M54" s="65"/>
    </row>
    <row r="55" spans="1:13" x14ac:dyDescent="0.3">
      <c r="A55" s="62" t="s">
        <v>435</v>
      </c>
      <c r="B55" s="62">
        <v>2025</v>
      </c>
      <c r="C55" s="62">
        <v>53</v>
      </c>
      <c r="D55" s="62" t="s">
        <v>444</v>
      </c>
      <c r="E55" s="62">
        <v>5</v>
      </c>
      <c r="F55" s="62">
        <v>1</v>
      </c>
      <c r="G55" s="63">
        <v>45657.621527777781</v>
      </c>
      <c r="H55" s="63">
        <v>45657.65625</v>
      </c>
      <c r="I55" s="64">
        <v>3.4722222218988463E-2</v>
      </c>
      <c r="J55" s="64" t="s">
        <v>437</v>
      </c>
      <c r="K55" s="19" t="s">
        <v>448</v>
      </c>
      <c r="L55" s="72" t="s">
        <v>17</v>
      </c>
      <c r="M55" s="65"/>
    </row>
    <row r="56" spans="1:13" x14ac:dyDescent="0.3">
      <c r="A56" s="62" t="s">
        <v>435</v>
      </c>
      <c r="B56" s="62">
        <v>2025</v>
      </c>
      <c r="C56" s="62">
        <v>53</v>
      </c>
      <c r="D56" s="62" t="s">
        <v>444</v>
      </c>
      <c r="E56" s="62">
        <v>5</v>
      </c>
      <c r="F56" s="62">
        <v>1</v>
      </c>
      <c r="G56" s="63">
        <v>45657.665972222225</v>
      </c>
      <c r="H56" s="63">
        <v>45657.685416666667</v>
      </c>
      <c r="I56" s="64">
        <v>1.9444444442342501E-2</v>
      </c>
      <c r="J56" s="64" t="s">
        <v>437</v>
      </c>
      <c r="K56" s="19" t="s">
        <v>448</v>
      </c>
      <c r="L56" s="72" t="s">
        <v>17</v>
      </c>
      <c r="M56" s="65"/>
    </row>
    <row r="57" spans="1:13" x14ac:dyDescent="0.3">
      <c r="A57" s="62" t="s">
        <v>435</v>
      </c>
      <c r="B57" s="62">
        <v>2025</v>
      </c>
      <c r="C57" s="62">
        <v>53</v>
      </c>
      <c r="D57" s="62" t="s">
        <v>444</v>
      </c>
      <c r="E57" s="62">
        <v>5</v>
      </c>
      <c r="F57" s="62">
        <v>1</v>
      </c>
      <c r="G57" s="63">
        <v>45657.743055555555</v>
      </c>
      <c r="H57" s="63">
        <v>45657.76458333333</v>
      </c>
      <c r="I57" s="64">
        <v>2.1527777775190771E-2</v>
      </c>
      <c r="J57" s="64" t="s">
        <v>437</v>
      </c>
      <c r="K57" s="19" t="s">
        <v>448</v>
      </c>
      <c r="L57" s="72" t="s">
        <v>17</v>
      </c>
      <c r="M57" s="65"/>
    </row>
    <row r="58" spans="1:13" x14ac:dyDescent="0.3">
      <c r="A58" s="62" t="s">
        <v>435</v>
      </c>
      <c r="B58" s="62">
        <v>2025</v>
      </c>
      <c r="C58" s="62">
        <v>49</v>
      </c>
      <c r="D58" s="62" t="s">
        <v>447</v>
      </c>
      <c r="E58" s="62">
        <v>1</v>
      </c>
      <c r="F58" s="62">
        <v>1</v>
      </c>
      <c r="G58" s="63">
        <v>45627.718055555597</v>
      </c>
      <c r="H58" s="63">
        <v>45627.846527777801</v>
      </c>
      <c r="I58" s="64">
        <v>0.12847222220443655</v>
      </c>
      <c r="J58" s="64" t="s">
        <v>437</v>
      </c>
      <c r="K58" s="19" t="s">
        <v>450</v>
      </c>
      <c r="L58" s="72" t="s">
        <v>68</v>
      </c>
      <c r="M58" s="72" t="s">
        <v>17</v>
      </c>
    </row>
    <row r="59" spans="1:13" x14ac:dyDescent="0.3">
      <c r="A59" s="62" t="s">
        <v>435</v>
      </c>
      <c r="B59" s="62">
        <v>2025</v>
      </c>
      <c r="C59" s="62">
        <v>49</v>
      </c>
      <c r="D59" s="62" t="s">
        <v>447</v>
      </c>
      <c r="E59" s="62">
        <v>1</v>
      </c>
      <c r="F59" s="62">
        <v>1</v>
      </c>
      <c r="G59" s="63">
        <v>45633.634722222203</v>
      </c>
      <c r="H59" s="63">
        <v>45633.660416666702</v>
      </c>
      <c r="I59" s="64">
        <v>2.5694444499094971E-2</v>
      </c>
      <c r="J59" s="64" t="s">
        <v>437</v>
      </c>
      <c r="K59" s="19" t="s">
        <v>450</v>
      </c>
      <c r="L59" s="72" t="s">
        <v>23</v>
      </c>
      <c r="M59" s="72" t="s">
        <v>286</v>
      </c>
    </row>
    <row r="60" spans="1:13" x14ac:dyDescent="0.3">
      <c r="A60" s="62" t="s">
        <v>435</v>
      </c>
      <c r="B60" s="62">
        <v>2025</v>
      </c>
      <c r="C60" s="62">
        <v>49</v>
      </c>
      <c r="D60" s="62" t="s">
        <v>447</v>
      </c>
      <c r="E60" s="62">
        <v>1</v>
      </c>
      <c r="F60" s="62">
        <v>1</v>
      </c>
      <c r="G60" s="63">
        <v>45633.634722222203</v>
      </c>
      <c r="H60" s="63">
        <v>45633.661111111098</v>
      </c>
      <c r="I60" s="64">
        <v>2.6388888894871343E-2</v>
      </c>
      <c r="J60" s="64" t="s">
        <v>437</v>
      </c>
      <c r="K60" s="19" t="s">
        <v>450</v>
      </c>
      <c r="L60" s="72" t="s">
        <v>23</v>
      </c>
      <c r="M60" s="72" t="s">
        <v>284</v>
      </c>
    </row>
    <row r="61" spans="1:13" x14ac:dyDescent="0.3">
      <c r="A61" s="62" t="s">
        <v>435</v>
      </c>
      <c r="B61" s="62">
        <v>2025</v>
      </c>
      <c r="C61" s="62">
        <v>50</v>
      </c>
      <c r="D61" s="62" t="s">
        <v>436</v>
      </c>
      <c r="E61" s="62">
        <v>2</v>
      </c>
      <c r="F61" s="62">
        <v>1</v>
      </c>
      <c r="G61" s="63">
        <v>45634.344444444403</v>
      </c>
      <c r="H61" s="63">
        <v>45634.404861111099</v>
      </c>
      <c r="I61" s="64">
        <v>6.0416666696255561E-2</v>
      </c>
      <c r="J61" s="64" t="s">
        <v>437</v>
      </c>
      <c r="K61" s="19" t="s">
        <v>450</v>
      </c>
      <c r="L61" s="72" t="s">
        <v>26</v>
      </c>
      <c r="M61" s="72" t="s">
        <v>286</v>
      </c>
    </row>
    <row r="62" spans="1:13" x14ac:dyDescent="0.3">
      <c r="A62" s="62" t="s">
        <v>435</v>
      </c>
      <c r="B62" s="62">
        <v>2025</v>
      </c>
      <c r="C62" s="62">
        <v>50</v>
      </c>
      <c r="D62" s="62" t="s">
        <v>436</v>
      </c>
      <c r="E62" s="62">
        <v>2</v>
      </c>
      <c r="F62" s="62">
        <v>1</v>
      </c>
      <c r="G62" s="63">
        <v>45637.559027777803</v>
      </c>
      <c r="H62" s="63">
        <v>45637.609027777798</v>
      </c>
      <c r="I62" s="64">
        <v>4.9999999995634425E-2</v>
      </c>
      <c r="J62" s="64" t="s">
        <v>437</v>
      </c>
      <c r="K62" s="19" t="s">
        <v>450</v>
      </c>
      <c r="L62" s="72" t="s">
        <v>26</v>
      </c>
      <c r="M62" s="72" t="s">
        <v>286</v>
      </c>
    </row>
    <row r="63" spans="1:13" x14ac:dyDescent="0.3">
      <c r="A63" s="62" t="s">
        <v>435</v>
      </c>
      <c r="B63" s="62">
        <v>2025</v>
      </c>
      <c r="C63" s="62">
        <v>50</v>
      </c>
      <c r="D63" s="62" t="s">
        <v>436</v>
      </c>
      <c r="E63" s="62">
        <v>2</v>
      </c>
      <c r="F63" s="62">
        <v>1</v>
      </c>
      <c r="G63" s="63">
        <v>45637.559027777803</v>
      </c>
      <c r="H63" s="63">
        <v>45637.610416666699</v>
      </c>
      <c r="I63" s="64">
        <v>5.1388888896326534E-2</v>
      </c>
      <c r="J63" s="64" t="s">
        <v>437</v>
      </c>
      <c r="K63" s="19" t="s">
        <v>450</v>
      </c>
      <c r="L63" s="72" t="s">
        <v>26</v>
      </c>
      <c r="M63" s="72" t="s">
        <v>284</v>
      </c>
    </row>
    <row r="64" spans="1:13" x14ac:dyDescent="0.3">
      <c r="A64" s="62" t="s">
        <v>435</v>
      </c>
      <c r="B64" s="62">
        <v>2025</v>
      </c>
      <c r="C64" s="62">
        <v>50</v>
      </c>
      <c r="D64" s="62" t="s">
        <v>436</v>
      </c>
      <c r="E64" s="62">
        <v>2</v>
      </c>
      <c r="F64" s="62">
        <v>1</v>
      </c>
      <c r="G64" s="63">
        <v>45637.643750000003</v>
      </c>
      <c r="H64" s="63">
        <v>45637.715972222199</v>
      </c>
      <c r="I64" s="64">
        <v>7.2222222195705399E-2</v>
      </c>
      <c r="J64" s="64" t="s">
        <v>437</v>
      </c>
      <c r="K64" s="19" t="s">
        <v>450</v>
      </c>
      <c r="L64" s="72" t="s">
        <v>451</v>
      </c>
      <c r="M64" s="72" t="s">
        <v>286</v>
      </c>
    </row>
    <row r="65" spans="1:13" x14ac:dyDescent="0.3">
      <c r="A65" s="62" t="s">
        <v>435</v>
      </c>
      <c r="B65" s="62">
        <v>2025</v>
      </c>
      <c r="C65" s="62">
        <v>50</v>
      </c>
      <c r="D65" s="62" t="s">
        <v>436</v>
      </c>
      <c r="E65" s="62">
        <v>2</v>
      </c>
      <c r="F65" s="62">
        <v>1</v>
      </c>
      <c r="G65" s="63">
        <v>45637.643750000003</v>
      </c>
      <c r="H65" s="63">
        <v>45637.717361111099</v>
      </c>
      <c r="I65" s="64">
        <v>7.3611111096397508E-2</v>
      </c>
      <c r="J65" s="64" t="s">
        <v>437</v>
      </c>
      <c r="K65" s="19" t="s">
        <v>450</v>
      </c>
      <c r="L65" s="72" t="s">
        <v>451</v>
      </c>
      <c r="M65" s="72" t="s">
        <v>284</v>
      </c>
    </row>
    <row r="66" spans="1:13" x14ac:dyDescent="0.3">
      <c r="A66" s="62" t="s">
        <v>435</v>
      </c>
      <c r="B66" s="62">
        <v>2025</v>
      </c>
      <c r="C66" s="62">
        <v>50</v>
      </c>
      <c r="D66" s="62" t="s">
        <v>436</v>
      </c>
      <c r="E66" s="62">
        <v>2</v>
      </c>
      <c r="F66" s="62">
        <v>1</v>
      </c>
      <c r="G66" s="63">
        <v>45638.454861111102</v>
      </c>
      <c r="H66" s="63">
        <v>45638.521527777797</v>
      </c>
      <c r="I66" s="64">
        <v>6.6666666694800369E-2</v>
      </c>
      <c r="J66" s="64" t="s">
        <v>437</v>
      </c>
      <c r="K66" s="19" t="s">
        <v>450</v>
      </c>
      <c r="L66" s="72" t="s">
        <v>51</v>
      </c>
      <c r="M66" s="72" t="s">
        <v>286</v>
      </c>
    </row>
    <row r="67" spans="1:13" x14ac:dyDescent="0.3">
      <c r="A67" s="62" t="s">
        <v>435</v>
      </c>
      <c r="B67" s="62">
        <v>2025</v>
      </c>
      <c r="C67" s="62">
        <v>50</v>
      </c>
      <c r="D67" s="62" t="s">
        <v>436</v>
      </c>
      <c r="E67" s="62">
        <v>2</v>
      </c>
      <c r="F67" s="62">
        <v>1</v>
      </c>
      <c r="G67" s="63">
        <v>45638.527777777803</v>
      </c>
      <c r="H67" s="63">
        <v>45638.5493055556</v>
      </c>
      <c r="I67" s="64">
        <v>2.1527777797018643E-2</v>
      </c>
      <c r="J67" s="64" t="s">
        <v>437</v>
      </c>
      <c r="K67" s="19" t="s">
        <v>450</v>
      </c>
      <c r="L67" s="72" t="s">
        <v>14</v>
      </c>
      <c r="M67" s="72" t="s">
        <v>284</v>
      </c>
    </row>
    <row r="68" spans="1:13" x14ac:dyDescent="0.3">
      <c r="A68" s="62" t="s">
        <v>435</v>
      </c>
      <c r="B68" s="62">
        <v>2025</v>
      </c>
      <c r="C68" s="62">
        <v>50</v>
      </c>
      <c r="D68" s="62" t="s">
        <v>436</v>
      </c>
      <c r="E68" s="62">
        <v>2</v>
      </c>
      <c r="F68" s="62">
        <v>1</v>
      </c>
      <c r="G68" s="63">
        <v>45638.628472222197</v>
      </c>
      <c r="H68" s="63">
        <v>45638.684722222199</v>
      </c>
      <c r="I68" s="64">
        <v>5.6250000001455192E-2</v>
      </c>
      <c r="J68" s="64" t="s">
        <v>437</v>
      </c>
      <c r="K68" s="19" t="s">
        <v>450</v>
      </c>
      <c r="L68" s="72" t="s">
        <v>49</v>
      </c>
      <c r="M68" s="72" t="s">
        <v>284</v>
      </c>
    </row>
    <row r="69" spans="1:13" x14ac:dyDescent="0.3">
      <c r="A69" s="62" t="s">
        <v>435</v>
      </c>
      <c r="B69" s="62">
        <v>2025</v>
      </c>
      <c r="C69" s="62">
        <v>50</v>
      </c>
      <c r="D69" s="62" t="s">
        <v>436</v>
      </c>
      <c r="E69" s="62">
        <v>2</v>
      </c>
      <c r="F69" s="62">
        <v>1</v>
      </c>
      <c r="G69" s="63">
        <v>45639.615277777797</v>
      </c>
      <c r="H69" s="63">
        <v>45639.658333333296</v>
      </c>
      <c r="I69" s="64">
        <v>4.3055555499449838E-2</v>
      </c>
      <c r="J69" s="64" t="s">
        <v>437</v>
      </c>
      <c r="K69" s="19" t="s">
        <v>450</v>
      </c>
      <c r="L69" s="72" t="s">
        <v>26</v>
      </c>
      <c r="M69" s="72" t="s">
        <v>284</v>
      </c>
    </row>
    <row r="70" spans="1:13" x14ac:dyDescent="0.3">
      <c r="A70" s="62" t="s">
        <v>435</v>
      </c>
      <c r="B70" s="62">
        <v>2025</v>
      </c>
      <c r="C70" s="62">
        <v>50</v>
      </c>
      <c r="D70" s="62" t="s">
        <v>436</v>
      </c>
      <c r="E70" s="62">
        <v>2</v>
      </c>
      <c r="F70" s="62">
        <v>1</v>
      </c>
      <c r="G70" s="63">
        <v>45640.895138888904</v>
      </c>
      <c r="H70" s="63">
        <v>45640.920138888898</v>
      </c>
      <c r="I70" s="64">
        <v>2.4999999994179234E-2</v>
      </c>
      <c r="J70" s="64" t="s">
        <v>437</v>
      </c>
      <c r="K70" s="19" t="s">
        <v>450</v>
      </c>
      <c r="L70" s="72" t="s">
        <v>14</v>
      </c>
      <c r="M70" s="72" t="s">
        <v>286</v>
      </c>
    </row>
    <row r="71" spans="1:13" x14ac:dyDescent="0.3">
      <c r="A71" s="62" t="s">
        <v>435</v>
      </c>
      <c r="B71" s="62">
        <v>2025</v>
      </c>
      <c r="C71" s="62">
        <v>50</v>
      </c>
      <c r="D71" s="62" t="s">
        <v>436</v>
      </c>
      <c r="E71" s="62">
        <v>2</v>
      </c>
      <c r="F71" s="62">
        <v>1</v>
      </c>
      <c r="G71" s="63">
        <v>45640.895138888904</v>
      </c>
      <c r="H71" s="63">
        <v>45640.920833333301</v>
      </c>
      <c r="I71" s="64">
        <v>2.5694444397231564E-2</v>
      </c>
      <c r="J71" s="64" t="s">
        <v>437</v>
      </c>
      <c r="K71" s="19" t="s">
        <v>450</v>
      </c>
      <c r="L71" s="72" t="s">
        <v>14</v>
      </c>
      <c r="M71" s="72" t="s">
        <v>439</v>
      </c>
    </row>
    <row r="72" spans="1:13" x14ac:dyDescent="0.3">
      <c r="A72" s="62" t="s">
        <v>435</v>
      </c>
      <c r="B72" s="62">
        <v>2025</v>
      </c>
      <c r="C72" s="62">
        <v>51</v>
      </c>
      <c r="D72" s="62" t="s">
        <v>449</v>
      </c>
      <c r="E72" s="62">
        <v>3</v>
      </c>
      <c r="F72" s="62">
        <v>1</v>
      </c>
      <c r="G72" s="63">
        <v>45641.939583333296</v>
      </c>
      <c r="H72" s="63">
        <v>45642.558333333298</v>
      </c>
      <c r="I72" s="70">
        <v>0.61875000000145519</v>
      </c>
      <c r="J72" s="64" t="s">
        <v>437</v>
      </c>
      <c r="K72" s="19" t="s">
        <v>450</v>
      </c>
      <c r="L72" s="72" t="s">
        <v>451</v>
      </c>
      <c r="M72" s="72" t="s">
        <v>286</v>
      </c>
    </row>
    <row r="73" spans="1:13" x14ac:dyDescent="0.3">
      <c r="A73" s="62" t="s">
        <v>435</v>
      </c>
      <c r="B73" s="62">
        <v>2025</v>
      </c>
      <c r="C73" s="62">
        <v>51</v>
      </c>
      <c r="D73" s="62" t="s">
        <v>449</v>
      </c>
      <c r="E73" s="62">
        <v>3</v>
      </c>
      <c r="F73" s="62">
        <v>1</v>
      </c>
      <c r="G73" s="63">
        <v>45641.939583333296</v>
      </c>
      <c r="H73" s="63">
        <v>45642.559722222199</v>
      </c>
      <c r="I73" s="70">
        <v>0.6201388889021473</v>
      </c>
      <c r="J73" s="64" t="s">
        <v>437</v>
      </c>
      <c r="K73" s="19" t="s">
        <v>450</v>
      </c>
      <c r="L73" s="72" t="s">
        <v>451</v>
      </c>
      <c r="M73" s="72" t="s">
        <v>284</v>
      </c>
    </row>
    <row r="74" spans="1:13" x14ac:dyDescent="0.3">
      <c r="A74" s="62" t="s">
        <v>435</v>
      </c>
      <c r="B74" s="62">
        <v>2025</v>
      </c>
      <c r="C74" s="62">
        <v>51</v>
      </c>
      <c r="D74" s="62" t="s">
        <v>449</v>
      </c>
      <c r="E74" s="62">
        <v>3</v>
      </c>
      <c r="F74" s="62">
        <v>1</v>
      </c>
      <c r="G74" s="63">
        <v>45642.461805555598</v>
      </c>
      <c r="H74" s="63">
        <v>45642.613888888904</v>
      </c>
      <c r="I74" s="64">
        <v>0.15208333330519963</v>
      </c>
      <c r="J74" s="64" t="s">
        <v>437</v>
      </c>
      <c r="K74" s="19" t="s">
        <v>450</v>
      </c>
      <c r="L74" s="72" t="s">
        <v>26</v>
      </c>
      <c r="M74" s="72" t="s">
        <v>286</v>
      </c>
    </row>
    <row r="75" spans="1:13" x14ac:dyDescent="0.3">
      <c r="A75" s="62" t="s">
        <v>435</v>
      </c>
      <c r="B75" s="62">
        <v>2025</v>
      </c>
      <c r="C75" s="62">
        <v>51</v>
      </c>
      <c r="D75" s="62" t="s">
        <v>449</v>
      </c>
      <c r="E75" s="62">
        <v>3</v>
      </c>
      <c r="F75" s="62">
        <v>1</v>
      </c>
      <c r="G75" s="63">
        <v>45642.461805555598</v>
      </c>
      <c r="H75" s="63">
        <v>45642.616666666698</v>
      </c>
      <c r="I75" s="64">
        <v>0.15486111109930789</v>
      </c>
      <c r="J75" s="64" t="s">
        <v>437</v>
      </c>
      <c r="K75" s="19" t="s">
        <v>450</v>
      </c>
      <c r="L75" s="72" t="s">
        <v>26</v>
      </c>
      <c r="M75" s="72" t="s">
        <v>284</v>
      </c>
    </row>
    <row r="76" spans="1:13" x14ac:dyDescent="0.3">
      <c r="A76" s="62" t="s">
        <v>435</v>
      </c>
      <c r="B76" s="62">
        <v>2025</v>
      </c>
      <c r="C76" s="62">
        <v>51</v>
      </c>
      <c r="D76" s="62" t="s">
        <v>449</v>
      </c>
      <c r="E76" s="62">
        <v>3</v>
      </c>
      <c r="F76" s="62">
        <v>1</v>
      </c>
      <c r="G76" s="63">
        <v>45642.713194444397</v>
      </c>
      <c r="H76" s="63">
        <v>45642.7277777778</v>
      </c>
      <c r="I76" s="64">
        <v>1.4583333402697463E-2</v>
      </c>
      <c r="J76" s="64" t="s">
        <v>437</v>
      </c>
      <c r="K76" s="19" t="s">
        <v>450</v>
      </c>
      <c r="L76" s="72" t="s">
        <v>19</v>
      </c>
      <c r="M76" s="72" t="s">
        <v>284</v>
      </c>
    </row>
    <row r="77" spans="1:13" x14ac:dyDescent="0.3">
      <c r="A77" s="62" t="s">
        <v>435</v>
      </c>
      <c r="B77" s="62">
        <v>2025</v>
      </c>
      <c r="C77" s="62">
        <v>51</v>
      </c>
      <c r="D77" s="62" t="s">
        <v>449</v>
      </c>
      <c r="E77" s="62">
        <v>3</v>
      </c>
      <c r="F77" s="62">
        <v>1</v>
      </c>
      <c r="G77" s="63">
        <v>45643.430555555555</v>
      </c>
      <c r="H77" s="63">
        <v>45643.549305555556</v>
      </c>
      <c r="I77" s="64">
        <v>0.11875000000145519</v>
      </c>
      <c r="J77" s="64" t="s">
        <v>437</v>
      </c>
      <c r="K77" s="19" t="s">
        <v>450</v>
      </c>
      <c r="L77" s="72" t="s">
        <v>26</v>
      </c>
      <c r="M77" s="72" t="s">
        <v>286</v>
      </c>
    </row>
    <row r="78" spans="1:13" x14ac:dyDescent="0.3">
      <c r="A78" s="62" t="s">
        <v>435</v>
      </c>
      <c r="B78" s="62">
        <v>2025</v>
      </c>
      <c r="C78" s="62">
        <v>51</v>
      </c>
      <c r="D78" s="62" t="s">
        <v>449</v>
      </c>
      <c r="E78" s="62">
        <v>3</v>
      </c>
      <c r="F78" s="62">
        <v>1</v>
      </c>
      <c r="G78" s="63">
        <v>45643.59375</v>
      </c>
      <c r="H78" s="63">
        <v>45643.632638888892</v>
      </c>
      <c r="I78" s="64">
        <v>3.888888889196096E-2</v>
      </c>
      <c r="J78" s="64" t="s">
        <v>437</v>
      </c>
      <c r="K78" s="19" t="s">
        <v>450</v>
      </c>
      <c r="L78" s="72" t="s">
        <v>23</v>
      </c>
      <c r="M78" s="72" t="s">
        <v>286</v>
      </c>
    </row>
    <row r="79" spans="1:13" x14ac:dyDescent="0.3">
      <c r="A79" s="62" t="s">
        <v>435</v>
      </c>
      <c r="B79" s="62">
        <v>2025</v>
      </c>
      <c r="C79" s="62">
        <v>51</v>
      </c>
      <c r="D79" s="62" t="s">
        <v>449</v>
      </c>
      <c r="E79" s="62">
        <v>3</v>
      </c>
      <c r="F79" s="62">
        <v>1</v>
      </c>
      <c r="G79" s="63">
        <v>45643.59375</v>
      </c>
      <c r="H79" s="63">
        <v>45643.633333333331</v>
      </c>
      <c r="I79" s="64">
        <v>3.9583333331393078E-2</v>
      </c>
      <c r="J79" s="64" t="s">
        <v>437</v>
      </c>
      <c r="K79" s="19" t="s">
        <v>450</v>
      </c>
      <c r="L79" s="72" t="s">
        <v>23</v>
      </c>
      <c r="M79" s="72" t="s">
        <v>284</v>
      </c>
    </row>
    <row r="80" spans="1:13" x14ac:dyDescent="0.3">
      <c r="A80" s="62" t="s">
        <v>435</v>
      </c>
      <c r="B80" s="62">
        <v>2025</v>
      </c>
      <c r="C80" s="62">
        <v>51</v>
      </c>
      <c r="D80" s="62" t="s">
        <v>449</v>
      </c>
      <c r="E80" s="62">
        <v>3</v>
      </c>
      <c r="F80" s="62">
        <v>1</v>
      </c>
      <c r="G80" s="63">
        <v>45643.67083333333</v>
      </c>
      <c r="H80" s="63">
        <v>45643.769444444442</v>
      </c>
      <c r="I80" s="64">
        <v>9.8611111112404615E-2</v>
      </c>
      <c r="J80" s="64" t="s">
        <v>437</v>
      </c>
      <c r="K80" s="19" t="s">
        <v>450</v>
      </c>
      <c r="L80" s="72" t="s">
        <v>51</v>
      </c>
      <c r="M80" s="72" t="s">
        <v>286</v>
      </c>
    </row>
    <row r="81" spans="1:13" x14ac:dyDescent="0.3">
      <c r="A81" s="62" t="s">
        <v>435</v>
      </c>
      <c r="B81" s="62">
        <v>2025</v>
      </c>
      <c r="C81" s="62">
        <v>51</v>
      </c>
      <c r="D81" s="62" t="s">
        <v>449</v>
      </c>
      <c r="E81" s="62">
        <v>3</v>
      </c>
      <c r="F81" s="62">
        <v>1</v>
      </c>
      <c r="G81" s="63">
        <v>45644.540277777778</v>
      </c>
      <c r="H81" s="63">
        <v>45644.573611111111</v>
      </c>
      <c r="I81" s="64">
        <v>3.3333333332848269E-2</v>
      </c>
      <c r="J81" s="64" t="s">
        <v>437</v>
      </c>
      <c r="K81" s="19" t="s">
        <v>450</v>
      </c>
      <c r="L81" s="72" t="s">
        <v>451</v>
      </c>
      <c r="M81" s="72" t="s">
        <v>286</v>
      </c>
    </row>
    <row r="82" spans="1:13" x14ac:dyDescent="0.3">
      <c r="A82" s="62" t="s">
        <v>435</v>
      </c>
      <c r="B82" s="62">
        <v>2025</v>
      </c>
      <c r="C82" s="62">
        <v>51</v>
      </c>
      <c r="D82" s="62" t="s">
        <v>449</v>
      </c>
      <c r="E82" s="62">
        <v>3</v>
      </c>
      <c r="F82" s="62">
        <v>1</v>
      </c>
      <c r="G82" s="63">
        <v>45644.540277777778</v>
      </c>
      <c r="H82" s="63">
        <v>45644.574999999997</v>
      </c>
      <c r="I82" s="64">
        <v>3.4722222218988463E-2</v>
      </c>
      <c r="J82" s="64" t="s">
        <v>437</v>
      </c>
      <c r="K82" s="19" t="s">
        <v>450</v>
      </c>
      <c r="L82" s="72" t="s">
        <v>451</v>
      </c>
      <c r="M82" s="72" t="s">
        <v>284</v>
      </c>
    </row>
    <row r="83" spans="1:13" x14ac:dyDescent="0.3">
      <c r="A83" s="62" t="s">
        <v>435</v>
      </c>
      <c r="B83" s="62">
        <v>2025</v>
      </c>
      <c r="C83" s="62">
        <v>51</v>
      </c>
      <c r="D83" s="62" t="s">
        <v>449</v>
      </c>
      <c r="E83" s="62">
        <v>3</v>
      </c>
      <c r="F83" s="62">
        <v>1</v>
      </c>
      <c r="G83" s="63">
        <v>45644.563194444447</v>
      </c>
      <c r="H83" s="63">
        <v>45644.589583333334</v>
      </c>
      <c r="I83" s="64">
        <v>2.6388888887595385E-2</v>
      </c>
      <c r="J83" s="64" t="s">
        <v>437</v>
      </c>
      <c r="K83" s="19" t="s">
        <v>450</v>
      </c>
      <c r="L83" s="72" t="s">
        <v>19</v>
      </c>
      <c r="M83" s="72" t="s">
        <v>286</v>
      </c>
    </row>
    <row r="84" spans="1:13" x14ac:dyDescent="0.3">
      <c r="A84" s="62" t="s">
        <v>435</v>
      </c>
      <c r="B84" s="62">
        <v>2025</v>
      </c>
      <c r="C84" s="62">
        <v>51</v>
      </c>
      <c r="D84" s="62" t="s">
        <v>449</v>
      </c>
      <c r="E84" s="62">
        <v>3</v>
      </c>
      <c r="F84" s="62">
        <v>1</v>
      </c>
      <c r="G84" s="63">
        <v>45645.754166666666</v>
      </c>
      <c r="H84" s="63">
        <v>45645.769444444442</v>
      </c>
      <c r="I84" s="64">
        <v>1.5277777776645962E-2</v>
      </c>
      <c r="J84" s="64" t="s">
        <v>437</v>
      </c>
      <c r="K84" s="19" t="s">
        <v>450</v>
      </c>
      <c r="L84" s="72" t="s">
        <v>23</v>
      </c>
      <c r="M84" s="72" t="s">
        <v>286</v>
      </c>
    </row>
    <row r="85" spans="1:13" x14ac:dyDescent="0.3">
      <c r="A85" s="62" t="s">
        <v>435</v>
      </c>
      <c r="B85" s="62">
        <v>2025</v>
      </c>
      <c r="C85" s="62">
        <v>51</v>
      </c>
      <c r="D85" s="62" t="s">
        <v>449</v>
      </c>
      <c r="E85" s="62">
        <v>3</v>
      </c>
      <c r="F85" s="62">
        <v>1</v>
      </c>
      <c r="G85" s="63">
        <v>45645.754166666666</v>
      </c>
      <c r="H85" s="63">
        <v>45645.770833333336</v>
      </c>
      <c r="I85" s="64">
        <v>1.6666666670062114E-2</v>
      </c>
      <c r="J85" s="64" t="s">
        <v>437</v>
      </c>
      <c r="K85" s="19" t="s">
        <v>450</v>
      </c>
      <c r="L85" s="72" t="s">
        <v>23</v>
      </c>
      <c r="M85" s="72" t="s">
        <v>284</v>
      </c>
    </row>
    <row r="86" spans="1:13" x14ac:dyDescent="0.3">
      <c r="A86" s="62" t="s">
        <v>435</v>
      </c>
      <c r="B86" s="62">
        <v>2025</v>
      </c>
      <c r="C86" s="62">
        <v>51</v>
      </c>
      <c r="D86" s="62" t="s">
        <v>449</v>
      </c>
      <c r="E86" s="62">
        <v>3</v>
      </c>
      <c r="F86" s="62">
        <v>1</v>
      </c>
      <c r="G86" s="63">
        <v>45645.829861111109</v>
      </c>
      <c r="H86" s="63">
        <v>45646.365972222222</v>
      </c>
      <c r="I86" s="73">
        <v>0.53611111111240461</v>
      </c>
      <c r="J86" s="64" t="s">
        <v>437</v>
      </c>
      <c r="K86" s="19" t="s">
        <v>450</v>
      </c>
      <c r="L86" s="72" t="s">
        <v>451</v>
      </c>
      <c r="M86" s="72" t="s">
        <v>286</v>
      </c>
    </row>
    <row r="87" spans="1:13" x14ac:dyDescent="0.3">
      <c r="A87" s="62" t="s">
        <v>435</v>
      </c>
      <c r="B87" s="62">
        <v>2025</v>
      </c>
      <c r="C87" s="62">
        <v>51</v>
      </c>
      <c r="D87" s="62" t="s">
        <v>449</v>
      </c>
      <c r="E87" s="62">
        <v>3</v>
      </c>
      <c r="F87" s="62">
        <v>1</v>
      </c>
      <c r="G87" s="63">
        <v>45645.829861111109</v>
      </c>
      <c r="H87" s="63">
        <v>45646.369444444441</v>
      </c>
      <c r="I87" s="73">
        <v>0.53958333333139308</v>
      </c>
      <c r="J87" s="64" t="s">
        <v>437</v>
      </c>
      <c r="K87" s="19" t="s">
        <v>450</v>
      </c>
      <c r="L87" s="72" t="s">
        <v>451</v>
      </c>
      <c r="M87" s="72" t="s">
        <v>284</v>
      </c>
    </row>
    <row r="88" spans="1:13" x14ac:dyDescent="0.3">
      <c r="A88" s="62" t="s">
        <v>435</v>
      </c>
      <c r="B88" s="62">
        <v>2025</v>
      </c>
      <c r="C88" s="62">
        <v>52</v>
      </c>
      <c r="D88" s="62" t="s">
        <v>440</v>
      </c>
      <c r="E88" s="62">
        <v>4</v>
      </c>
      <c r="F88" s="62">
        <v>1</v>
      </c>
      <c r="G88" s="63">
        <v>45648.394444444442</v>
      </c>
      <c r="H88" s="63">
        <v>45648.611111111109</v>
      </c>
      <c r="I88" s="73">
        <v>0.21666666666715173</v>
      </c>
      <c r="J88" s="64" t="s">
        <v>437</v>
      </c>
      <c r="K88" s="19" t="s">
        <v>450</v>
      </c>
      <c r="L88" s="72" t="s">
        <v>14</v>
      </c>
      <c r="M88" s="72" t="s">
        <v>439</v>
      </c>
    </row>
    <row r="89" spans="1:13" x14ac:dyDescent="0.3">
      <c r="A89" s="62" t="s">
        <v>435</v>
      </c>
      <c r="B89" s="62">
        <v>2025</v>
      </c>
      <c r="C89" s="62">
        <v>52</v>
      </c>
      <c r="D89" s="62" t="s">
        <v>440</v>
      </c>
      <c r="E89" s="62">
        <v>4</v>
      </c>
      <c r="F89" s="62">
        <v>1</v>
      </c>
      <c r="G89" s="63">
        <v>45648.636111111111</v>
      </c>
      <c r="H89" s="63">
        <v>45648.977777777778</v>
      </c>
      <c r="I89" s="73">
        <v>0.34166666666715173</v>
      </c>
      <c r="J89" s="64" t="s">
        <v>437</v>
      </c>
      <c r="K89" s="19" t="s">
        <v>450</v>
      </c>
      <c r="L89" s="72" t="s">
        <v>26</v>
      </c>
      <c r="M89" s="72" t="s">
        <v>286</v>
      </c>
    </row>
    <row r="90" spans="1:13" x14ac:dyDescent="0.3">
      <c r="A90" s="62" t="s">
        <v>435</v>
      </c>
      <c r="B90" s="62">
        <v>2025</v>
      </c>
      <c r="C90" s="62">
        <v>52</v>
      </c>
      <c r="D90" s="62" t="s">
        <v>440</v>
      </c>
      <c r="E90" s="62">
        <v>4</v>
      </c>
      <c r="F90" s="62">
        <v>1</v>
      </c>
      <c r="G90" s="63">
        <v>45649.612500000003</v>
      </c>
      <c r="H90" s="63">
        <v>45649.640972222223</v>
      </c>
      <c r="I90" s="64">
        <v>2.8472222220443655E-2</v>
      </c>
      <c r="J90" s="64" t="s">
        <v>437</v>
      </c>
      <c r="K90" s="19" t="s">
        <v>450</v>
      </c>
      <c r="L90" s="72" t="s">
        <v>451</v>
      </c>
      <c r="M90" s="72" t="s">
        <v>286</v>
      </c>
    </row>
    <row r="91" spans="1:13" x14ac:dyDescent="0.3">
      <c r="A91" s="62" t="s">
        <v>435</v>
      </c>
      <c r="B91" s="62">
        <v>2025</v>
      </c>
      <c r="C91" s="62">
        <v>52</v>
      </c>
      <c r="D91" s="62" t="s">
        <v>440</v>
      </c>
      <c r="E91" s="62">
        <v>4</v>
      </c>
      <c r="F91" s="62">
        <v>1</v>
      </c>
      <c r="G91" s="63">
        <v>45649.612500000003</v>
      </c>
      <c r="H91" s="63">
        <v>45649.64166666667</v>
      </c>
      <c r="I91" s="64">
        <v>2.9166666667151731E-2</v>
      </c>
      <c r="J91" s="64" t="s">
        <v>437</v>
      </c>
      <c r="K91" s="19" t="s">
        <v>450</v>
      </c>
      <c r="L91" s="72" t="s">
        <v>451</v>
      </c>
      <c r="M91" s="72" t="s">
        <v>286</v>
      </c>
    </row>
    <row r="92" spans="1:13" x14ac:dyDescent="0.3">
      <c r="A92" s="62" t="s">
        <v>435</v>
      </c>
      <c r="B92" s="62">
        <v>2025</v>
      </c>
      <c r="C92" s="62">
        <v>52</v>
      </c>
      <c r="D92" s="62" t="s">
        <v>440</v>
      </c>
      <c r="E92" s="62">
        <v>4</v>
      </c>
      <c r="F92" s="62">
        <v>1</v>
      </c>
      <c r="G92" s="63">
        <v>45650.450694444444</v>
      </c>
      <c r="H92" s="63">
        <v>45650.496527777781</v>
      </c>
      <c r="I92" s="64">
        <v>4.5833333337213844E-2</v>
      </c>
      <c r="J92" s="64" t="s">
        <v>437</v>
      </c>
      <c r="K92" s="19" t="s">
        <v>450</v>
      </c>
      <c r="L92" s="72" t="s">
        <v>51</v>
      </c>
      <c r="M92" s="72" t="s">
        <v>286</v>
      </c>
    </row>
    <row r="93" spans="1:13" x14ac:dyDescent="0.3">
      <c r="A93" s="62" t="s">
        <v>435</v>
      </c>
      <c r="B93" s="62">
        <v>2025</v>
      </c>
      <c r="C93" s="62">
        <v>52</v>
      </c>
      <c r="D93" s="62" t="s">
        <v>440</v>
      </c>
      <c r="E93" s="62">
        <v>4</v>
      </c>
      <c r="F93" s="62">
        <v>1</v>
      </c>
      <c r="G93" s="63">
        <v>45651.646527777775</v>
      </c>
      <c r="H93" s="63">
        <v>45651.69027777778</v>
      </c>
      <c r="I93" s="64">
        <v>4.3750000004365575E-2</v>
      </c>
      <c r="J93" s="64" t="s">
        <v>437</v>
      </c>
      <c r="K93" s="19" t="s">
        <v>450</v>
      </c>
      <c r="L93" s="72" t="s">
        <v>451</v>
      </c>
      <c r="M93" s="72" t="s">
        <v>286</v>
      </c>
    </row>
    <row r="94" spans="1:13" x14ac:dyDescent="0.3">
      <c r="A94" s="62" t="s">
        <v>435</v>
      </c>
      <c r="B94" s="62">
        <v>2025</v>
      </c>
      <c r="C94" s="62">
        <v>52</v>
      </c>
      <c r="D94" s="62" t="s">
        <v>440</v>
      </c>
      <c r="E94" s="62">
        <v>4</v>
      </c>
      <c r="F94" s="62">
        <v>1</v>
      </c>
      <c r="G94" s="63">
        <v>45651.646527777775</v>
      </c>
      <c r="H94" s="63">
        <v>45651.691666666666</v>
      </c>
      <c r="I94" s="64">
        <v>4.5138888890505768E-2</v>
      </c>
      <c r="J94" s="64" t="s">
        <v>437</v>
      </c>
      <c r="K94" s="19" t="s">
        <v>450</v>
      </c>
      <c r="L94" s="72" t="s">
        <v>451</v>
      </c>
      <c r="M94" s="72" t="s">
        <v>284</v>
      </c>
    </row>
    <row r="95" spans="1:13" x14ac:dyDescent="0.3">
      <c r="A95" s="62" t="s">
        <v>435</v>
      </c>
      <c r="B95" s="62">
        <v>2025</v>
      </c>
      <c r="C95" s="62">
        <v>53</v>
      </c>
      <c r="D95" s="62" t="s">
        <v>444</v>
      </c>
      <c r="E95" s="62">
        <v>5</v>
      </c>
      <c r="F95" s="62">
        <v>1</v>
      </c>
      <c r="G95" s="63">
        <v>45655.52847222222</v>
      </c>
      <c r="H95" s="63">
        <v>45655.802777777775</v>
      </c>
      <c r="I95" s="73">
        <v>0.27430555555474712</v>
      </c>
      <c r="J95" s="64" t="s">
        <v>437</v>
      </c>
      <c r="K95" s="19" t="s">
        <v>450</v>
      </c>
      <c r="L95" s="72" t="s">
        <v>451</v>
      </c>
      <c r="M95" s="72" t="s">
        <v>286</v>
      </c>
    </row>
    <row r="96" spans="1:13" x14ac:dyDescent="0.3">
      <c r="A96" s="62" t="s">
        <v>435</v>
      </c>
      <c r="B96" s="62">
        <v>2025</v>
      </c>
      <c r="C96" s="62">
        <v>53</v>
      </c>
      <c r="D96" s="62" t="s">
        <v>444</v>
      </c>
      <c r="E96" s="62">
        <v>5</v>
      </c>
      <c r="F96" s="62">
        <v>1</v>
      </c>
      <c r="G96" s="63">
        <v>45655.52847222222</v>
      </c>
      <c r="H96" s="63">
        <v>45655.804861111108</v>
      </c>
      <c r="I96" s="73">
        <v>0.27638888888759539</v>
      </c>
      <c r="J96" s="64" t="s">
        <v>437</v>
      </c>
      <c r="K96" s="19" t="s">
        <v>450</v>
      </c>
      <c r="L96" s="72" t="s">
        <v>451</v>
      </c>
      <c r="M96" s="72" t="s">
        <v>284</v>
      </c>
    </row>
    <row r="97" spans="1:13" x14ac:dyDescent="0.3">
      <c r="A97" s="62" t="s">
        <v>435</v>
      </c>
      <c r="B97" s="62">
        <v>2025</v>
      </c>
      <c r="C97" s="62">
        <v>53</v>
      </c>
      <c r="D97" s="62" t="s">
        <v>444</v>
      </c>
      <c r="E97" s="62">
        <v>5</v>
      </c>
      <c r="F97" s="62">
        <v>1</v>
      </c>
      <c r="G97" s="63">
        <v>45656.441666666666</v>
      </c>
      <c r="H97" s="63">
        <v>45656.464583333334</v>
      </c>
      <c r="I97" s="64">
        <v>2.2916666668606922E-2</v>
      </c>
      <c r="J97" s="64" t="s">
        <v>437</v>
      </c>
      <c r="K97" s="19" t="s">
        <v>450</v>
      </c>
      <c r="L97" s="72" t="s">
        <v>26</v>
      </c>
      <c r="M97" s="72" t="s">
        <v>286</v>
      </c>
    </row>
    <row r="98" spans="1:13" x14ac:dyDescent="0.3">
      <c r="A98" s="62" t="s">
        <v>435</v>
      </c>
      <c r="B98" s="62">
        <v>2025</v>
      </c>
      <c r="C98" s="62">
        <v>53</v>
      </c>
      <c r="D98" s="62" t="s">
        <v>444</v>
      </c>
      <c r="E98" s="62">
        <v>5</v>
      </c>
      <c r="F98" s="62">
        <v>1</v>
      </c>
      <c r="G98" s="63">
        <v>45656.441666666666</v>
      </c>
      <c r="H98" s="63">
        <v>45656.46597222222</v>
      </c>
      <c r="I98" s="64">
        <v>2.4305555554747116E-2</v>
      </c>
      <c r="J98" s="64" t="s">
        <v>437</v>
      </c>
      <c r="K98" s="19" t="s">
        <v>450</v>
      </c>
      <c r="L98" s="72" t="s">
        <v>26</v>
      </c>
      <c r="M98" s="72" t="s">
        <v>284</v>
      </c>
    </row>
    <row r="99" spans="1:13" x14ac:dyDescent="0.3">
      <c r="A99" s="62" t="s">
        <v>435</v>
      </c>
      <c r="B99" s="62">
        <v>2025</v>
      </c>
      <c r="C99" s="62">
        <v>53</v>
      </c>
      <c r="D99" s="62" t="s">
        <v>444</v>
      </c>
      <c r="E99" s="62">
        <v>5</v>
      </c>
      <c r="F99" s="62">
        <v>1</v>
      </c>
      <c r="G99" s="63">
        <v>45656.502083333333</v>
      </c>
      <c r="H99" s="63">
        <v>45657.544444444444</v>
      </c>
      <c r="I99" s="64">
        <v>1.0423611111109494</v>
      </c>
      <c r="J99" s="64" t="s">
        <v>437</v>
      </c>
      <c r="K99" s="19" t="s">
        <v>450</v>
      </c>
      <c r="L99" s="72" t="s">
        <v>451</v>
      </c>
      <c r="M99" s="72" t="s">
        <v>286</v>
      </c>
    </row>
    <row r="100" spans="1:13" x14ac:dyDescent="0.3">
      <c r="A100" s="62" t="s">
        <v>435</v>
      </c>
      <c r="B100" s="62">
        <v>2025</v>
      </c>
      <c r="C100" s="62">
        <v>53</v>
      </c>
      <c r="D100" s="62" t="s">
        <v>444</v>
      </c>
      <c r="E100" s="62">
        <v>5</v>
      </c>
      <c r="F100" s="62">
        <v>1</v>
      </c>
      <c r="G100" s="63">
        <v>45656.502083333333</v>
      </c>
      <c r="H100" s="63">
        <v>45657.547222222223</v>
      </c>
      <c r="I100" s="64">
        <v>1.0451388888905058</v>
      </c>
      <c r="J100" s="64" t="s">
        <v>437</v>
      </c>
      <c r="K100" s="19" t="s">
        <v>450</v>
      </c>
      <c r="L100" s="72" t="s">
        <v>451</v>
      </c>
      <c r="M100" s="72" t="s">
        <v>286</v>
      </c>
    </row>
    <row r="101" spans="1:13" x14ac:dyDescent="0.3">
      <c r="A101" s="62" t="s">
        <v>435</v>
      </c>
      <c r="B101" s="62">
        <v>2025</v>
      </c>
      <c r="C101" s="62">
        <v>53</v>
      </c>
      <c r="D101" s="62" t="s">
        <v>444</v>
      </c>
      <c r="E101" s="62">
        <v>5</v>
      </c>
      <c r="F101" s="62">
        <v>1</v>
      </c>
      <c r="G101" s="63">
        <v>45657.543749999997</v>
      </c>
      <c r="H101" s="63">
        <v>45657.578472222223</v>
      </c>
      <c r="I101" s="64">
        <v>3.4722222226264421E-2</v>
      </c>
      <c r="J101" s="64" t="s">
        <v>437</v>
      </c>
      <c r="K101" s="19" t="s">
        <v>450</v>
      </c>
      <c r="L101" s="72" t="s">
        <v>451</v>
      </c>
      <c r="M101" s="72" t="s">
        <v>286</v>
      </c>
    </row>
    <row r="102" spans="1:13" x14ac:dyDescent="0.3">
      <c r="A102" s="62" t="s">
        <v>435</v>
      </c>
      <c r="B102" s="62">
        <v>2025</v>
      </c>
      <c r="C102" s="62">
        <v>49</v>
      </c>
      <c r="D102" s="62" t="s">
        <v>447</v>
      </c>
      <c r="E102" s="62">
        <v>1</v>
      </c>
      <c r="F102" s="62">
        <v>1</v>
      </c>
      <c r="G102" s="63">
        <v>45627.71875</v>
      </c>
      <c r="H102" s="63">
        <v>45627.768750000003</v>
      </c>
      <c r="I102" s="64">
        <v>5.0000000002910383E-2</v>
      </c>
      <c r="J102" s="64" t="s">
        <v>437</v>
      </c>
      <c r="K102" s="19" t="s">
        <v>12</v>
      </c>
      <c r="L102" s="65" t="s">
        <v>68</v>
      </c>
      <c r="M102" s="65" t="s">
        <v>17</v>
      </c>
    </row>
    <row r="103" spans="1:13" x14ac:dyDescent="0.3">
      <c r="A103" s="62" t="s">
        <v>435</v>
      </c>
      <c r="B103" s="62">
        <v>2025</v>
      </c>
      <c r="C103" s="62">
        <v>49</v>
      </c>
      <c r="D103" s="62" t="s">
        <v>447</v>
      </c>
      <c r="E103" s="62">
        <v>1</v>
      </c>
      <c r="F103" s="62">
        <v>1</v>
      </c>
      <c r="G103" s="63">
        <v>45627.741666666698</v>
      </c>
      <c r="H103" s="63">
        <v>45627.779861111099</v>
      </c>
      <c r="I103" s="64">
        <v>3.8194444401597138E-2</v>
      </c>
      <c r="J103" s="64" t="s">
        <v>437</v>
      </c>
      <c r="K103" s="19" t="s">
        <v>12</v>
      </c>
      <c r="L103" s="65" t="s">
        <v>27</v>
      </c>
      <c r="M103" s="65" t="s">
        <v>14</v>
      </c>
    </row>
    <row r="104" spans="1:13" x14ac:dyDescent="0.3">
      <c r="A104" s="62" t="s">
        <v>435</v>
      </c>
      <c r="B104" s="62">
        <v>2025</v>
      </c>
      <c r="C104" s="62">
        <v>49</v>
      </c>
      <c r="D104" s="62" t="s">
        <v>447</v>
      </c>
      <c r="E104" s="62">
        <v>1</v>
      </c>
      <c r="F104" s="62">
        <v>1</v>
      </c>
      <c r="G104" s="63">
        <v>45631.551388888904</v>
      </c>
      <c r="H104" s="63">
        <v>45631.586111111101</v>
      </c>
      <c r="I104" s="64">
        <v>3.472222219716059E-2</v>
      </c>
      <c r="J104" s="64" t="s">
        <v>437</v>
      </c>
      <c r="K104" s="19" t="s">
        <v>12</v>
      </c>
      <c r="L104" s="65" t="s">
        <v>27</v>
      </c>
      <c r="M104" s="65" t="s">
        <v>23</v>
      </c>
    </row>
    <row r="105" spans="1:13" x14ac:dyDescent="0.3">
      <c r="A105" s="62" t="s">
        <v>435</v>
      </c>
      <c r="B105" s="62">
        <v>2025</v>
      </c>
      <c r="C105" s="62">
        <v>49</v>
      </c>
      <c r="D105" s="62" t="s">
        <v>447</v>
      </c>
      <c r="E105" s="62">
        <v>1</v>
      </c>
      <c r="F105" s="62">
        <v>1</v>
      </c>
      <c r="G105" s="63">
        <v>45632.442361111098</v>
      </c>
      <c r="H105" s="63">
        <v>45632.497222222199</v>
      </c>
      <c r="I105" s="64">
        <v>5.4861111100763083E-2</v>
      </c>
      <c r="J105" s="64" t="s">
        <v>437</v>
      </c>
      <c r="K105" s="19" t="s">
        <v>12</v>
      </c>
      <c r="L105" s="65" t="s">
        <v>286</v>
      </c>
      <c r="M105" s="65" t="s">
        <v>51</v>
      </c>
    </row>
    <row r="106" spans="1:13" x14ac:dyDescent="0.3">
      <c r="A106" s="62" t="s">
        <v>435</v>
      </c>
      <c r="B106" s="62">
        <v>2025</v>
      </c>
      <c r="C106" s="62">
        <v>50</v>
      </c>
      <c r="D106" s="62" t="s">
        <v>436</v>
      </c>
      <c r="E106" s="62">
        <v>2</v>
      </c>
      <c r="F106" s="62">
        <v>1</v>
      </c>
      <c r="G106" s="63">
        <v>45634.551388888904</v>
      </c>
      <c r="H106" s="63">
        <v>45634.638888888898</v>
      </c>
      <c r="I106" s="64">
        <v>8.7499999994179234E-2</v>
      </c>
      <c r="J106" s="64" t="s">
        <v>437</v>
      </c>
      <c r="K106" s="19" t="s">
        <v>12</v>
      </c>
      <c r="L106" s="65" t="s">
        <v>68</v>
      </c>
      <c r="M106" s="65" t="s">
        <v>17</v>
      </c>
    </row>
    <row r="107" spans="1:13" x14ac:dyDescent="0.3">
      <c r="A107" s="62" t="s">
        <v>435</v>
      </c>
      <c r="B107" s="62">
        <v>2025</v>
      </c>
      <c r="C107" s="62">
        <v>50</v>
      </c>
      <c r="D107" s="62" t="s">
        <v>436</v>
      </c>
      <c r="E107" s="62">
        <v>2</v>
      </c>
      <c r="F107" s="62">
        <v>1</v>
      </c>
      <c r="G107" s="63">
        <v>45636.449305555601</v>
      </c>
      <c r="H107" s="63">
        <v>45636.548611111102</v>
      </c>
      <c r="I107" s="64">
        <v>9.9305555500905029E-2</v>
      </c>
      <c r="J107" s="64" t="s">
        <v>437</v>
      </c>
      <c r="K107" s="19" t="s">
        <v>12</v>
      </c>
      <c r="L107" s="65" t="s">
        <v>452</v>
      </c>
      <c r="M107" s="65" t="s">
        <v>36</v>
      </c>
    </row>
    <row r="108" spans="1:13" x14ac:dyDescent="0.3">
      <c r="A108" s="62" t="s">
        <v>435</v>
      </c>
      <c r="B108" s="62">
        <v>2025</v>
      </c>
      <c r="C108" s="62">
        <v>52</v>
      </c>
      <c r="D108" s="62" t="s">
        <v>440</v>
      </c>
      <c r="E108" s="62">
        <v>4</v>
      </c>
      <c r="F108" s="62">
        <v>1</v>
      </c>
      <c r="G108" s="63">
        <v>45649.756249999999</v>
      </c>
      <c r="H108" s="63">
        <v>45649.759722222225</v>
      </c>
      <c r="I108" s="64">
        <v>3.4722222262644209E-3</v>
      </c>
      <c r="J108" s="64" t="s">
        <v>437</v>
      </c>
      <c r="K108" s="19" t="s">
        <v>12</v>
      </c>
      <c r="L108" s="72" t="s">
        <v>453</v>
      </c>
      <c r="M108" s="72" t="s">
        <v>17</v>
      </c>
    </row>
    <row r="109" spans="1:13" ht="15.6" x14ac:dyDescent="0.3">
      <c r="A109" s="62" t="s">
        <v>435</v>
      </c>
      <c r="B109" s="62">
        <v>2025</v>
      </c>
      <c r="C109" s="62">
        <v>52</v>
      </c>
      <c r="D109" s="62" t="s">
        <v>440</v>
      </c>
      <c r="E109" s="62">
        <v>4</v>
      </c>
      <c r="F109" s="62">
        <v>1</v>
      </c>
      <c r="G109" s="63">
        <v>45651.495138888888</v>
      </c>
      <c r="H109" s="63">
        <v>45651.668055555558</v>
      </c>
      <c r="I109" s="70">
        <v>0.17291666667006211</v>
      </c>
      <c r="J109" s="64" t="s">
        <v>437</v>
      </c>
      <c r="K109" s="19" t="s">
        <v>12</v>
      </c>
      <c r="L109" s="72" t="s">
        <v>454</v>
      </c>
      <c r="M109" s="72" t="s">
        <v>455</v>
      </c>
    </row>
    <row r="110" spans="1:13" x14ac:dyDescent="0.3">
      <c r="A110" s="65" t="s">
        <v>435</v>
      </c>
      <c r="B110" s="62">
        <v>2025</v>
      </c>
      <c r="C110" s="65">
        <v>49</v>
      </c>
      <c r="D110" s="62" t="s">
        <v>447</v>
      </c>
      <c r="E110" s="62">
        <v>1</v>
      </c>
      <c r="F110" s="62">
        <v>1</v>
      </c>
      <c r="G110" s="63">
        <v>45628.443749999999</v>
      </c>
      <c r="H110" s="63">
        <v>45628.454861111102</v>
      </c>
      <c r="I110" s="64">
        <v>1.1111111103673466E-2</v>
      </c>
      <c r="J110" s="64" t="s">
        <v>437</v>
      </c>
      <c r="K110" s="19" t="s">
        <v>456</v>
      </c>
      <c r="L110" s="65" t="s">
        <v>17</v>
      </c>
      <c r="M110" s="19"/>
    </row>
    <row r="111" spans="1:13" x14ac:dyDescent="0.3">
      <c r="A111" s="65" t="s">
        <v>435</v>
      </c>
      <c r="B111" s="62">
        <v>2025</v>
      </c>
      <c r="C111" s="65">
        <v>49</v>
      </c>
      <c r="D111" s="62" t="s">
        <v>447</v>
      </c>
      <c r="E111" s="62">
        <v>1</v>
      </c>
      <c r="F111" s="62">
        <v>1</v>
      </c>
      <c r="G111" s="63">
        <v>45628.5</v>
      </c>
      <c r="H111" s="63">
        <v>45628.505555555603</v>
      </c>
      <c r="I111" s="64">
        <v>5.5555556027684361E-3</v>
      </c>
      <c r="J111" s="64" t="s">
        <v>437</v>
      </c>
      <c r="K111" s="19" t="s">
        <v>456</v>
      </c>
      <c r="L111" s="65" t="s">
        <v>23</v>
      </c>
      <c r="M111" s="19"/>
    </row>
    <row r="112" spans="1:13" x14ac:dyDescent="0.3">
      <c r="A112" s="65" t="s">
        <v>435</v>
      </c>
      <c r="B112" s="62">
        <v>2025</v>
      </c>
      <c r="C112" s="65">
        <v>49</v>
      </c>
      <c r="D112" s="62" t="s">
        <v>447</v>
      </c>
      <c r="E112" s="62">
        <v>1</v>
      </c>
      <c r="F112" s="62">
        <v>1</v>
      </c>
      <c r="G112" s="63">
        <v>45628.565972222197</v>
      </c>
      <c r="H112" s="63">
        <v>45628.569444444402</v>
      </c>
      <c r="I112" s="64">
        <v>3.4722222044365481E-3</v>
      </c>
      <c r="J112" s="64" t="s">
        <v>437</v>
      </c>
      <c r="K112" s="19" t="s">
        <v>456</v>
      </c>
      <c r="L112" s="65" t="s">
        <v>19</v>
      </c>
      <c r="M112" s="19"/>
    </row>
    <row r="113" spans="1:13" x14ac:dyDescent="0.3">
      <c r="A113" s="65" t="s">
        <v>435</v>
      </c>
      <c r="B113" s="62">
        <v>2025</v>
      </c>
      <c r="C113" s="65">
        <v>49</v>
      </c>
      <c r="D113" s="62" t="s">
        <v>447</v>
      </c>
      <c r="E113" s="62">
        <v>1</v>
      </c>
      <c r="F113" s="62">
        <v>1</v>
      </c>
      <c r="G113" s="63">
        <v>45628.722916666702</v>
      </c>
      <c r="H113" s="63">
        <v>45628.734722222202</v>
      </c>
      <c r="I113" s="64">
        <v>1.1805555499449838E-2</v>
      </c>
      <c r="J113" s="64" t="s">
        <v>437</v>
      </c>
      <c r="K113" s="74" t="s">
        <v>457</v>
      </c>
      <c r="L113" s="65" t="s">
        <v>17</v>
      </c>
      <c r="M113" s="19"/>
    </row>
    <row r="114" spans="1:13" x14ac:dyDescent="0.3">
      <c r="A114" s="65" t="s">
        <v>435</v>
      </c>
      <c r="B114" s="62">
        <v>2025</v>
      </c>
      <c r="C114" s="65">
        <v>49</v>
      </c>
      <c r="D114" s="62" t="s">
        <v>447</v>
      </c>
      <c r="E114" s="62">
        <v>1</v>
      </c>
      <c r="F114" s="62">
        <v>1</v>
      </c>
      <c r="G114" s="63">
        <v>45629.438194444403</v>
      </c>
      <c r="H114" s="63">
        <v>45629.441666666702</v>
      </c>
      <c r="I114" s="64">
        <v>3.472222299023997E-3</v>
      </c>
      <c r="J114" s="64" t="s">
        <v>437</v>
      </c>
      <c r="K114" s="19" t="s">
        <v>456</v>
      </c>
      <c r="L114" s="65" t="s">
        <v>17</v>
      </c>
      <c r="M114" s="19"/>
    </row>
    <row r="115" spans="1:13" x14ac:dyDescent="0.3">
      <c r="A115" s="65" t="s">
        <v>435</v>
      </c>
      <c r="B115" s="62">
        <v>2025</v>
      </c>
      <c r="C115" s="65">
        <v>49</v>
      </c>
      <c r="D115" s="62" t="s">
        <v>447</v>
      </c>
      <c r="E115" s="62">
        <v>1</v>
      </c>
      <c r="F115" s="62">
        <v>1</v>
      </c>
      <c r="G115" s="63">
        <v>45629.653472222199</v>
      </c>
      <c r="H115" s="63">
        <v>45629.668055555601</v>
      </c>
      <c r="I115" s="64">
        <v>1.4583333402697463E-2</v>
      </c>
      <c r="J115" s="64" t="s">
        <v>437</v>
      </c>
      <c r="K115" s="75" t="s">
        <v>458</v>
      </c>
      <c r="L115" s="65" t="s">
        <v>459</v>
      </c>
      <c r="M115" s="19"/>
    </row>
    <row r="116" spans="1:13" x14ac:dyDescent="0.3">
      <c r="A116" s="65" t="s">
        <v>435</v>
      </c>
      <c r="B116" s="62">
        <v>2025</v>
      </c>
      <c r="C116" s="65">
        <v>49</v>
      </c>
      <c r="D116" s="62" t="s">
        <v>447</v>
      </c>
      <c r="E116" s="62">
        <v>1</v>
      </c>
      <c r="F116" s="62">
        <v>1</v>
      </c>
      <c r="G116" s="63">
        <v>45630.767361111102</v>
      </c>
      <c r="H116" s="63">
        <v>45630.771527777797</v>
      </c>
      <c r="I116" s="64">
        <v>4.1666666948003694E-3</v>
      </c>
      <c r="J116" s="64" t="s">
        <v>437</v>
      </c>
      <c r="K116" s="19" t="s">
        <v>456</v>
      </c>
      <c r="L116" s="65" t="s">
        <v>17</v>
      </c>
      <c r="M116" s="19"/>
    </row>
    <row r="117" spans="1:13" x14ac:dyDescent="0.3">
      <c r="A117" s="65" t="s">
        <v>435</v>
      </c>
      <c r="B117" s="62">
        <v>2025</v>
      </c>
      <c r="C117" s="65">
        <v>49</v>
      </c>
      <c r="D117" s="62" t="s">
        <v>447</v>
      </c>
      <c r="E117" s="62">
        <v>1</v>
      </c>
      <c r="F117" s="62">
        <v>1</v>
      </c>
      <c r="G117" s="63">
        <v>45631.688888888901</v>
      </c>
      <c r="H117" s="63">
        <v>45631.729166666701</v>
      </c>
      <c r="I117" s="64">
        <v>4.0277777799929027E-2</v>
      </c>
      <c r="J117" s="64" t="s">
        <v>437</v>
      </c>
      <c r="K117" s="19" t="s">
        <v>456</v>
      </c>
      <c r="L117" s="65" t="s">
        <v>459</v>
      </c>
      <c r="M117" s="19"/>
    </row>
    <row r="118" spans="1:13" x14ac:dyDescent="0.3">
      <c r="A118" s="65" t="s">
        <v>435</v>
      </c>
      <c r="B118" s="62">
        <v>2025</v>
      </c>
      <c r="C118" s="65">
        <v>49</v>
      </c>
      <c r="D118" s="62" t="s">
        <v>447</v>
      </c>
      <c r="E118" s="62">
        <v>1</v>
      </c>
      <c r="F118" s="62">
        <v>1</v>
      </c>
      <c r="G118" s="63">
        <v>45632.461111111101</v>
      </c>
      <c r="H118" s="63">
        <v>45632.487500000003</v>
      </c>
      <c r="I118" s="64">
        <v>2.6388888902147301E-2</v>
      </c>
      <c r="J118" s="64" t="s">
        <v>437</v>
      </c>
      <c r="K118" s="19" t="s">
        <v>456</v>
      </c>
      <c r="L118" s="65" t="s">
        <v>17</v>
      </c>
      <c r="M118" s="19"/>
    </row>
    <row r="119" spans="1:13" x14ac:dyDescent="0.3">
      <c r="A119" s="65" t="s">
        <v>435</v>
      </c>
      <c r="B119" s="62">
        <v>2025</v>
      </c>
      <c r="C119" s="65">
        <v>50</v>
      </c>
      <c r="D119" s="62" t="s">
        <v>436</v>
      </c>
      <c r="E119" s="62">
        <v>2</v>
      </c>
      <c r="F119" s="62">
        <v>1</v>
      </c>
      <c r="G119" s="63">
        <v>45636.540972222203</v>
      </c>
      <c r="H119" s="63">
        <v>45636.5444444444</v>
      </c>
      <c r="I119" s="64">
        <v>3.4722221971605904E-3</v>
      </c>
      <c r="J119" s="64" t="s">
        <v>437</v>
      </c>
      <c r="K119" s="75" t="s">
        <v>458</v>
      </c>
      <c r="L119" s="65" t="s">
        <v>68</v>
      </c>
      <c r="M119" s="19"/>
    </row>
    <row r="120" spans="1:13" x14ac:dyDescent="0.3">
      <c r="A120" s="65" t="s">
        <v>435</v>
      </c>
      <c r="B120" s="62">
        <v>2025</v>
      </c>
      <c r="C120" s="65">
        <v>50</v>
      </c>
      <c r="D120" s="62" t="s">
        <v>436</v>
      </c>
      <c r="E120" s="62">
        <v>2</v>
      </c>
      <c r="F120" s="62">
        <v>1</v>
      </c>
      <c r="G120" s="63">
        <v>45636.6784722222</v>
      </c>
      <c r="H120" s="63">
        <v>45636.7006944444</v>
      </c>
      <c r="I120" s="64">
        <v>2.2222222200070973E-2</v>
      </c>
      <c r="J120" s="64" t="s">
        <v>437</v>
      </c>
      <c r="K120" s="19" t="s">
        <v>456</v>
      </c>
      <c r="L120" s="65" t="s">
        <v>17</v>
      </c>
      <c r="M120" s="19"/>
    </row>
    <row r="121" spans="1:13" x14ac:dyDescent="0.3">
      <c r="A121" s="65" t="s">
        <v>435</v>
      </c>
      <c r="B121" s="62">
        <v>2025</v>
      </c>
      <c r="C121" s="65">
        <v>50</v>
      </c>
      <c r="D121" s="62" t="s">
        <v>436</v>
      </c>
      <c r="E121" s="62">
        <v>2</v>
      </c>
      <c r="F121" s="62">
        <v>1</v>
      </c>
      <c r="G121" s="63">
        <v>45638.436805555597</v>
      </c>
      <c r="H121" s="63">
        <v>45638.445833333302</v>
      </c>
      <c r="I121" s="64">
        <v>9.0277777053415775E-3</v>
      </c>
      <c r="J121" s="64" t="s">
        <v>437</v>
      </c>
      <c r="K121" s="75" t="s">
        <v>458</v>
      </c>
      <c r="L121" s="65" t="s">
        <v>68</v>
      </c>
      <c r="M121" s="19"/>
    </row>
    <row r="122" spans="1:13" x14ac:dyDescent="0.3">
      <c r="A122" s="65" t="s">
        <v>435</v>
      </c>
      <c r="B122" s="62">
        <v>2025</v>
      </c>
      <c r="C122" s="65">
        <v>50</v>
      </c>
      <c r="D122" s="62" t="s">
        <v>436</v>
      </c>
      <c r="E122" s="62">
        <v>2</v>
      </c>
      <c r="F122" s="62">
        <v>1</v>
      </c>
      <c r="G122" s="63">
        <v>45638.517361111102</v>
      </c>
      <c r="H122" s="63">
        <v>45638.53125</v>
      </c>
      <c r="I122" s="64">
        <v>1.3888888897781726E-2</v>
      </c>
      <c r="J122" s="64" t="s">
        <v>437</v>
      </c>
      <c r="K122" s="19" t="s">
        <v>456</v>
      </c>
      <c r="L122" s="65" t="s">
        <v>17</v>
      </c>
      <c r="M122" s="19"/>
    </row>
    <row r="123" spans="1:13" x14ac:dyDescent="0.3">
      <c r="A123" s="65" t="s">
        <v>435</v>
      </c>
      <c r="B123" s="62">
        <v>2025</v>
      </c>
      <c r="C123" s="65">
        <v>50</v>
      </c>
      <c r="D123" s="62" t="s">
        <v>436</v>
      </c>
      <c r="E123" s="62">
        <v>2</v>
      </c>
      <c r="F123" s="62">
        <v>1</v>
      </c>
      <c r="G123" s="63">
        <v>45638.597222222197</v>
      </c>
      <c r="H123" s="63">
        <v>45638.606249999997</v>
      </c>
      <c r="I123" s="64">
        <v>9.0277777999290265E-3</v>
      </c>
      <c r="J123" s="64" t="s">
        <v>437</v>
      </c>
      <c r="K123" s="19" t="s">
        <v>456</v>
      </c>
      <c r="L123" s="65" t="s">
        <v>17</v>
      </c>
      <c r="M123" s="19"/>
    </row>
    <row r="124" spans="1:13" x14ac:dyDescent="0.3">
      <c r="A124" s="65" t="s">
        <v>435</v>
      </c>
      <c r="B124" s="62">
        <v>2025</v>
      </c>
      <c r="C124" s="65">
        <v>50</v>
      </c>
      <c r="D124" s="62" t="s">
        <v>436</v>
      </c>
      <c r="E124" s="62">
        <v>2</v>
      </c>
      <c r="F124" s="62">
        <v>1</v>
      </c>
      <c r="G124" s="63">
        <v>45639.414583333302</v>
      </c>
      <c r="H124" s="63">
        <v>45639.456250000003</v>
      </c>
      <c r="I124" s="64">
        <v>4.1666666700621136E-2</v>
      </c>
      <c r="J124" s="64" t="s">
        <v>437</v>
      </c>
      <c r="K124" s="75" t="s">
        <v>458</v>
      </c>
      <c r="L124" s="65" t="s">
        <v>68</v>
      </c>
      <c r="M124" s="19"/>
    </row>
    <row r="125" spans="1:13" x14ac:dyDescent="0.3">
      <c r="A125" s="65" t="s">
        <v>435</v>
      </c>
      <c r="B125" s="62">
        <v>2025</v>
      </c>
      <c r="C125" s="65">
        <v>50</v>
      </c>
      <c r="D125" s="62" t="s">
        <v>436</v>
      </c>
      <c r="E125" s="62">
        <v>2</v>
      </c>
      <c r="F125" s="62">
        <v>1</v>
      </c>
      <c r="G125" s="63">
        <v>45639.414583333302</v>
      </c>
      <c r="H125" s="63">
        <v>45639.456250000003</v>
      </c>
      <c r="I125" s="64">
        <v>4.1666666700621136E-2</v>
      </c>
      <c r="J125" s="64" t="s">
        <v>437</v>
      </c>
      <c r="K125" s="75" t="s">
        <v>458</v>
      </c>
      <c r="L125" s="65" t="s">
        <v>68</v>
      </c>
      <c r="M125" s="19"/>
    </row>
    <row r="126" spans="1:13" x14ac:dyDescent="0.3">
      <c r="A126" s="65" t="s">
        <v>435</v>
      </c>
      <c r="B126" s="62">
        <v>2025</v>
      </c>
      <c r="C126" s="65">
        <v>50</v>
      </c>
      <c r="D126" s="62" t="s">
        <v>436</v>
      </c>
      <c r="E126" s="62">
        <v>2</v>
      </c>
      <c r="F126" s="62">
        <v>1</v>
      </c>
      <c r="G126" s="63">
        <v>45639.586111111101</v>
      </c>
      <c r="H126" s="63">
        <v>45639.625</v>
      </c>
      <c r="I126" s="64">
        <v>3.8888888899236917E-2</v>
      </c>
      <c r="J126" s="64" t="s">
        <v>437</v>
      </c>
      <c r="K126" s="75" t="s">
        <v>458</v>
      </c>
      <c r="L126" s="65" t="s">
        <v>68</v>
      </c>
      <c r="M126" s="19"/>
    </row>
    <row r="127" spans="1:13" x14ac:dyDescent="0.3">
      <c r="A127" s="65" t="s">
        <v>435</v>
      </c>
      <c r="B127" s="62">
        <v>2025</v>
      </c>
      <c r="C127" s="65">
        <v>50</v>
      </c>
      <c r="D127" s="62" t="s">
        <v>436</v>
      </c>
      <c r="E127" s="62">
        <v>2</v>
      </c>
      <c r="F127" s="62">
        <v>1</v>
      </c>
      <c r="G127" s="63">
        <v>45639.740277777797</v>
      </c>
      <c r="H127" s="63">
        <v>45639.748611111099</v>
      </c>
      <c r="I127" s="64">
        <v>8.3333333022892475E-3</v>
      </c>
      <c r="J127" s="64" t="s">
        <v>437</v>
      </c>
      <c r="K127" s="19" t="s">
        <v>456</v>
      </c>
      <c r="L127" s="65" t="s">
        <v>17</v>
      </c>
      <c r="M127" s="19"/>
    </row>
    <row r="128" spans="1:13" x14ac:dyDescent="0.3">
      <c r="A128" s="65" t="s">
        <v>435</v>
      </c>
      <c r="B128" s="62">
        <v>2025</v>
      </c>
      <c r="C128" s="65">
        <v>51</v>
      </c>
      <c r="D128" s="62" t="s">
        <v>449</v>
      </c>
      <c r="E128" s="62">
        <v>3</v>
      </c>
      <c r="F128" s="62">
        <v>1</v>
      </c>
      <c r="G128" s="63">
        <v>45641.665972222203</v>
      </c>
      <c r="H128" s="63">
        <v>45641.8034722222</v>
      </c>
      <c r="I128" s="76">
        <v>0.13749999999708962</v>
      </c>
      <c r="J128" s="64" t="s">
        <v>437</v>
      </c>
      <c r="K128" s="75" t="s">
        <v>458</v>
      </c>
      <c r="L128" s="65" t="s">
        <v>459</v>
      </c>
      <c r="M128" s="19"/>
    </row>
    <row r="129" spans="1:13" x14ac:dyDescent="0.3">
      <c r="A129" s="65" t="s">
        <v>435</v>
      </c>
      <c r="B129" s="62">
        <v>2025</v>
      </c>
      <c r="C129" s="65">
        <v>51</v>
      </c>
      <c r="D129" s="62" t="s">
        <v>449</v>
      </c>
      <c r="E129" s="62">
        <v>3</v>
      </c>
      <c r="F129" s="62">
        <v>1</v>
      </c>
      <c r="G129" s="63">
        <v>45642.706250000003</v>
      </c>
      <c r="H129" s="63">
        <v>45642.711805555598</v>
      </c>
      <c r="I129" s="64">
        <v>5.5555555954924785E-3</v>
      </c>
      <c r="J129" s="64" t="s">
        <v>437</v>
      </c>
      <c r="K129" s="19" t="s">
        <v>456</v>
      </c>
      <c r="L129" s="65" t="s">
        <v>17</v>
      </c>
      <c r="M129" s="19"/>
    </row>
    <row r="130" spans="1:13" x14ac:dyDescent="0.3">
      <c r="A130" s="65" t="s">
        <v>435</v>
      </c>
      <c r="B130" s="62">
        <v>2025</v>
      </c>
      <c r="C130" s="65">
        <v>51</v>
      </c>
      <c r="D130" s="62" t="s">
        <v>449</v>
      </c>
      <c r="E130" s="62">
        <v>3</v>
      </c>
      <c r="F130" s="62">
        <v>1</v>
      </c>
      <c r="G130" s="63">
        <v>45643.546527777777</v>
      </c>
      <c r="H130" s="63">
        <v>45643.559027777781</v>
      </c>
      <c r="I130" s="64">
        <v>1.2500000004365575E-2</v>
      </c>
      <c r="J130" s="64" t="s">
        <v>437</v>
      </c>
      <c r="K130" s="19" t="s">
        <v>456</v>
      </c>
      <c r="L130" s="65" t="s">
        <v>17</v>
      </c>
      <c r="M130" s="19"/>
    </row>
    <row r="131" spans="1:13" x14ac:dyDescent="0.3">
      <c r="A131" s="65" t="s">
        <v>435</v>
      </c>
      <c r="B131" s="62">
        <v>2025</v>
      </c>
      <c r="C131" s="65">
        <v>51</v>
      </c>
      <c r="D131" s="62" t="s">
        <v>449</v>
      </c>
      <c r="E131" s="62">
        <v>3</v>
      </c>
      <c r="F131" s="62">
        <v>1</v>
      </c>
      <c r="G131" s="63">
        <v>45643.68472222222</v>
      </c>
      <c r="H131" s="63">
        <v>45643.702777777777</v>
      </c>
      <c r="I131" s="64">
        <v>1.8055555556202307E-2</v>
      </c>
      <c r="J131" s="64" t="s">
        <v>437</v>
      </c>
      <c r="K131" s="19" t="s">
        <v>456</v>
      </c>
      <c r="L131" s="65" t="s">
        <v>17</v>
      </c>
      <c r="M131" s="19"/>
    </row>
    <row r="132" spans="1:13" x14ac:dyDescent="0.3">
      <c r="A132" s="65" t="s">
        <v>435</v>
      </c>
      <c r="B132" s="62">
        <v>2025</v>
      </c>
      <c r="C132" s="65">
        <v>51</v>
      </c>
      <c r="D132" s="62" t="s">
        <v>449</v>
      </c>
      <c r="E132" s="62">
        <v>3</v>
      </c>
      <c r="F132" s="62">
        <v>1</v>
      </c>
      <c r="G132" s="63">
        <v>45643.746527777781</v>
      </c>
      <c r="H132" s="63">
        <v>45643.765972222223</v>
      </c>
      <c r="I132" s="64">
        <v>1.9444444442342501E-2</v>
      </c>
      <c r="J132" s="64" t="s">
        <v>437</v>
      </c>
      <c r="K132" s="19" t="s">
        <v>456</v>
      </c>
      <c r="L132" s="65" t="s">
        <v>23</v>
      </c>
      <c r="M132" s="19"/>
    </row>
    <row r="133" spans="1:13" x14ac:dyDescent="0.3">
      <c r="A133" s="65" t="s">
        <v>435</v>
      </c>
      <c r="B133" s="62">
        <v>2025</v>
      </c>
      <c r="C133" s="65">
        <v>51</v>
      </c>
      <c r="D133" s="62" t="s">
        <v>449</v>
      </c>
      <c r="E133" s="62">
        <v>3</v>
      </c>
      <c r="F133" s="62">
        <v>1</v>
      </c>
      <c r="G133" s="63">
        <v>45644.628472222219</v>
      </c>
      <c r="H133" s="63">
        <v>45644.631249999999</v>
      </c>
      <c r="I133" s="64">
        <v>2.7777777795563452E-3</v>
      </c>
      <c r="J133" s="64" t="s">
        <v>437</v>
      </c>
      <c r="K133" s="19" t="s">
        <v>456</v>
      </c>
      <c r="L133" s="65" t="s">
        <v>26</v>
      </c>
      <c r="M133" s="19"/>
    </row>
    <row r="134" spans="1:13" x14ac:dyDescent="0.3">
      <c r="A134" s="65" t="s">
        <v>435</v>
      </c>
      <c r="B134" s="62">
        <v>2025</v>
      </c>
      <c r="C134" s="65">
        <v>51</v>
      </c>
      <c r="D134" s="62" t="s">
        <v>449</v>
      </c>
      <c r="E134" s="62">
        <v>3</v>
      </c>
      <c r="F134" s="62">
        <v>1</v>
      </c>
      <c r="G134" s="63">
        <v>45644.643750000003</v>
      </c>
      <c r="H134" s="63">
        <v>45644.660416666666</v>
      </c>
      <c r="I134" s="64">
        <v>1.6666666662786156E-2</v>
      </c>
      <c r="J134" s="64" t="s">
        <v>437</v>
      </c>
      <c r="K134" s="75" t="s">
        <v>458</v>
      </c>
      <c r="L134" s="65" t="s">
        <v>459</v>
      </c>
      <c r="M134" s="19"/>
    </row>
    <row r="135" spans="1:13" x14ac:dyDescent="0.3">
      <c r="A135" s="65" t="s">
        <v>435</v>
      </c>
      <c r="B135" s="62">
        <v>2025</v>
      </c>
      <c r="C135" s="65">
        <v>51</v>
      </c>
      <c r="D135" s="62" t="s">
        <v>449</v>
      </c>
      <c r="E135" s="62">
        <v>3</v>
      </c>
      <c r="F135" s="62">
        <v>1</v>
      </c>
      <c r="G135" s="63">
        <v>45644.643750000003</v>
      </c>
      <c r="H135" s="63">
        <v>45644.660416666666</v>
      </c>
      <c r="I135" s="64">
        <v>1.6666666662786156E-2</v>
      </c>
      <c r="J135" s="64" t="s">
        <v>437</v>
      </c>
      <c r="K135" s="75" t="s">
        <v>458</v>
      </c>
      <c r="L135" s="65" t="s">
        <v>459</v>
      </c>
      <c r="M135" s="19"/>
    </row>
    <row r="136" spans="1:13" x14ac:dyDescent="0.3">
      <c r="A136" s="65" t="s">
        <v>435</v>
      </c>
      <c r="B136" s="62">
        <v>2025</v>
      </c>
      <c r="C136" s="65">
        <v>51</v>
      </c>
      <c r="D136" s="62" t="s">
        <v>449</v>
      </c>
      <c r="E136" s="62">
        <v>3</v>
      </c>
      <c r="F136" s="62">
        <v>1</v>
      </c>
      <c r="G136" s="63">
        <v>45644.652777777781</v>
      </c>
      <c r="H136" s="63">
        <v>45644.663194444445</v>
      </c>
      <c r="I136" s="64">
        <v>1.0416666664241347E-2</v>
      </c>
      <c r="J136" s="64" t="s">
        <v>437</v>
      </c>
      <c r="K136" s="19" t="s">
        <v>456</v>
      </c>
      <c r="L136" s="65" t="s">
        <v>26</v>
      </c>
      <c r="M136" s="19"/>
    </row>
    <row r="137" spans="1:13" x14ac:dyDescent="0.3">
      <c r="A137" s="65" t="s">
        <v>435</v>
      </c>
      <c r="B137" s="62">
        <v>2025</v>
      </c>
      <c r="C137" s="65">
        <v>51</v>
      </c>
      <c r="D137" s="62" t="s">
        <v>449</v>
      </c>
      <c r="E137" s="62">
        <v>3</v>
      </c>
      <c r="F137" s="62">
        <v>1</v>
      </c>
      <c r="G137" s="63">
        <v>45644.659722222219</v>
      </c>
      <c r="H137" s="63">
        <v>45644.668055555558</v>
      </c>
      <c r="I137" s="64">
        <v>8.3333333386690356E-3</v>
      </c>
      <c r="J137" s="64" t="s">
        <v>437</v>
      </c>
      <c r="K137" s="19" t="s">
        <v>456</v>
      </c>
      <c r="L137" s="65" t="s">
        <v>26</v>
      </c>
      <c r="M137" s="19"/>
    </row>
    <row r="138" spans="1:13" x14ac:dyDescent="0.3">
      <c r="A138" s="65" t="s">
        <v>435</v>
      </c>
      <c r="B138" s="62">
        <v>2025</v>
      </c>
      <c r="C138" s="65">
        <v>51</v>
      </c>
      <c r="D138" s="62" t="s">
        <v>449</v>
      </c>
      <c r="E138" s="62">
        <v>3</v>
      </c>
      <c r="F138" s="62">
        <v>1</v>
      </c>
      <c r="G138" s="63">
        <v>45645.543055555558</v>
      </c>
      <c r="H138" s="63">
        <v>45645.552777777775</v>
      </c>
      <c r="I138" s="64">
        <v>9.7222222175332718E-3</v>
      </c>
      <c r="J138" s="64" t="s">
        <v>437</v>
      </c>
      <c r="K138" s="19" t="s">
        <v>456</v>
      </c>
      <c r="L138" s="65" t="s">
        <v>17</v>
      </c>
      <c r="M138" s="19"/>
    </row>
    <row r="139" spans="1:13" x14ac:dyDescent="0.3">
      <c r="A139" s="65" t="s">
        <v>435</v>
      </c>
      <c r="B139" s="62">
        <v>2025</v>
      </c>
      <c r="C139" s="65">
        <v>49</v>
      </c>
      <c r="D139" s="62" t="s">
        <v>447</v>
      </c>
      <c r="E139" s="62">
        <v>1</v>
      </c>
      <c r="F139" s="62">
        <v>1</v>
      </c>
      <c r="G139" s="63">
        <v>45646.509722222225</v>
      </c>
      <c r="H139" s="63">
        <v>45646.512499999997</v>
      </c>
      <c r="I139" s="64">
        <v>2.7777777722803876E-3</v>
      </c>
      <c r="J139" s="64" t="s">
        <v>437</v>
      </c>
      <c r="K139" s="19" t="s">
        <v>456</v>
      </c>
      <c r="L139" s="65" t="s">
        <v>23</v>
      </c>
      <c r="M139" s="19"/>
    </row>
    <row r="140" spans="1:13" x14ac:dyDescent="0.3">
      <c r="A140" s="65" t="s">
        <v>435</v>
      </c>
      <c r="B140" s="62">
        <v>2025</v>
      </c>
      <c r="C140" s="65">
        <v>52</v>
      </c>
      <c r="D140" s="62" t="s">
        <v>440</v>
      </c>
      <c r="E140" s="62">
        <v>4</v>
      </c>
      <c r="F140" s="62">
        <v>1</v>
      </c>
      <c r="G140" s="63">
        <v>45650.497916666667</v>
      </c>
      <c r="H140" s="63">
        <v>45650.531944444447</v>
      </c>
      <c r="I140" s="64">
        <v>3.4027777779556345E-2</v>
      </c>
      <c r="J140" s="64" t="s">
        <v>437</v>
      </c>
      <c r="K140" s="19" t="s">
        <v>456</v>
      </c>
      <c r="L140" s="65" t="s">
        <v>17</v>
      </c>
      <c r="M140" s="19"/>
    </row>
    <row r="141" spans="1:13" x14ac:dyDescent="0.3">
      <c r="A141" s="65" t="s">
        <v>435</v>
      </c>
      <c r="B141" s="62">
        <v>2025</v>
      </c>
      <c r="C141" s="65">
        <v>52</v>
      </c>
      <c r="D141" s="62" t="s">
        <v>440</v>
      </c>
      <c r="E141" s="62">
        <v>4</v>
      </c>
      <c r="F141" s="62">
        <v>1</v>
      </c>
      <c r="G141" s="63">
        <v>45650.497916666667</v>
      </c>
      <c r="H141" s="63">
        <v>45650.531944444447</v>
      </c>
      <c r="I141" s="64">
        <v>3.4027777779556345E-2</v>
      </c>
      <c r="J141" s="64" t="s">
        <v>437</v>
      </c>
      <c r="K141" s="19" t="s">
        <v>456</v>
      </c>
      <c r="L141" s="65" t="s">
        <v>17</v>
      </c>
      <c r="M141" s="19"/>
    </row>
    <row r="142" spans="1:13" x14ac:dyDescent="0.3">
      <c r="A142" s="65" t="s">
        <v>435</v>
      </c>
      <c r="B142" s="62">
        <v>2025</v>
      </c>
      <c r="C142" s="65">
        <v>52</v>
      </c>
      <c r="D142" s="62" t="s">
        <v>440</v>
      </c>
      <c r="E142" s="62">
        <v>4</v>
      </c>
      <c r="F142" s="62">
        <v>1</v>
      </c>
      <c r="G142" s="63">
        <v>45650.497916666667</v>
      </c>
      <c r="H142" s="63">
        <v>45650.531944444447</v>
      </c>
      <c r="I142" s="64">
        <v>3.4027777779556345E-2</v>
      </c>
      <c r="J142" s="64" t="s">
        <v>437</v>
      </c>
      <c r="K142" s="19" t="s">
        <v>456</v>
      </c>
      <c r="L142" s="65" t="s">
        <v>17</v>
      </c>
      <c r="M142" s="19"/>
    </row>
    <row r="143" spans="1:13" x14ac:dyDescent="0.3">
      <c r="A143" s="65" t="s">
        <v>435</v>
      </c>
      <c r="B143" s="62">
        <v>2025</v>
      </c>
      <c r="C143" s="65">
        <v>52</v>
      </c>
      <c r="D143" s="62" t="s">
        <v>440</v>
      </c>
      <c r="E143" s="62">
        <v>4</v>
      </c>
      <c r="F143" s="62">
        <v>1</v>
      </c>
      <c r="G143" s="63">
        <v>45650.663888888892</v>
      </c>
      <c r="H143" s="63">
        <v>45650.668749999997</v>
      </c>
      <c r="I143" s="64">
        <v>4.8611111051286571E-3</v>
      </c>
      <c r="J143" s="64" t="s">
        <v>437</v>
      </c>
      <c r="K143" s="19" t="s">
        <v>456</v>
      </c>
      <c r="L143" s="65" t="s">
        <v>17</v>
      </c>
      <c r="M143" s="19"/>
    </row>
    <row r="144" spans="1:13" x14ac:dyDescent="0.3">
      <c r="A144" s="65" t="s">
        <v>435</v>
      </c>
      <c r="B144" s="62">
        <v>2025</v>
      </c>
      <c r="C144" s="65">
        <v>52</v>
      </c>
      <c r="D144" s="62" t="s">
        <v>440</v>
      </c>
      <c r="E144" s="62">
        <v>4</v>
      </c>
      <c r="F144" s="62">
        <v>1</v>
      </c>
      <c r="G144" s="63">
        <v>45652.586111111108</v>
      </c>
      <c r="H144" s="63">
        <v>45652.615277777775</v>
      </c>
      <c r="I144" s="64">
        <v>2.9166666667151731E-2</v>
      </c>
      <c r="J144" s="64" t="s">
        <v>437</v>
      </c>
      <c r="K144" s="19" t="s">
        <v>456</v>
      </c>
      <c r="L144" s="65" t="s">
        <v>19</v>
      </c>
      <c r="M144" s="19"/>
    </row>
    <row r="145" spans="1:13" x14ac:dyDescent="0.3">
      <c r="A145" s="65" t="s">
        <v>435</v>
      </c>
      <c r="B145" s="62">
        <v>2025</v>
      </c>
      <c r="C145" s="65">
        <v>52</v>
      </c>
      <c r="D145" s="62" t="s">
        <v>440</v>
      </c>
      <c r="E145" s="62">
        <v>4</v>
      </c>
      <c r="F145" s="62">
        <v>1</v>
      </c>
      <c r="G145" s="63">
        <v>45653.48541666667</v>
      </c>
      <c r="H145" s="63">
        <v>45653.489583333336</v>
      </c>
      <c r="I145" s="64">
        <v>4.166666665696539E-3</v>
      </c>
      <c r="J145" s="64" t="s">
        <v>437</v>
      </c>
      <c r="K145" s="19" t="s">
        <v>456</v>
      </c>
      <c r="L145" s="65" t="s">
        <v>17</v>
      </c>
      <c r="M145" s="19"/>
    </row>
    <row r="146" spans="1:13" x14ac:dyDescent="0.3">
      <c r="A146" s="65" t="s">
        <v>435</v>
      </c>
      <c r="B146" s="62">
        <v>2025</v>
      </c>
      <c r="C146" s="65">
        <v>52</v>
      </c>
      <c r="D146" s="62" t="s">
        <v>440</v>
      </c>
      <c r="E146" s="62">
        <v>4</v>
      </c>
      <c r="F146" s="62">
        <v>1</v>
      </c>
      <c r="G146" s="63">
        <v>45653.48541666667</v>
      </c>
      <c r="H146" s="63">
        <v>45653.489583333336</v>
      </c>
      <c r="I146" s="64">
        <v>4.166666665696539E-3</v>
      </c>
      <c r="J146" s="64" t="s">
        <v>437</v>
      </c>
      <c r="K146" s="19" t="s">
        <v>456</v>
      </c>
      <c r="L146" s="65" t="s">
        <v>17</v>
      </c>
      <c r="M146" s="19"/>
    </row>
    <row r="147" spans="1:13" x14ac:dyDescent="0.3">
      <c r="A147" s="65" t="s">
        <v>435</v>
      </c>
      <c r="B147" s="62">
        <v>2025</v>
      </c>
      <c r="C147" s="65">
        <v>52</v>
      </c>
      <c r="D147" s="62" t="s">
        <v>440</v>
      </c>
      <c r="E147" s="62">
        <v>4</v>
      </c>
      <c r="F147" s="62">
        <v>1</v>
      </c>
      <c r="G147" s="63">
        <v>45653.668055555558</v>
      </c>
      <c r="H147" s="63">
        <v>45653.684027777781</v>
      </c>
      <c r="I147" s="64">
        <v>1.5972222223354038E-2</v>
      </c>
      <c r="J147" s="64" t="s">
        <v>437</v>
      </c>
      <c r="K147" s="19" t="s">
        <v>456</v>
      </c>
      <c r="L147" s="65" t="s">
        <v>17</v>
      </c>
      <c r="M147" s="19"/>
    </row>
    <row r="148" spans="1:13" x14ac:dyDescent="0.3">
      <c r="A148" s="65" t="s">
        <v>435</v>
      </c>
      <c r="B148" s="62">
        <v>2025</v>
      </c>
      <c r="C148" s="65">
        <v>53</v>
      </c>
      <c r="D148" s="62" t="s">
        <v>444</v>
      </c>
      <c r="E148" s="62">
        <v>5</v>
      </c>
      <c r="F148" s="62">
        <v>1</v>
      </c>
      <c r="G148" s="63">
        <v>45656.474305555559</v>
      </c>
      <c r="H148" s="63">
        <v>45656.481944444444</v>
      </c>
      <c r="I148" s="64">
        <v>7.6388888846850023E-3</v>
      </c>
      <c r="J148" s="64" t="s">
        <v>437</v>
      </c>
      <c r="K148" s="19" t="s">
        <v>456</v>
      </c>
      <c r="L148" s="65" t="s">
        <v>19</v>
      </c>
      <c r="M148" s="19"/>
    </row>
    <row r="149" spans="1:13" x14ac:dyDescent="0.3">
      <c r="A149" s="65" t="s">
        <v>435</v>
      </c>
      <c r="B149" s="62">
        <v>2025</v>
      </c>
      <c r="C149" s="65">
        <v>53</v>
      </c>
      <c r="D149" s="62" t="s">
        <v>444</v>
      </c>
      <c r="E149" s="62">
        <v>5</v>
      </c>
      <c r="F149" s="62">
        <v>1</v>
      </c>
      <c r="G149" s="63">
        <v>45656.620138888888</v>
      </c>
      <c r="H149" s="63">
        <v>45656.622916666667</v>
      </c>
      <c r="I149" s="64">
        <v>2.7777777795563452E-3</v>
      </c>
      <c r="J149" s="64" t="s">
        <v>437</v>
      </c>
      <c r="K149" s="19" t="s">
        <v>456</v>
      </c>
      <c r="L149" s="65" t="s">
        <v>17</v>
      </c>
      <c r="M149" s="19"/>
    </row>
    <row r="150" spans="1:13" x14ac:dyDescent="0.3">
      <c r="A150" s="65" t="s">
        <v>435</v>
      </c>
      <c r="B150" s="62">
        <v>2025</v>
      </c>
      <c r="C150" s="65">
        <v>53</v>
      </c>
      <c r="D150" s="62" t="s">
        <v>444</v>
      </c>
      <c r="E150" s="62">
        <v>5</v>
      </c>
      <c r="F150" s="62">
        <v>1</v>
      </c>
      <c r="G150" s="63">
        <v>45656.65</v>
      </c>
      <c r="H150" s="63">
        <v>45656.65625</v>
      </c>
      <c r="I150" s="64">
        <v>6.2499999985448085E-3</v>
      </c>
      <c r="J150" s="64" t="s">
        <v>437</v>
      </c>
      <c r="K150" s="74" t="s">
        <v>457</v>
      </c>
      <c r="L150" s="65" t="s">
        <v>26</v>
      </c>
      <c r="M150" s="19"/>
    </row>
  </sheetData>
  <conditionalFormatting sqref="G2:H2">
    <cfRule type="timePeriod" dxfId="3" priority="4" timePeriod="lastWeek">
      <formula>AND(TODAY()-ROUNDDOWN(G2,0)&gt;=(WEEKDAY(TODAY())),TODAY()-ROUNDDOWN(G2,0)&lt;(WEEKDAY(TODAY())+7))</formula>
    </cfRule>
  </conditionalFormatting>
  <conditionalFormatting sqref="G4:H4 H5">
    <cfRule type="timePeriod" dxfId="2" priority="3" timePeriod="lastWeek">
      <formula>AND(TODAY()-ROUNDDOWN(G4,0)&gt;=(WEEKDAY(TODAY())),TODAY()-ROUNDDOWN(G4,0)&lt;(WEEKDAY(TODAY())+7))</formula>
    </cfRule>
  </conditionalFormatting>
  <conditionalFormatting sqref="G6:H6">
    <cfRule type="timePeriod" dxfId="1" priority="2" timePeriod="lastWeek">
      <formula>AND(TODAY()-ROUNDDOWN(G6,0)&gt;=(WEEKDAY(TODAY())),TODAY()-ROUNDDOWN(G6,0)&lt;(WEEKDAY(TODAY())+7))</formula>
    </cfRule>
  </conditionalFormatting>
  <conditionalFormatting sqref="L4:L5">
    <cfRule type="timePeriod" dxfId="0" priority="1" timePeriod="lastWeek">
      <formula>AND(TODAY()-ROUNDDOWN(L4,0)&gt;=(WEEKDAY(TODAY())),TODAY()-ROUNDDOWN(L4,0)&lt;(WEEKDAY(TODAY())+7))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Dash</vt:lpstr>
      <vt:lpstr>ar</vt:lpstr>
      <vt:lpstr>Sheet5</vt: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Vishva J</dc:creator>
  <cp:lastModifiedBy>Vishva  J</cp:lastModifiedBy>
  <dcterms:created xsi:type="dcterms:W3CDTF">2024-12-15T06:50:38Z</dcterms:created>
  <dcterms:modified xsi:type="dcterms:W3CDTF">2025-03-25T11:09:44Z</dcterms:modified>
</cp:coreProperties>
</file>