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 s="1"/>
  <c r="D9" i="1" s="1"/>
  <c r="B4" i="1"/>
  <c r="D4" i="1" s="1"/>
  <c r="B5" i="1"/>
  <c r="B8" i="1"/>
  <c r="A14" i="1" s="1"/>
  <c r="C8" i="1"/>
  <c r="R17" i="1"/>
  <c r="R23" i="1" s="1"/>
  <c r="N17" i="1"/>
  <c r="P32" i="1"/>
  <c r="O32" i="1"/>
  <c r="N32" i="1"/>
  <c r="M32" i="1"/>
  <c r="Q26" i="1"/>
  <c r="O26" i="1"/>
  <c r="O23" i="1"/>
  <c r="N23" i="1"/>
  <c r="M23" i="1"/>
  <c r="O20" i="1"/>
  <c r="N20" i="1"/>
  <c r="M20" i="1"/>
  <c r="O17" i="1"/>
  <c r="M17" i="1"/>
  <c r="M13" i="1"/>
  <c r="E23" i="1"/>
  <c r="B3" i="1"/>
  <c r="B2" i="1"/>
  <c r="B10" i="1"/>
  <c r="G9" i="1"/>
  <c r="R32" i="1" s="1"/>
  <c r="F9" i="1"/>
  <c r="B29" i="1" l="1"/>
  <c r="A29" i="1"/>
  <c r="C29" i="1"/>
  <c r="D29" i="1" s="1"/>
  <c r="C17" i="1"/>
  <c r="N26" i="1"/>
  <c r="B23" i="1"/>
  <c r="M26" i="1"/>
  <c r="M29" i="1" s="1"/>
  <c r="M35" i="1" s="1"/>
  <c r="R26" i="1"/>
  <c r="A20" i="1"/>
  <c r="A23" i="1" s="1"/>
  <c r="B17" i="1"/>
  <c r="A17" i="1"/>
  <c r="B26" i="1" s="1"/>
  <c r="H9" i="1"/>
  <c r="R20" i="1"/>
  <c r="S32" i="1"/>
  <c r="S17" i="1"/>
  <c r="N29" i="1"/>
  <c r="D10" i="1"/>
  <c r="G8" i="1"/>
  <c r="F8" i="1"/>
  <c r="B14" i="1"/>
  <c r="D7" i="1"/>
  <c r="B7" i="1"/>
  <c r="H6" i="1"/>
  <c r="F6" i="1"/>
  <c r="D6" i="1"/>
  <c r="D5" i="1"/>
  <c r="H2" i="1"/>
  <c r="D3" i="1"/>
  <c r="F2" i="1"/>
  <c r="F29" i="1" l="1"/>
  <c r="G29" i="1" s="1"/>
  <c r="C26" i="1"/>
  <c r="A26" i="1"/>
  <c r="A32" i="1" s="1"/>
  <c r="O35" i="1"/>
  <c r="O29" i="1"/>
  <c r="S20" i="1"/>
  <c r="S23" i="1"/>
  <c r="S26" i="1"/>
  <c r="J29" i="1"/>
  <c r="C23" i="1"/>
  <c r="D2" i="1"/>
  <c r="B20" i="1"/>
  <c r="C14" i="1"/>
  <c r="F14" i="1" s="1"/>
  <c r="H8" i="1"/>
  <c r="D8" i="1"/>
  <c r="I29" i="1" l="1"/>
  <c r="N35" i="1"/>
  <c r="R29" i="1"/>
  <c r="S29" i="1" s="1"/>
  <c r="G14" i="1"/>
  <c r="F17" i="1"/>
  <c r="G17" i="1" s="1"/>
  <c r="C20" i="1"/>
  <c r="F20" i="1" s="1"/>
  <c r="F23" i="1" l="1"/>
  <c r="F26" i="1" s="1"/>
  <c r="G26" i="1" s="1"/>
  <c r="R35" i="1"/>
  <c r="S35" i="1" s="1"/>
  <c r="G20" i="1"/>
  <c r="I26" i="1" l="1"/>
  <c r="G23" i="1"/>
  <c r="J26" i="1"/>
</calcChain>
</file>

<file path=xl/sharedStrings.xml><?xml version="1.0" encoding="utf-8"?>
<sst xmlns="http://schemas.openxmlformats.org/spreadsheetml/2006/main" count="111" uniqueCount="46">
  <si>
    <t>Üreges</t>
  </si>
  <si>
    <t>Tömör</t>
  </si>
  <si>
    <t>m</t>
  </si>
  <si>
    <t>s</t>
  </si>
  <si>
    <t>l</t>
  </si>
  <si>
    <t>h</t>
  </si>
  <si>
    <t>D</t>
  </si>
  <si>
    <t>d</t>
  </si>
  <si>
    <t>t</t>
  </si>
  <si>
    <t>v=2s/t</t>
  </si>
  <si>
    <t>2/t</t>
  </si>
  <si>
    <t>-2s/t^2</t>
  </si>
  <si>
    <t>abszolút</t>
  </si>
  <si>
    <t>relatív</t>
  </si>
  <si>
    <t>Em=mv^2/2</t>
  </si>
  <si>
    <t>v</t>
  </si>
  <si>
    <t>v^2/2</t>
  </si>
  <si>
    <t>mv</t>
  </si>
  <si>
    <t>Ef</t>
  </si>
  <si>
    <t>m*g</t>
  </si>
  <si>
    <t>Em</t>
  </si>
  <si>
    <t>Theta=2Ef/omega^2</t>
  </si>
  <si>
    <t>R</t>
  </si>
  <si>
    <t>r</t>
  </si>
  <si>
    <t>omega</t>
  </si>
  <si>
    <t>2/omega^2</t>
  </si>
  <si>
    <t>-4Ef*omega/omega^4</t>
  </si>
  <si>
    <t>Ef=m*g*h-Em-m*g*l</t>
  </si>
  <si>
    <t>g*h-g*l</t>
  </si>
  <si>
    <t>omega=v/R</t>
  </si>
  <si>
    <t>-v/R^2</t>
  </si>
  <si>
    <t>1/R</t>
  </si>
  <si>
    <t>-m*g</t>
  </si>
  <si>
    <t>Theta=m*(R^2+r^2)/2</t>
  </si>
  <si>
    <t>(R^2+r^2)/2</t>
  </si>
  <si>
    <t>min</t>
  </si>
  <si>
    <t>max</t>
  </si>
  <si>
    <t>mR</t>
  </si>
  <si>
    <t>mr</t>
  </si>
  <si>
    <t>relelt.</t>
  </si>
  <si>
    <t>T2</t>
  </si>
  <si>
    <t>T1</t>
  </si>
  <si>
    <t>Abs(T2-T1)/T1</t>
  </si>
  <si>
    <t>T-próba</t>
  </si>
  <si>
    <t>-&gt;</t>
  </si>
  <si>
    <t>Szignifikánsan eltérnek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</si>
</sst>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7" formatCode="0.000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quotePrefix="1"/>
    <xf numFmtId="10" fontId="0" fillId="0" borderId="0" xfId="1" applyNumberFormat="1" applyFont="1"/>
    <xf numFmtId="167" fontId="0" fillId="0" borderId="0" xfId="0" applyNumberFormat="1"/>
    <xf numFmtId="168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17</xdr:row>
      <xdr:rowOff>47625</xdr:rowOff>
    </xdr:from>
    <xdr:ext cx="65" cy="172227"/>
    <xdr:sp macro="" textlink="">
      <xdr:nvSpPr>
        <xdr:cNvPr id="3" name="Szövegdoboz 2"/>
        <xdr:cNvSpPr txBox="1"/>
      </xdr:nvSpPr>
      <xdr:spPr>
        <a:xfrm>
          <a:off x="8582025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hu-HU" sz="1100"/>
        </a:p>
      </xdr:txBody>
    </xdr:sp>
    <xdr:clientData/>
  </xdr:oneCellAnchor>
  <xdr:oneCellAnchor>
    <xdr:from>
      <xdr:col>18</xdr:col>
      <xdr:colOff>571500</xdr:colOff>
      <xdr:row>20</xdr:row>
      <xdr:rowOff>47625</xdr:rowOff>
    </xdr:from>
    <xdr:ext cx="65" cy="172227"/>
    <xdr:sp macro="" textlink="">
      <xdr:nvSpPr>
        <xdr:cNvPr id="8" name="Szövegdoboz 7"/>
        <xdr:cNvSpPr txBox="1"/>
      </xdr:nvSpPr>
      <xdr:spPr>
        <a:xfrm>
          <a:off x="8582025" y="328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hu-HU" sz="1100"/>
        </a:p>
      </xdr:txBody>
    </xdr:sp>
    <xdr:clientData/>
  </xdr:oneCellAnchor>
  <xdr:oneCellAnchor>
    <xdr:from>
      <xdr:col>13</xdr:col>
      <xdr:colOff>304801</xdr:colOff>
      <xdr:row>31</xdr:row>
      <xdr:rowOff>160962</xdr:rowOff>
    </xdr:from>
    <xdr:ext cx="1263173" cy="372438"/>
    <xdr:pic>
      <xdr:nvPicPr>
        <xdr:cNvPr id="9" name="Kép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6" y="5494962"/>
          <a:ext cx="1263173" cy="372438"/>
        </a:xfrm>
        <a:prstGeom prst="rect">
          <a:avLst/>
        </a:prstGeom>
      </xdr:spPr>
    </xdr:pic>
    <xdr:clientData/>
  </xdr:oneCellAnchor>
  <xdr:oneCellAnchor>
    <xdr:from>
      <xdr:col>14</xdr:col>
      <xdr:colOff>342900</xdr:colOff>
      <xdr:row>31</xdr:row>
      <xdr:rowOff>133350</xdr:rowOff>
    </xdr:from>
    <xdr:ext cx="837169" cy="323767"/>
    <xdr:pic>
      <xdr:nvPicPr>
        <xdr:cNvPr id="10" name="Kép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5467350"/>
          <a:ext cx="837169" cy="3237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4" workbookViewId="0">
      <selection activeCell="A20" sqref="A20"/>
    </sheetView>
  </sheetViews>
  <sheetFormatPr defaultRowHeight="15" x14ac:dyDescent="0.25"/>
  <cols>
    <col min="1" max="1" width="20.140625" bestFit="1" customWidth="1"/>
    <col min="2" max="2" width="34.5703125" bestFit="1" customWidth="1"/>
    <col min="3" max="3" width="32.28515625" bestFit="1" customWidth="1"/>
    <col min="4" max="4" width="12" bestFit="1" customWidth="1"/>
    <col min="6" max="6" width="12.5703125" bestFit="1" customWidth="1"/>
    <col min="7" max="7" width="12" bestFit="1" customWidth="1"/>
    <col min="8" max="8" width="12" customWidth="1"/>
    <col min="9" max="10" width="12" bestFit="1" customWidth="1"/>
    <col min="11" max="11" width="6" bestFit="1" customWidth="1"/>
    <col min="12" max="12" width="13.42578125" bestFit="1" customWidth="1"/>
    <col min="13" max="13" width="20.140625" bestFit="1" customWidth="1"/>
    <col min="14" max="14" width="13.28515625" bestFit="1" customWidth="1"/>
    <col min="15" max="15" width="22" bestFit="1" customWidth="1"/>
    <col min="16" max="16" width="8" bestFit="1" customWidth="1"/>
    <col min="18" max="19" width="13.28515625" bestFit="1" customWidth="1"/>
  </cols>
  <sheetData>
    <row r="1" spans="1:20" x14ac:dyDescent="0.25">
      <c r="B1" t="s">
        <v>0</v>
      </c>
      <c r="F1" t="s">
        <v>1</v>
      </c>
      <c r="J1" t="s">
        <v>0</v>
      </c>
      <c r="L1" t="s">
        <v>1</v>
      </c>
    </row>
    <row r="2" spans="1:20" x14ac:dyDescent="0.25">
      <c r="A2" t="s">
        <v>2</v>
      </c>
      <c r="B2">
        <f>K2/1000</f>
        <v>0.27910000000000001</v>
      </c>
      <c r="C2">
        <v>0</v>
      </c>
      <c r="D2" s="1">
        <f>C2/B2</f>
        <v>0</v>
      </c>
      <c r="E2" s="1"/>
      <c r="F2">
        <f>L2/1000</f>
        <v>8.5800000000000001E-2</v>
      </c>
      <c r="G2">
        <v>0</v>
      </c>
      <c r="H2" s="1">
        <f>G2/F2</f>
        <v>0</v>
      </c>
      <c r="J2" t="s">
        <v>2</v>
      </c>
      <c r="K2">
        <v>279.10000000000002</v>
      </c>
      <c r="L2">
        <v>85.8</v>
      </c>
    </row>
    <row r="3" spans="1:20" x14ac:dyDescent="0.25">
      <c r="A3" t="s">
        <v>3</v>
      </c>
      <c r="B3">
        <f>K3/100</f>
        <v>1.036</v>
      </c>
      <c r="C3">
        <v>0</v>
      </c>
      <c r="D3" s="1">
        <f t="shared" ref="D3:D8" si="0">C3/B3</f>
        <v>0</v>
      </c>
      <c r="E3" s="1"/>
      <c r="H3" s="1"/>
      <c r="J3" t="s">
        <v>3</v>
      </c>
      <c r="K3">
        <v>103.6</v>
      </c>
    </row>
    <row r="4" spans="1:20" x14ac:dyDescent="0.25">
      <c r="A4" t="s">
        <v>4</v>
      </c>
      <c r="B4">
        <f>AVERAGE(K4:N4)/1000</f>
        <v>2.0812500000000001E-2</v>
      </c>
      <c r="C4">
        <v>0</v>
      </c>
      <c r="D4" s="1">
        <f t="shared" si="0"/>
        <v>0</v>
      </c>
      <c r="E4" s="1"/>
      <c r="H4" s="1"/>
      <c r="J4" t="s">
        <v>4</v>
      </c>
      <c r="K4">
        <v>21.15</v>
      </c>
      <c r="L4">
        <v>20.399999999999999</v>
      </c>
      <c r="M4">
        <v>20.399999999999999</v>
      </c>
      <c r="N4">
        <v>21.3</v>
      </c>
    </row>
    <row r="5" spans="1:20" x14ac:dyDescent="0.25">
      <c r="A5" t="s">
        <v>5</v>
      </c>
      <c r="B5">
        <f>AVERAGE(K5:N5)/1000</f>
        <v>6.8812499999999999E-2</v>
      </c>
      <c r="C5">
        <v>0</v>
      </c>
      <c r="D5" s="1">
        <f t="shared" si="0"/>
        <v>0</v>
      </c>
      <c r="E5" s="1"/>
      <c r="H5" s="1"/>
      <c r="J5" t="s">
        <v>5</v>
      </c>
      <c r="K5">
        <v>69.3</v>
      </c>
      <c r="L5">
        <v>68.95</v>
      </c>
      <c r="M5">
        <v>69</v>
      </c>
      <c r="N5">
        <v>68</v>
      </c>
    </row>
    <row r="6" spans="1:20" x14ac:dyDescent="0.25">
      <c r="A6" t="s">
        <v>6</v>
      </c>
      <c r="B6">
        <f>AVERAGE(K6:N6)/1000</f>
        <v>7.6300000000000007E-2</v>
      </c>
      <c r="C6">
        <v>0</v>
      </c>
      <c r="D6" s="1">
        <f t="shared" si="0"/>
        <v>0</v>
      </c>
      <c r="E6" s="1"/>
      <c r="F6">
        <f>AVERAGE(O6:R6)/1000</f>
        <v>2.8962499999999999E-2</v>
      </c>
      <c r="G6">
        <v>0</v>
      </c>
      <c r="H6" s="1">
        <f t="shared" ref="H6:H8" si="1">G6/F6</f>
        <v>0</v>
      </c>
      <c r="J6" t="s">
        <v>6</v>
      </c>
      <c r="K6">
        <v>76</v>
      </c>
      <c r="L6">
        <v>76.400000000000006</v>
      </c>
      <c r="M6">
        <v>76.45</v>
      </c>
      <c r="N6">
        <v>76.349999999999994</v>
      </c>
      <c r="O6">
        <v>28.95</v>
      </c>
      <c r="P6">
        <v>28.95</v>
      </c>
      <c r="Q6">
        <v>28.95</v>
      </c>
      <c r="R6">
        <v>29</v>
      </c>
    </row>
    <row r="7" spans="1:20" x14ac:dyDescent="0.25">
      <c r="A7" t="s">
        <v>7</v>
      </c>
      <c r="B7">
        <f>AVERAGE(K7:N7)/1000</f>
        <v>7.2050000000000003E-2</v>
      </c>
      <c r="C7">
        <v>0</v>
      </c>
      <c r="D7" s="1">
        <f t="shared" si="0"/>
        <v>0</v>
      </c>
      <c r="E7" s="1"/>
      <c r="F7">
        <v>0</v>
      </c>
      <c r="G7">
        <v>0</v>
      </c>
      <c r="H7" s="1"/>
      <c r="J7" t="s">
        <v>7</v>
      </c>
      <c r="K7">
        <v>72.25</v>
      </c>
      <c r="L7">
        <v>71.95</v>
      </c>
      <c r="M7">
        <v>72</v>
      </c>
      <c r="N7">
        <v>72</v>
      </c>
      <c r="O7">
        <v>0</v>
      </c>
    </row>
    <row r="8" spans="1:20" x14ac:dyDescent="0.25">
      <c r="A8" t="s">
        <v>8</v>
      </c>
      <c r="B8">
        <f>AVERAGE(K8:O8)</f>
        <v>2.9180000000000001</v>
      </c>
      <c r="C8">
        <f>_xlfn.T.INV.2T(0.05,4)*_xlfn.STDEV.S(K8:O8)</f>
        <v>9.4969034342499245E-2</v>
      </c>
      <c r="D8" s="1">
        <f t="shared" si="0"/>
        <v>3.2545933633481579E-2</v>
      </c>
      <c r="E8" s="1"/>
      <c r="F8">
        <f>AVERAGE(P8:T8)</f>
        <v>2.6560000000000001</v>
      </c>
      <c r="G8">
        <f>_xlfn.T.INV.2T(0.05,4)*_xlfn.STDEV.S(P8:T8)</f>
        <v>0.21016790841865721</v>
      </c>
      <c r="H8" s="1">
        <f t="shared" si="1"/>
        <v>7.912948359136189E-2</v>
      </c>
      <c r="J8" t="s">
        <v>8</v>
      </c>
      <c r="K8">
        <v>2.94</v>
      </c>
      <c r="L8">
        <v>2.91</v>
      </c>
      <c r="M8">
        <v>2.87</v>
      </c>
      <c r="N8">
        <v>2.91</v>
      </c>
      <c r="O8">
        <v>2.96</v>
      </c>
      <c r="P8">
        <v>2.59</v>
      </c>
      <c r="Q8">
        <v>2.72</v>
      </c>
      <c r="R8">
        <v>2.56</v>
      </c>
      <c r="S8">
        <v>2.69</v>
      </c>
      <c r="T8">
        <v>2.72</v>
      </c>
    </row>
    <row r="9" spans="1:20" x14ac:dyDescent="0.25">
      <c r="A9" t="s">
        <v>22</v>
      </c>
      <c r="B9">
        <f>B6/2</f>
        <v>3.8150000000000003E-2</v>
      </c>
      <c r="C9">
        <v>0</v>
      </c>
      <c r="D9" s="1">
        <f>C9/B9</f>
        <v>0</v>
      </c>
      <c r="E9" s="1"/>
      <c r="F9">
        <f>F6/2</f>
        <v>1.4481249999999999E-2</v>
      </c>
      <c r="G9">
        <f>G6/2</f>
        <v>0</v>
      </c>
      <c r="H9" s="1">
        <f>G9/F9</f>
        <v>0</v>
      </c>
    </row>
    <row r="10" spans="1:20" x14ac:dyDescent="0.25">
      <c r="A10" t="s">
        <v>23</v>
      </c>
      <c r="B10">
        <f>B7/2</f>
        <v>3.6025000000000001E-2</v>
      </c>
      <c r="C10">
        <v>0</v>
      </c>
      <c r="D10" s="1">
        <f>C10/B10</f>
        <v>0</v>
      </c>
      <c r="E10" s="1"/>
      <c r="H10" s="1"/>
    </row>
    <row r="11" spans="1:20" x14ac:dyDescent="0.25">
      <c r="A11" t="s">
        <v>0</v>
      </c>
      <c r="D11" s="1"/>
      <c r="E11" s="1"/>
      <c r="H11" s="1"/>
      <c r="M11" t="s">
        <v>1</v>
      </c>
    </row>
    <row r="12" spans="1:20" x14ac:dyDescent="0.25">
      <c r="B12" t="s">
        <v>3</v>
      </c>
      <c r="C12" t="s">
        <v>8</v>
      </c>
      <c r="M12" t="s">
        <v>43</v>
      </c>
    </row>
    <row r="13" spans="1:20" x14ac:dyDescent="0.25">
      <c r="A13" t="s">
        <v>9</v>
      </c>
      <c r="B13" t="s">
        <v>10</v>
      </c>
      <c r="C13" s="2" t="s">
        <v>11</v>
      </c>
      <c r="F13" t="s">
        <v>12</v>
      </c>
      <c r="G13" t="s">
        <v>13</v>
      </c>
      <c r="M13">
        <f>_xlfn.T.TEST(K8:O8,P8:T8,2,3)</f>
        <v>5.6298475483729325E-4</v>
      </c>
      <c r="N13" s="2" t="s">
        <v>44</v>
      </c>
      <c r="O13" t="s">
        <v>45</v>
      </c>
    </row>
    <row r="14" spans="1:20" x14ac:dyDescent="0.25">
      <c r="A14">
        <f>2*B3/B8</f>
        <v>0.71007539410555176</v>
      </c>
      <c r="B14">
        <f>2/B8</f>
        <v>0.68540095956134339</v>
      </c>
      <c r="C14">
        <f>-2*B3/(B8^2)</f>
        <v>-0.24334317824042209</v>
      </c>
      <c r="F14">
        <f>SQRT((B14*C3)^2+(C14*C8)^2)</f>
        <v>2.311006665132756E-2</v>
      </c>
      <c r="G14" s="1">
        <f>F14/A14</f>
        <v>3.2545933633481572E-2</v>
      </c>
    </row>
    <row r="15" spans="1:20" x14ac:dyDescent="0.25">
      <c r="B15" t="s">
        <v>22</v>
      </c>
      <c r="C15" t="s">
        <v>15</v>
      </c>
      <c r="N15" t="s">
        <v>3</v>
      </c>
      <c r="O15" t="s">
        <v>8</v>
      </c>
    </row>
    <row r="16" spans="1:20" x14ac:dyDescent="0.25">
      <c r="A16" t="s">
        <v>29</v>
      </c>
      <c r="B16" s="2" t="s">
        <v>30</v>
      </c>
      <c r="C16" t="s">
        <v>31</v>
      </c>
      <c r="M16" t="s">
        <v>9</v>
      </c>
      <c r="N16" t="s">
        <v>10</v>
      </c>
      <c r="O16" s="2" t="s">
        <v>11</v>
      </c>
      <c r="R16" t="s">
        <v>12</v>
      </c>
      <c r="S16" t="s">
        <v>13</v>
      </c>
    </row>
    <row r="17" spans="1:19" x14ac:dyDescent="0.25">
      <c r="A17">
        <f>A14/B9</f>
        <v>18.612723305519047</v>
      </c>
      <c r="B17">
        <f>-A14/(B9^2)</f>
        <v>-487.88265545266177</v>
      </c>
      <c r="C17">
        <f>1/B9</f>
        <v>26.212319790301439</v>
      </c>
      <c r="F17">
        <f>SQRT((B17*C9)^2+(C17*F14)^2)</f>
        <v>0.6057684574397787</v>
      </c>
      <c r="G17" s="1">
        <f>F17/A17</f>
        <v>3.2545933633481572E-2</v>
      </c>
      <c r="M17">
        <f>2*B3/F8</f>
        <v>0.78012048192771077</v>
      </c>
      <c r="N17">
        <f>2/F8</f>
        <v>0.75301204819277101</v>
      </c>
      <c r="O17">
        <f>-2*B3/(F8^2)</f>
        <v>-0.29372006096675857</v>
      </c>
      <c r="R17">
        <f>SQRT((N17*C3)^2+(O17*G8)^2)</f>
        <v>6.1730530873984127E-2</v>
      </c>
      <c r="S17" s="1">
        <f>R17/M17</f>
        <v>7.9129483591361904E-2</v>
      </c>
    </row>
    <row r="18" spans="1:19" x14ac:dyDescent="0.25">
      <c r="B18" t="s">
        <v>2</v>
      </c>
      <c r="C18" t="s">
        <v>15</v>
      </c>
      <c r="N18" t="s">
        <v>22</v>
      </c>
      <c r="O18" t="s">
        <v>15</v>
      </c>
    </row>
    <row r="19" spans="1:19" x14ac:dyDescent="0.25">
      <c r="A19" t="s">
        <v>14</v>
      </c>
      <c r="B19" t="s">
        <v>16</v>
      </c>
      <c r="C19" t="s">
        <v>17</v>
      </c>
      <c r="M19" t="s">
        <v>29</v>
      </c>
      <c r="N19" s="2" t="s">
        <v>30</v>
      </c>
      <c r="O19" t="s">
        <v>31</v>
      </c>
    </row>
    <row r="20" spans="1:19" x14ac:dyDescent="0.25">
      <c r="A20">
        <f>B2*A14^2/2</f>
        <v>7.0362095964590282E-2</v>
      </c>
      <c r="B20">
        <f>A14^2/2</f>
        <v>0.2521035326570773</v>
      </c>
      <c r="C20">
        <f>B2*A14</f>
        <v>0.19818204249485952</v>
      </c>
      <c r="F20" s="5">
        <f>SQRT((B20*C2)^2+(C20*F14)^2)</f>
        <v>4.5800002111524339E-3</v>
      </c>
      <c r="G20" s="1">
        <f>F20/A20</f>
        <v>6.5091867266963144E-2</v>
      </c>
      <c r="M20">
        <f>M17/F9</f>
        <v>53.871073417537218</v>
      </c>
      <c r="N20">
        <f>-M17/(F9^2)</f>
        <v>-3720.0568609434422</v>
      </c>
      <c r="O20">
        <f>1/F9</f>
        <v>69.054812257229173</v>
      </c>
      <c r="R20">
        <f>SQRT((N20*G9)^2+(O20*R17)^2)</f>
        <v>4.2627902200420626</v>
      </c>
      <c r="S20" s="1">
        <f>R20/M20</f>
        <v>7.912948359136189E-2</v>
      </c>
    </row>
    <row r="21" spans="1:19" x14ac:dyDescent="0.25">
      <c r="B21" t="s">
        <v>2</v>
      </c>
      <c r="C21" t="s">
        <v>5</v>
      </c>
      <c r="D21" t="s">
        <v>20</v>
      </c>
      <c r="E21" t="s">
        <v>4</v>
      </c>
      <c r="N21" t="s">
        <v>2</v>
      </c>
      <c r="O21" t="s">
        <v>15</v>
      </c>
    </row>
    <row r="22" spans="1:19" x14ac:dyDescent="0.25">
      <c r="A22" t="s">
        <v>27</v>
      </c>
      <c r="B22" t="s">
        <v>28</v>
      </c>
      <c r="C22" t="s">
        <v>19</v>
      </c>
      <c r="D22">
        <v>-1</v>
      </c>
      <c r="E22" s="2" t="s">
        <v>32</v>
      </c>
      <c r="M22" t="s">
        <v>14</v>
      </c>
      <c r="N22" t="s">
        <v>16</v>
      </c>
      <c r="O22" t="s">
        <v>17</v>
      </c>
    </row>
    <row r="23" spans="1:19" x14ac:dyDescent="0.25">
      <c r="A23">
        <f>B2*9.81*B5-A20-B2*9.81*B4</f>
        <v>6.1060512035409735E-2</v>
      </c>
      <c r="B23">
        <f>9.81*B5-9.81*B4</f>
        <v>0.47087999999999997</v>
      </c>
      <c r="C23">
        <f>B2*9.81</f>
        <v>2.7379710000000004</v>
      </c>
      <c r="D23">
        <v>-1</v>
      </c>
      <c r="E23">
        <f>-B2*9.81</f>
        <v>-2.7379710000000004</v>
      </c>
      <c r="F23">
        <f>SQRT((B23*C2)^2+(C23*C5)^2+(D23*F20)^2+(E23*C4)^2)</f>
        <v>4.5800002111524339E-3</v>
      </c>
      <c r="G23" s="1">
        <f>F23/A23</f>
        <v>7.5007563128465682E-2</v>
      </c>
      <c r="M23">
        <f>F2*M17^2/2</f>
        <v>2.6108423755262008E-2</v>
      </c>
      <c r="N23">
        <f>M17^2/2</f>
        <v>0.30429398316156187</v>
      </c>
      <c r="O23">
        <f>F2*M17</f>
        <v>6.6934337349397591E-2</v>
      </c>
      <c r="R23">
        <f>SQRT((N23*C2)^2+(O23*R17)^2)</f>
        <v>4.1318921782766572E-3</v>
      </c>
      <c r="S23" s="1">
        <f>R23/M23</f>
        <v>0.15825896718272384</v>
      </c>
    </row>
    <row r="24" spans="1:19" x14ac:dyDescent="0.25">
      <c r="B24" t="s">
        <v>18</v>
      </c>
      <c r="C24" t="s">
        <v>24</v>
      </c>
      <c r="N24" t="s">
        <v>2</v>
      </c>
      <c r="O24" t="s">
        <v>5</v>
      </c>
      <c r="P24" t="s">
        <v>20</v>
      </c>
      <c r="Q24" t="s">
        <v>4</v>
      </c>
    </row>
    <row r="25" spans="1:19" x14ac:dyDescent="0.25">
      <c r="A25" t="s">
        <v>21</v>
      </c>
      <c r="B25" t="s">
        <v>25</v>
      </c>
      <c r="C25" s="2" t="s">
        <v>26</v>
      </c>
      <c r="I25" t="s">
        <v>35</v>
      </c>
      <c r="J25" t="s">
        <v>36</v>
      </c>
      <c r="M25" t="s">
        <v>27</v>
      </c>
      <c r="N25" t="s">
        <v>28</v>
      </c>
      <c r="O25" t="s">
        <v>19</v>
      </c>
      <c r="P25">
        <v>-1</v>
      </c>
      <c r="Q25" s="2" t="s">
        <v>32</v>
      </c>
    </row>
    <row r="26" spans="1:19" x14ac:dyDescent="0.25">
      <c r="A26">
        <f>A23*2/(A17^2)</f>
        <v>3.5250931290494684E-4</v>
      </c>
      <c r="B26">
        <f>2/A17^2</f>
        <v>5.7731142624634791E-3</v>
      </c>
      <c r="C26">
        <f>-4*A23/(A17^3)</f>
        <v>-3.7878316581477435E-5</v>
      </c>
      <c r="F26">
        <f>SQRT((B26*F23)^2+(C26*F17)^2)</f>
        <v>3.5008781780577199E-5</v>
      </c>
      <c r="G26" s="1">
        <f>F26/A26</f>
        <v>9.9313069184124567E-2</v>
      </c>
      <c r="I26">
        <f>A26-F26</f>
        <v>3.1750053112436966E-4</v>
      </c>
      <c r="J26">
        <f>A26+F26</f>
        <v>3.8751809468552401E-4</v>
      </c>
      <c r="M26">
        <f>F2*9.81*B5-M23-B5*9.81*B4</f>
        <v>1.7761428736925496E-2</v>
      </c>
      <c r="N26">
        <f>9.81*B5-9.81*B4</f>
        <v>0.47087999999999997</v>
      </c>
      <c r="O26">
        <f>F2*9.81</f>
        <v>0.84169800000000006</v>
      </c>
      <c r="P26">
        <v>-1</v>
      </c>
      <c r="Q26">
        <f>-F2*9.81</f>
        <v>-0.84169800000000006</v>
      </c>
      <c r="R26">
        <f>SQRT((N26*G2)^2+(O26*C5)^2+(P26*R23)^2+(Q26*C4)^2)</f>
        <v>4.1318921782766572E-3</v>
      </c>
      <c r="S26" s="1">
        <f>R26/M26</f>
        <v>0.2326328720215268</v>
      </c>
    </row>
    <row r="27" spans="1:19" x14ac:dyDescent="0.25">
      <c r="B27" t="s">
        <v>2</v>
      </c>
      <c r="C27" t="s">
        <v>22</v>
      </c>
      <c r="D27" t="s">
        <v>23</v>
      </c>
      <c r="N27" t="s">
        <v>18</v>
      </c>
      <c r="O27" t="s">
        <v>24</v>
      </c>
    </row>
    <row r="28" spans="1:19" x14ac:dyDescent="0.25">
      <c r="A28" t="s">
        <v>33</v>
      </c>
      <c r="B28" t="s">
        <v>34</v>
      </c>
      <c r="C28" t="s">
        <v>37</v>
      </c>
      <c r="D28" t="s">
        <v>38</v>
      </c>
      <c r="I28" t="s">
        <v>35</v>
      </c>
      <c r="J28" t="s">
        <v>36</v>
      </c>
      <c r="M28" t="s">
        <v>21</v>
      </c>
      <c r="N28" t="s">
        <v>25</v>
      </c>
      <c r="O28" s="2" t="s">
        <v>26</v>
      </c>
    </row>
    <row r="29" spans="1:19" x14ac:dyDescent="0.25">
      <c r="A29">
        <f>B2*(B9^2+B10^2)/2</f>
        <v>3.8421228709375007E-4</v>
      </c>
      <c r="B29">
        <f>(B9^2+B10^2)/2</f>
        <v>1.3766115625000002E-3</v>
      </c>
      <c r="C29">
        <f>B2*B9</f>
        <v>1.0647665000000002E-2</v>
      </c>
      <c r="D29">
        <f>C29*B10</f>
        <v>3.8358213162500011E-4</v>
      </c>
      <c r="F29">
        <f>SQRT((B29*C2)^2+(C29*C9)^2+(D29*C10)^2)</f>
        <v>0</v>
      </c>
      <c r="G29" s="1">
        <f>F29/A29</f>
        <v>0</v>
      </c>
      <c r="I29" s="4">
        <f>A29-F29</f>
        <v>3.8421228709375007E-4</v>
      </c>
      <c r="J29">
        <f>A29+F29</f>
        <v>3.8421228709375007E-4</v>
      </c>
      <c r="L29" s="3"/>
      <c r="M29">
        <f>M26*2/(M20^2)</f>
        <v>1.2240428879389262E-5</v>
      </c>
      <c r="N29">
        <f>2/M20^2</f>
        <v>6.8915789718772822E-4</v>
      </c>
      <c r="O29">
        <f>-4*M26/(M20^3)</f>
        <v>-4.5443419270737996E-7</v>
      </c>
      <c r="R29">
        <f>SQRT((N29*R26)^2+(O29*R20)^2)</f>
        <v>3.4439780378168081E-6</v>
      </c>
      <c r="S29" s="1">
        <f>R29/M29</f>
        <v>0.2813608960725113</v>
      </c>
    </row>
    <row r="30" spans="1:19" x14ac:dyDescent="0.25">
      <c r="A30" t="s">
        <v>39</v>
      </c>
      <c r="B30" t="s">
        <v>41</v>
      </c>
      <c r="C30" t="s">
        <v>40</v>
      </c>
      <c r="N30" t="s">
        <v>2</v>
      </c>
      <c r="O30" t="s">
        <v>22</v>
      </c>
      <c r="P30" t="s">
        <v>23</v>
      </c>
    </row>
    <row r="31" spans="1:19" x14ac:dyDescent="0.25">
      <c r="A31" t="s">
        <v>42</v>
      </c>
      <c r="M31" t="s">
        <v>33</v>
      </c>
      <c r="N31" t="s">
        <v>34</v>
      </c>
      <c r="O31" t="s">
        <v>37</v>
      </c>
      <c r="P31" t="s">
        <v>38</v>
      </c>
    </row>
    <row r="32" spans="1:19" x14ac:dyDescent="0.25">
      <c r="A32" s="3">
        <f>(A29-A26)/A26</f>
        <v>8.9935139379854784E-2</v>
      </c>
      <c r="F32" s="1"/>
      <c r="G32" s="3"/>
      <c r="M32">
        <f>F2*(F9^2+F10^2)/2</f>
        <v>8.9964132070312489E-6</v>
      </c>
      <c r="N32">
        <f>(F9^2+F10^2)/2</f>
        <v>1.0485330078124998E-4</v>
      </c>
      <c r="O32">
        <f>F2*F9</f>
        <v>1.2424912499999999E-3</v>
      </c>
      <c r="P32">
        <f>F2*F10</f>
        <v>0</v>
      </c>
      <c r="R32">
        <f>SQRT((N32*G2)^2+(O32*G9)^2+(P32*G10)^2)</f>
        <v>0</v>
      </c>
      <c r="S32" s="1">
        <f>R32/M32</f>
        <v>0</v>
      </c>
    </row>
    <row r="33" spans="13:19" x14ac:dyDescent="0.25">
      <c r="M33" t="s">
        <v>39</v>
      </c>
      <c r="N33" t="s">
        <v>41</v>
      </c>
      <c r="O33" t="s">
        <v>40</v>
      </c>
    </row>
    <row r="34" spans="13:19" x14ac:dyDescent="0.25">
      <c r="M34" t="s">
        <v>42</v>
      </c>
    </row>
    <row r="35" spans="13:19" x14ac:dyDescent="0.25">
      <c r="M35" s="3">
        <f>ABS(M32-M29)/M29</f>
        <v>0.26502467391648077</v>
      </c>
      <c r="N35">
        <f>-(M32-M29)/(M29*ABS(M32-M29))-ABS(M32-M29)/M29^2</f>
        <v>60044.899841793027</v>
      </c>
      <c r="O35">
        <f>(M32-M29)/(M29*ABS(M32-M29))</f>
        <v>-81696.483828587472</v>
      </c>
      <c r="R35" s="1">
        <f>SQRT((N35*R29)^2+(O35*R32)^2)</f>
        <v>0.20679331633804512</v>
      </c>
      <c r="S35" s="3">
        <f>R35/M35</f>
        <v>0.78027948598934405</v>
      </c>
    </row>
  </sheetData>
  <pageMargins left="0.7" right="0.7" top="0.75" bottom="0.75" header="0.3" footer="0.3"/>
  <ignoredErrors>
    <ignoredError sqref="F2" formula="1"/>
    <ignoredError sqref="F6 B7 B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2017-03-27T20:42:24Z</dcterms:modified>
</cp:coreProperties>
</file>